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http://usatoday/sites/finance/Project Documents/Mainline North-Santa Clara-701/Working Docs/Applications/Joint TCAC-CDLAC/"/>
    </mc:Choice>
  </mc:AlternateContent>
  <xr:revisionPtr revIDLastSave="0" documentId="13_ncr:1_{17FC85AC-4647-4BE1-81CC-358EC9F71A23}" xr6:coauthVersionLast="47" xr6:coauthVersionMax="47" xr10:uidLastSave="{00000000-0000-0000-0000-000000000000}"/>
  <bookViews>
    <workbookView xWindow="-110" yWindow="-110" windowWidth="19420" windowHeight="1042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3" i="4" l="1"/>
  <c r="S32" i="4"/>
  <c r="C80" i="4"/>
  <c r="C85" i="4"/>
  <c r="E33" i="4"/>
  <c r="E32" i="4"/>
  <c r="E31" i="4"/>
  <c r="C32" i="4"/>
  <c r="D33" i="4"/>
  <c r="D32" i="4"/>
  <c r="C31" i="4"/>
  <c r="S31" i="4"/>
  <c r="S30" i="4"/>
  <c r="D30" i="4"/>
  <c r="C30" i="4" s="1"/>
  <c r="G66" i="7" l="1"/>
  <c r="F31" i="4"/>
  <c r="F30" i="4"/>
  <c r="H99" i="4" l="1"/>
  <c r="C46" i="4"/>
  <c r="O637" i="3" l="1"/>
  <c r="F93" i="13" l="1"/>
  <c r="F92" i="13"/>
  <c r="F91" i="13"/>
  <c r="F90" i="13"/>
  <c r="F89" i="13"/>
  <c r="F86" i="13"/>
  <c r="F50" i="13"/>
  <c r="F43" i="13"/>
  <c r="F40" i="13"/>
  <c r="F36" i="13"/>
  <c r="C94" i="13"/>
  <c r="C93" i="13"/>
  <c r="C92" i="13"/>
  <c r="C91" i="13"/>
  <c r="C90" i="13"/>
  <c r="C89" i="13"/>
  <c r="C88" i="13"/>
  <c r="C86" i="13"/>
  <c r="C58" i="13"/>
  <c r="C50" i="13"/>
  <c r="C43" i="13"/>
  <c r="C40" i="13"/>
  <c r="C36" i="13"/>
  <c r="F13" i="13"/>
  <c r="F10" i="13"/>
  <c r="C13" i="13"/>
  <c r="C10" i="13"/>
  <c r="C7" i="13"/>
  <c r="E58" i="4"/>
  <c r="S93" i="4"/>
  <c r="S92" i="4"/>
  <c r="S91" i="4"/>
  <c r="S90" i="4"/>
  <c r="S89" i="4"/>
  <c r="S86" i="4"/>
  <c r="S50" i="4"/>
  <c r="S43" i="4"/>
  <c r="S40" i="4"/>
  <c r="E99" i="4"/>
  <c r="E94" i="4"/>
  <c r="E93" i="4"/>
  <c r="E92" i="4"/>
  <c r="E91" i="4"/>
  <c r="E90" i="4"/>
  <c r="E89" i="4"/>
  <c r="E88" i="4"/>
  <c r="E86" i="4"/>
  <c r="E85" i="4"/>
  <c r="E83" i="4"/>
  <c r="E80" i="4"/>
  <c r="E79" i="4"/>
  <c r="E75" i="4"/>
  <c r="E61" i="4"/>
  <c r="E57" i="4"/>
  <c r="E56" i="4"/>
  <c r="E50" i="4"/>
  <c r="E46" i="4"/>
  <c r="E45" i="4"/>
  <c r="E43" i="4"/>
  <c r="E40" i="4"/>
  <c r="E36" i="4"/>
  <c r="E35" i="4"/>
  <c r="G29" i="4"/>
  <c r="G10" i="4"/>
  <c r="G13" i="4"/>
  <c r="G7" i="4"/>
  <c r="C40" i="4"/>
  <c r="S36" i="4"/>
  <c r="S35" i="4"/>
  <c r="C33" i="4"/>
  <c r="S10" i="4"/>
  <c r="C21" i="4"/>
  <c r="C13" i="4"/>
  <c r="S13" i="4" s="1"/>
  <c r="AJ1004" i="3"/>
  <c r="Z814" i="3"/>
  <c r="C638" i="3"/>
  <c r="C637" i="3"/>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E28" i="7" l="1"/>
  <c r="O28" i="7"/>
  <c r="M28" i="7"/>
  <c r="AA28" i="7"/>
  <c r="I28" i="7"/>
  <c r="W28" i="7"/>
  <c r="U28" i="7"/>
  <c r="AC28" i="7"/>
  <c r="K28" i="7"/>
  <c r="G28" i="7"/>
  <c r="AG28" i="7"/>
  <c r="Y28" i="7"/>
  <c r="Q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B80" i="13"/>
  <c r="C80" i="13" s="1"/>
  <c r="R80" i="4"/>
  <c r="S80" i="4" s="1"/>
  <c r="E80" i="13" s="1"/>
  <c r="F80" i="13" s="1"/>
  <c r="R79" i="4"/>
  <c r="S79" i="4"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4" i="13"/>
  <c r="E79" i="13"/>
  <c r="F79" i="13" s="1"/>
  <c r="E65" i="13"/>
  <c r="E53" i="13"/>
  <c r="E52" i="13"/>
  <c r="E51" i="13"/>
  <c r="E50" i="13"/>
  <c r="E49" i="13"/>
  <c r="E48" i="13"/>
  <c r="E47" i="13"/>
  <c r="E43" i="13"/>
  <c r="E41" i="13"/>
  <c r="E40" i="13"/>
  <c r="E37" i="13"/>
  <c r="E35" i="13"/>
  <c r="F35" i="13" s="1"/>
  <c r="E34" i="13"/>
  <c r="E33" i="13"/>
  <c r="F33" i="13" s="1"/>
  <c r="E32" i="13"/>
  <c r="F32" i="13" s="1"/>
  <c r="E31" i="13"/>
  <c r="F31" i="13" s="1"/>
  <c r="E30" i="13"/>
  <c r="F30" i="13" s="1"/>
  <c r="E27" i="13"/>
  <c r="E25" i="13"/>
  <c r="E23" i="13"/>
  <c r="E22" i="13"/>
  <c r="E21" i="13"/>
  <c r="E20" i="13"/>
  <c r="E19" i="13"/>
  <c r="E18" i="13"/>
  <c r="E17" i="13"/>
  <c r="E15" i="13"/>
  <c r="E14" i="13"/>
  <c r="E13" i="13"/>
  <c r="E10" i="13"/>
  <c r="B99" i="13"/>
  <c r="C99" i="13" s="1"/>
  <c r="C104" i="13" s="1"/>
  <c r="B95" i="13"/>
  <c r="B94" i="13"/>
  <c r="B93" i="13"/>
  <c r="B92" i="13"/>
  <c r="B91" i="13"/>
  <c r="B90" i="13"/>
  <c r="B89" i="13"/>
  <c r="B88" i="13"/>
  <c r="B87" i="13"/>
  <c r="B86" i="13"/>
  <c r="B85" i="13"/>
  <c r="C85" i="13" s="1"/>
  <c r="B84" i="13"/>
  <c r="B83" i="13"/>
  <c r="C83" i="13" s="1"/>
  <c r="B79" i="13"/>
  <c r="C79" i="13" s="1"/>
  <c r="C81" i="13" s="1"/>
  <c r="B76" i="13"/>
  <c r="B75" i="13"/>
  <c r="C75" i="13" s="1"/>
  <c r="C77" i="13" s="1"/>
  <c r="B74" i="13"/>
  <c r="B73" i="13"/>
  <c r="B72" i="13"/>
  <c r="B70" i="13"/>
  <c r="B65" i="13"/>
  <c r="B61" i="13"/>
  <c r="C61" i="13" s="1"/>
  <c r="B60" i="13"/>
  <c r="B59" i="13"/>
  <c r="B58" i="13"/>
  <c r="B57" i="13"/>
  <c r="C57" i="13" s="1"/>
  <c r="B56" i="13"/>
  <c r="C56" i="13" s="1"/>
  <c r="B53" i="13"/>
  <c r="B52" i="13"/>
  <c r="B51" i="13"/>
  <c r="B50" i="13"/>
  <c r="B49" i="13"/>
  <c r="B48" i="13"/>
  <c r="B47" i="13"/>
  <c r="B46" i="13"/>
  <c r="C46" i="13" s="1"/>
  <c r="B45" i="13"/>
  <c r="C45" i="13" s="1"/>
  <c r="B43" i="13"/>
  <c r="C42" i="4"/>
  <c r="B42" i="13" s="1"/>
  <c r="B41" i="13"/>
  <c r="B40" i="13"/>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D77" i="13"/>
  <c r="J70" i="13"/>
  <c r="I70" i="13"/>
  <c r="G70" i="13"/>
  <c r="F70" i="13"/>
  <c r="D70" i="13"/>
  <c r="C70" i="13"/>
  <c r="D62" i="13"/>
  <c r="J54" i="13"/>
  <c r="I54" i="13"/>
  <c r="G54" i="13"/>
  <c r="D54" i="13"/>
  <c r="J42" i="13"/>
  <c r="I42" i="13"/>
  <c r="G42" i="13"/>
  <c r="F42" i="13"/>
  <c r="F26" i="13"/>
  <c r="D42" i="13"/>
  <c r="C42" i="13"/>
  <c r="J38" i="13"/>
  <c r="I38" i="13"/>
  <c r="G38" i="13"/>
  <c r="D38" i="13"/>
  <c r="J26" i="13"/>
  <c r="I26" i="13"/>
  <c r="I11" i="13"/>
  <c r="G26" i="13"/>
  <c r="D26" i="13"/>
  <c r="C26" i="13"/>
  <c r="J11" i="13"/>
  <c r="D11" i="13"/>
  <c r="C11" i="13"/>
  <c r="C8" i="13"/>
  <c r="D8" i="13"/>
  <c r="T104" i="4"/>
  <c r="H104" i="13" s="1"/>
  <c r="R103" i="4"/>
  <c r="R102" i="4"/>
  <c r="R101" i="4"/>
  <c r="R99" i="4"/>
  <c r="S99" i="4" s="1"/>
  <c r="E99" i="13" s="1"/>
  <c r="F99" i="13" s="1"/>
  <c r="F104" i="13" s="1"/>
  <c r="R95" i="4"/>
  <c r="R94" i="4"/>
  <c r="R93" i="4"/>
  <c r="R92" i="4"/>
  <c r="R90" i="4"/>
  <c r="R89" i="4"/>
  <c r="R88" i="4"/>
  <c r="R87" i="4"/>
  <c r="R86" i="4"/>
  <c r="R85" i="4"/>
  <c r="S85" i="4" s="1"/>
  <c r="E85" i="13" s="1"/>
  <c r="F85" i="13" s="1"/>
  <c r="F96" i="13" s="1"/>
  <c r="R83" i="4"/>
  <c r="R76" i="4"/>
  <c r="R75" i="4"/>
  <c r="R72" i="4"/>
  <c r="R73" i="4"/>
  <c r="R74" i="4"/>
  <c r="R69" i="4"/>
  <c r="S69" i="4" s="1"/>
  <c r="E69" i="13" s="1"/>
  <c r="R65" i="4"/>
  <c r="R61" i="4"/>
  <c r="R60" i="4"/>
  <c r="R59" i="4"/>
  <c r="R58" i="4"/>
  <c r="R57" i="4"/>
  <c r="R56" i="4"/>
  <c r="R53" i="4"/>
  <c r="R52" i="4"/>
  <c r="R51" i="4"/>
  <c r="R50" i="4"/>
  <c r="R49" i="4"/>
  <c r="R48" i="4"/>
  <c r="R47" i="4"/>
  <c r="R46" i="4"/>
  <c r="S46" i="4" s="1"/>
  <c r="E46" i="13" s="1"/>
  <c r="F46" i="13" s="1"/>
  <c r="R45" i="4"/>
  <c r="S45" i="4" s="1"/>
  <c r="E45" i="13" s="1"/>
  <c r="F45" i="13" s="1"/>
  <c r="R43" i="4"/>
  <c r="R41" i="4"/>
  <c r="R40" i="4"/>
  <c r="R37" i="4"/>
  <c r="R35" i="4"/>
  <c r="R34" i="4"/>
  <c r="R33" i="4"/>
  <c r="R32" i="4"/>
  <c r="R31" i="4"/>
  <c r="R30" i="4"/>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AM735" i="3" s="1"/>
  <c r="BI710" i="3" s="1"/>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c r="BI712" i="3" s="1"/>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C96" i="13" l="1"/>
  <c r="C38" i="13"/>
  <c r="F81" i="13"/>
  <c r="AM736" i="3"/>
  <c r="BI711" i="3" s="1"/>
  <c r="C62" i="13"/>
  <c r="C54" i="13"/>
  <c r="F54" i="13"/>
  <c r="F38" i="13"/>
  <c r="F63" i="13" s="1"/>
  <c r="F97" i="13" s="1"/>
  <c r="F105" i="13" s="1"/>
  <c r="F107" i="13" s="1"/>
  <c r="S104" i="4"/>
  <c r="E104" i="13" s="1"/>
  <c r="S70" i="4"/>
  <c r="E70" i="13" s="1"/>
  <c r="R11" i="4"/>
  <c r="B54" i="4"/>
  <c r="D30" i="11"/>
  <c r="R81"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65" i="7" s="1"/>
  <c r="E47" i="7"/>
  <c r="E46" i="7"/>
  <c r="AC455" i="3"/>
  <c r="T11" i="15"/>
  <c r="T23" i="15" s="1"/>
  <c r="Y64" i="15" s="1"/>
  <c r="AC453" i="3"/>
  <c r="AB47" i="15"/>
  <c r="AB49" i="15" s="1"/>
  <c r="C106" i="11" l="1"/>
  <c r="D106" i="11" s="1"/>
  <c r="AD11" i="15"/>
  <c r="AD23" i="15" s="1"/>
  <c r="AD26" i="15" s="1"/>
  <c r="AD28" i="15" s="1"/>
  <c r="AI11" i="15"/>
  <c r="AI23" i="15" s="1"/>
  <c r="AI26" i="15" s="1"/>
  <c r="AI28" i="15" s="1"/>
  <c r="AJ1028" i="3"/>
  <c r="AJ1024" i="3"/>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G44" i="7"/>
  <c r="G59" i="7" s="1"/>
  <c r="G65" i="7" s="1"/>
  <c r="K4" i="7"/>
  <c r="M4" i="7" s="1"/>
  <c r="M5" i="7" s="1"/>
  <c r="I10" i="7"/>
  <c r="I36" i="7" s="1"/>
  <c r="I48" i="7" s="1"/>
  <c r="Q21" i="7"/>
  <c r="Q34" i="7" s="1"/>
  <c r="S14" i="7"/>
  <c r="M6" i="7"/>
  <c r="K7" i="7"/>
  <c r="O9" i="7"/>
  <c r="Q8" i="7"/>
  <c r="Y68" i="15"/>
  <c r="T26" i="15"/>
  <c r="T28" i="15" s="1"/>
  <c r="AB54" i="15"/>
  <c r="AB55" i="15" s="1"/>
  <c r="T29" i="15" l="1"/>
  <c r="E69" i="7"/>
  <c r="E71"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AC7" i="7"/>
  <c r="AC10" i="7" s="1"/>
  <c r="AC36" i="7" s="1"/>
  <c r="AE6" i="7"/>
  <c r="Y65" i="7" l="1"/>
  <c r="Y61" i="7"/>
  <c r="W69" i="7"/>
  <c r="W71" i="7" s="1"/>
  <c r="AE7" i="7"/>
  <c r="AE10" i="7" s="1"/>
  <c r="AE36" i="7" s="1"/>
  <c r="AG6" i="7"/>
  <c r="AG7" i="7" s="1"/>
  <c r="AC44" i="7"/>
  <c r="AC48" i="7"/>
  <c r="AG5" i="7"/>
  <c r="AA46" i="7"/>
  <c r="AA47" i="7"/>
  <c r="AA59" i="7"/>
  <c r="Y69" i="7" l="1"/>
  <c r="Y71" i="7" s="1"/>
  <c r="AA65" i="7"/>
  <c r="AA61" i="7"/>
  <c r="AG10" i="7"/>
  <c r="AG36" i="7" s="1"/>
  <c r="AG48" i="7" s="1"/>
  <c r="AE48" i="7"/>
  <c r="AE44" i="7"/>
  <c r="AC46" i="7"/>
  <c r="AC59" i="7"/>
  <c r="AC47" i="7"/>
  <c r="AA69" i="7" l="1"/>
  <c r="AA71" i="7" s="1"/>
  <c r="AC65" i="7"/>
  <c r="AC61" i="7"/>
  <c r="AG44" i="7"/>
  <c r="AG46" i="7" s="1"/>
  <c r="AE59" i="7"/>
  <c r="AE46" i="7"/>
  <c r="AE47" i="7"/>
  <c r="AC69" i="7" l="1"/>
  <c r="AC71" i="7" s="1"/>
  <c r="AE61" i="7"/>
  <c r="AE65" i="7"/>
  <c r="AG59" i="7"/>
  <c r="AG47" i="7"/>
  <c r="AE69" i="7" l="1"/>
  <c r="AE71" i="7" s="1"/>
  <c r="AG61"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<sst xmlns="http://schemas.openxmlformats.org/spreadsheetml/2006/main" count="5048" uniqueCount="2643">
  <si>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</si>
  <si>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</si>
  <si>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</si>
  <si>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</si>
  <si>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</si>
  <si>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</si>
  <si>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</si>
  <si>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</si>
  <si>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</si>
  <si>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</si>
  <si>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</si>
  <si>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</si>
  <si>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</si>
  <si>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</si>
  <si>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</si>
  <si>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</si>
  <si>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</si>
  <si>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</si>
  <si>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</si>
  <si>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</si>
  <si>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</si>
  <si>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</si>
  <si>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</si>
  <si>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</si>
  <si>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</si>
  <si>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</si>
  <si>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</si>
  <si>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</si>
  <si>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</si>
  <si>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</si>
  <si>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</si>
  <si>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</si>
  <si>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</si>
  <si>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</si>
  <si>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</si>
  <si>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</si>
  <si>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</si>
  <si>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</si>
  <si>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</si>
  <si>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</si>
  <si>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</si>
  <si>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</si>
  <si>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</si>
  <si>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</si>
  <si>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</si>
  <si>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</si>
  <si>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</si>
  <si>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</si>
  <si>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</si>
  <si>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</si>
  <si>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</si>
  <si>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</si>
  <si>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</si>
  <si>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</si>
  <si>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</si>
  <si>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</si>
  <si>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</si>
  <si>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</si>
  <si>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</si>
  <si>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</si>
  <si>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</si>
  <si>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</si>
  <si>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</si>
  <si>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</si>
  <si>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</si>
  <si>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</si>
  <si>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</si>
  <si>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</si>
  <si>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</si>
  <si>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</si>
  <si>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</si>
  <si>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</si>
  <si>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</si>
  <si>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</si>
  <si>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</si>
  <si>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</si>
  <si>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</si>
  <si>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</si>
  <si>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</si>
  <si>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</si>
  <si>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</si>
  <si>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</si>
  <si>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</si>
  <si>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</si>
  <si>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</si>
  <si>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</si>
  <si>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</si>
  <si>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</si>
  <si>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</si>
  <si>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</si>
  <si>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</si>
  <si>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</si>
  <si>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</si>
  <si>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</si>
  <si>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</si>
  <si>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</si>
  <si>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</si>
  <si>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</si>
  <si>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</si>
  <si>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</si>
  <si>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</si>
  <si>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</si>
  <si>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</si>
  <si>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</si>
  <si>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</si>
  <si>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</si>
  <si>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</si>
  <si>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</si>
  <si>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</si>
  <si>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</si>
  <si>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</si>
  <si>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</si>
  <si>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</si>
  <si>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</si>
  <si>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</si>
  <si>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</si>
  <si>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</si>
  <si>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</si>
  <si>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</si>
  <si>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</si>
  <si>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</si>
  <si>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</si>
  <si>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</si>
  <si>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</si>
  <si>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</si>
  <si>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</si>
  <si>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</si>
  <si>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</si>
  <si>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</si>
  <si>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</si>
  <si>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</si>
  <si>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</si>
  <si>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</si>
  <si>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</si>
  <si>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</si>
  <si>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</si>
  <si>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</si>
  <si>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</si>
  <si>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</si>
  <si>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</si>
  <si>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</si>
  <si>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</si>
  <si>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</si>
  <si>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</si>
  <si>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</si>
  <si>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</si>
  <si>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</si>
  <si>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</si>
  <si>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</si>
  <si>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</si>
  <si>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</si>
  <si>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</si>
  <si>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</si>
  <si>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</si>
  <si>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</si>
  <si>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</si>
  <si>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</si>
  <si>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</si>
  <si>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</si>
  <si>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</si>
  <si>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</si>
  <si>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</si>
  <si>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</si>
  <si>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</si>
  <si>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</si>
  <si>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</si>
  <si>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</si>
  <si>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</si>
  <si>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</si>
  <si>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</si>
  <si>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</si>
  <si>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</si>
  <si>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</si>
  <si>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</si>
  <si>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</si>
  <si>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</si>
  <si>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</si>
  <si>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</si>
  <si>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</si>
  <si>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</si>
  <si>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</si>
  <si>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</si>
  <si>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</si>
  <si>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</si>
  <si>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</si>
  <si>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</si>
  <si>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</si>
  <si>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</si>
  <si>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</si>
  <si>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</si>
  <si>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</si>
  <si>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</si>
  <si>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</si>
  <si>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</si>
  <si>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</si>
  <si>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</si>
  <si>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</si>
  <si>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</si>
  <si>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</si>
  <si>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</si>
  <si>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</si>
  <si>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</si>
  <si>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</si>
  <si>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</si>
  <si>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</si>
  <si>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</si>
  <si>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</si>
  <si>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</si>
  <si>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</si>
  <si>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</si>
  <si>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</si>
  <si>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</si>
  <si>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</si>
  <si>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</si>
  <si>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</si>
  <si>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</si>
  <si>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</si>
  <si>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</si>
  <si>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</si>
  <si>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</si>
  <si>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</si>
  <si>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</si>
  <si>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</si>
  <si>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</si>
  <si>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</si>
  <si>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</si>
  <si>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</si>
  <si>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</si>
  <si>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</si>
  <si>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</si>
  <si>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</si>
  <si>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</si>
  <si>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</si>
  <si>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</si>
  <si>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</si>
  <si>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</si>
  <si>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</si>
  <si>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</si>
  <si>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</si>
  <si>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</si>
  <si>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</si>
  <si>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</si>
  <si>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</si>
  <si>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</si>
  <si>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</si>
  <si>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</si>
  <si>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</si>
  <si>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</si>
  <si>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</si>
  <si>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</si>
  <si>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</si>
  <si>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</si>
  <si>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</si>
  <si>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</si>
  <si>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</si>
  <si>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</si>
  <si>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</si>
  <si>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</si>
  <si>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</si>
  <si>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</si>
  <si>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</si>
  <si>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</si>
  <si>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</si>
  <si>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</si>
  <si>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</si>
  <si>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</si>
  <si>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</si>
  <si>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</si>
  <si>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</si>
  <si>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</si>
  <si>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</si>
  <si>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</si>
  <si>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</si>
  <si>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</si>
  <si>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</si>
  <si>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</si>
  <si>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</si>
  <si>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</si>
  <si>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</si>
  <si>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</si>
  <si>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</si>
  <si>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</si>
  <si>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</si>
  <si>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</si>
  <si>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</si>
  <si>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</si>
  <si>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</si>
  <si>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</si>
  <si>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</si>
  <si>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</si>
  <si>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</si>
  <si>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</si>
  <si>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</si>
  <si>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</si>
  <si>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</si>
  <si>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</si>
  <si>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</si>
  <si>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</si>
  <si>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</si>
  <si>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</si>
  <si>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</si>
  <si>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</si>
  <si>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</si>
  <si>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</si>
  <si>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</si>
  <si>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</si>
  <si>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</si>
  <si>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</si>
  <si>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</si>
  <si>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</si>
  <si>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</si>
  <si>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</si>
  <si>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</si>
  <si>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</si>
  <si>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</si>
  <si>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</si>
  <si>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</si>
  <si>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</si>
  <si>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</si>
  <si>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</si>
  <si>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</si>
  <si>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</si>
  <si>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</si>
  <si>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</si>
  <si>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</si>
  <si>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</si>
  <si>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</si>
  <si>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</si>
  <si>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</si>
  <si>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</si>
  <si>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</si>
  <si>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</si>
  <si>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</si>
  <si>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</si>
  <si>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</si>
  <si>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</si>
  <si>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</si>
  <si>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</si>
  <si>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</si>
  <si>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</si>
  <si>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</si>
  <si>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</si>
  <si>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</si>
  <si>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</si>
  <si>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</si>
  <si>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</si>
  <si>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</si>
  <si>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</si>
  <si>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</si>
  <si>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</si>
  <si>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</si>
  <si>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</si>
  <si>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</si>
  <si>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</si>
  <si>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</si>
  <si>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</si>
  <si>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</si>
  <si>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</si>
  <si>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</si>
  <si>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</si>
  <si>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</si>
  <si>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</si>
  <si>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</si>
  <si>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</si>
  <si>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</si>
  <si>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</si>
  <si>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</si>
  <si>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</si>
  <si>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</si>
  <si>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</si>
  <si>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</si>
  <si>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</si>
  <si>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</si>
  <si>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</si>
  <si>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</si>
  <si>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</si>
  <si>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</si>
  <si>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</si>
  <si>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</si>
  <si>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</si>
  <si>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</si>
  <si>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</si>
  <si>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</si>
  <si>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</si>
  <si>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</si>
  <si>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</si>
  <si>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</si>
  <si>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</si>
  <si>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</si>
  <si>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</si>
  <si>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</si>
  <si>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</si>
  <si>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</si>
  <si>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</si>
  <si>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</si>
  <si>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</si>
  <si>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</si>
  <si>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</si>
  <si>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</si>
  <si>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</si>
  <si>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</si>
  <si>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</si>
  <si>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</si>
  <si>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</si>
  <si>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</si>
  <si>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</si>
  <si>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</si>
  <si>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</si>
  <si>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</si>
  <si>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</si>
  <si>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</si>
  <si>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</si>
  <si>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</si>
  <si>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</si>
  <si>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</si>
  <si>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</si>
  <si>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</si>
  <si>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</si>
  <si>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</si>
  <si>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</si>
  <si>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</si>
  <si>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</si>
  <si>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</si>
  <si>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</si>
  <si>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</si>
  <si>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</si>
  <si>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</si>
  <si>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</si>
  <si>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</si>
  <si>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</si>
  <si>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</si>
  <si>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</si>
  <si>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</si>
  <si>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</si>
  <si>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</si>
  <si>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</si>
  <si>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</si>
  <si>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</si>
  <si>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</si>
  <si>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</si>
  <si>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</si>
  <si>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</si>
  <si>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</si>
  <si>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</si>
  <si>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</si>
  <si>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</si>
  <si>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</si>
  <si>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</si>
  <si>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</si>
  <si>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</si>
  <si>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</si>
  <si>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</si>
  <si>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</si>
  <si>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</si>
  <si>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</si>
  <si>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</si>
  <si>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</si>
  <si>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</si>
  <si>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</si>
  <si>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</si>
  <si>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</si>
  <si>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</si>
  <si>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</si>
  <si>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</si>
  <si>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</si>
  <si>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</si>
  <si>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</si>
  <si>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</si>
  <si>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</si>
  <si>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</si>
  <si>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</si>
  <si>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</si>
  <si>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</si>
  <si>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</si>
  <si>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</si>
  <si>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</si>
  <si>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</si>
  <si>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</si>
  <si>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</si>
  <si>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</si>
  <si>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</si>
  <si>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</si>
  <si>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</si>
  <si>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</si>
  <si>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</si>
  <si>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</si>
  <si>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</si>
  <si>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</si>
  <si>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</si>
  <si>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</si>
  <si>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</si>
  <si>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</si>
  <si>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</si>
  <si>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</si>
  <si>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</si>
  <si>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</si>
  <si>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</si>
  <si>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</si>
  <si>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</si>
  <si>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</si>
  <si>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</si>
  <si>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</si>
  <si>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</si>
  <si>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</si>
  <si>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</si>
  <si>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</si>
  <si>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</si>
  <si>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</si>
  <si>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</si>
  <si>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</si>
  <si>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</si>
  <si>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</si>
  <si>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</si>
  <si>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</si>
  <si>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</si>
  <si>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</si>
  <si>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</si>
  <si>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</si>
  <si>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</si>
  <si>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</si>
  <si>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</si>
  <si>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</si>
  <si>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</si>
  <si>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</si>
  <si>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</si>
  <si>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</si>
  <si>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</si>
  <si>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</si>
  <si>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</si>
  <si>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</si>
  <si>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</si>
  <si>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</si>
  <si>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</si>
  <si>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</si>
  <si>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</si>
  <si>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</si>
  <si>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</si>
  <si>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</si>
  <si>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</si>
  <si>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</si>
  <si>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</si>
  <si>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</si>
  <si>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</si>
  <si>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</si>
  <si>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</si>
  <si>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</si>
  <si>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</si>
  <si>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</si>
  <si>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</si>
  <si>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</si>
  <si>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</si>
  <si>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</si>
  <si>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</si>
  <si>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</si>
  <si>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</si>
  <si>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</si>
  <si>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</si>
  <si>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</si>
  <si>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</si>
  <si>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</si>
  <si>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</si>
  <si>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</si>
  <si>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</si>
  <si>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</si>
  <si>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</si>
  <si>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</si>
  <si>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</si>
  <si>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</si>
  <si>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</si>
  <si>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</si>
  <si>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</si>
  <si>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</si>
  <si>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</si>
  <si>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</si>
  <si>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</si>
  <si>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</si>
  <si>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</si>
  <si>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</si>
  <si>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</si>
  <si>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</si>
  <si>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</si>
  <si>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</si>
  <si>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</si>
  <si>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</si>
  <si>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</si>
  <si>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</si>
  <si>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</si>
  <si>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</si>
  <si>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</si>
  <si>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</si>
  <si>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</si>
  <si>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</si>
  <si>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</si>
  <si>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</si>
  <si>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</si>
  <si>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</si>
  <si>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</si>
  <si>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</si>
  <si>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</si>
  <si>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</si>
  <si>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</si>
  <si>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</si>
  <si>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</si>
  <si>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</si>
  <si>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</si>
  <si>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</si>
  <si>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</si>
  <si>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</si>
  <si>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</si>
  <si>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</si>
  <si>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</si>
  <si>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</si>
  <si>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</si>
  <si>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</si>
  <si>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</si>
  <si>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</si>
  <si>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</si>
  <si>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</si>
  <si>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</si>
  <si>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</si>
  <si>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</si>
  <si>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</si>
  <si>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</si>
  <si>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</si>
  <si>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</si>
  <si>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</si>
  <si>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</si>
  <si>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</si>
  <si>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</si>
  <si>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</si>
  <si>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</si>
  <si>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</si>
  <si>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</si>
  <si>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</si>
  <si>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</si>
  <si>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</si>
  <si>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</si>
  <si>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</si>
  <si>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</si>
  <si>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</si>
  <si>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</si>
  <si>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</si>
  <si>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</si>
  <si>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</si>
  <si>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</si>
  <si>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</si>
  <si>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</si>
  <si>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</si>
  <si>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</si>
  <si>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</si>
  <si>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</si>
  <si>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</si>
  <si>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</si>
  <si>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</si>
  <si>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</si>
  <si>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</si>
  <si>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</si>
  <si>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</si>
  <si>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</si>
  <si>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</si>
  <si>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</si>
  <si>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</si>
  <si>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</si>
  <si>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</si>
  <si>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</si>
  <si>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</si>
  <si>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</si>
  <si>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</si>
  <si>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</si>
  <si>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</si>
  <si>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</si>
  <si>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</si>
  <si>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</si>
  <si>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</si>
  <si>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</si>
  <si>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</si>
  <si>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</si>
  <si>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</si>
  <si>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</si>
  <si>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</si>
  <si>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</si>
  <si>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</si>
  <si>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</si>
  <si>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</si>
  <si>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</si>
  <si>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</si>
  <si>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</si>
  <si>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</si>
  <si>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</si>
  <si>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</si>
  <si>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</si>
  <si>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</si>
  <si>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</si>
  <si>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</si>
  <si>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</si>
  <si>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</si>
  <si>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</si>
  <si>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</si>
  <si>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</si>
  <si>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</si>
  <si>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</si>
  <si>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</si>
  <si>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</si>
  <si>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</si>
  <si>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</si>
  <si>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</si>
  <si>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</si>
  <si>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</si>
  <si>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</si>
  <si>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</si>
  <si>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</si>
  <si>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</si>
  <si>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</si>
  <si>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</si>
  <si>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</si>
  <si>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</si>
  <si>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</si>
  <si>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</si>
  <si>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</si>
  <si>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</si>
  <si>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</si>
  <si>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</si>
  <si>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</si>
  <si>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</si>
  <si>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</si>
  <si>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</si>
  <si>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</si>
  <si>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</si>
  <si>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</si>
  <si>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</si>
  <si>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</si>
  <si>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</si>
  <si>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</si>
  <si>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</si>
  <si>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</si>
  <si>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</si>
  <si>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</si>
  <si>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</si>
  <si>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</si>
  <si>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</si>
  <si>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</si>
  <si>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</si>
  <si>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</si>
  <si>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</si>
  <si>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</si>
  <si>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</si>
  <si>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</si>
  <si>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</si>
  <si>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</si>
  <si>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</si>
  <si>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</si>
  <si>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</si>
  <si>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</si>
  <si>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</si>
  <si>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</si>
  <si>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</si>
  <si>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</si>
  <si>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</si>
  <si>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</si>
  <si>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</si>
  <si>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</si>
  <si>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</si>
  <si>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</si>
  <si>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</si>
  <si>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</si>
  <si>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</si>
  <si>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</si>
  <si>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</si>
  <si>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</si>
  <si>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</si>
  <si>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</si>
  <si>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</si>
  <si>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</si>
  <si>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</si>
  <si>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</si>
  <si>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</si>
  <si>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</si>
  <si>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</si>
  <si>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</si>
  <si>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</si>
  <si>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</si>
  <si>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</si>
  <si>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</si>
  <si>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</si>
  <si>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</si>
  <si>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</si>
  <si>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</si>
  <si>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</si>
  <si>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</si>
  <si>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</si>
  <si>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</si>
  <si>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</si>
  <si>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</si>
  <si>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</si>
  <si>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</si>
  <si>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</si>
  <si>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</si>
  <si>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</si>
  <si>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</si>
  <si>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</si>
  <si>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</si>
  <si>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</si>
  <si>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</si>
  <si>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</si>
  <si>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</si>
  <si>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</si>
  <si>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</si>
  <si>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</si>
  <si>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</si>
  <si>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</si>
  <si>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</si>
  <si>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</si>
  <si>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</si>
  <si>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</si>
  <si>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</si>
  <si>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</si>
  <si>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</si>
  <si>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</si>
  <si>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</si>
  <si>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</si>
  <si>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</si>
  <si>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</si>
  <si>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</si>
  <si>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</si>
  <si>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</si>
  <si>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</si>
  <si>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</si>
  <si>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</si>
  <si>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</si>
  <si>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</si>
  <si>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</si>
  <si>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</si>
  <si>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</si>
  <si>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</si>
  <si>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</si>
  <si>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</si>
  <si>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</si>
  <si>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</si>
  <si>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</si>
  <si>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</si>
  <si>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</si>
  <si>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</si>
  <si>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</si>
  <si>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</si>
  <si>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</si>
  <si>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</si>
  <si>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</si>
  <si>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</si>
  <si>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</si>
  <si>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</si>
  <si>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</si>
  <si>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</si>
  <si>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</si>
  <si>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</si>
  <si>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</si>
  <si>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</si>
  <si>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</si>
  <si>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</si>
  <si>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</si>
  <si>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</si>
  <si>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</si>
  <si>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</si>
  <si>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</si>
  <si>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</si>
  <si>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</si>
  <si>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</si>
  <si>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</si>
  <si>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</si>
  <si>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</si>
  <si>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</si>
  <si>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</si>
  <si>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</si>
  <si>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</si>
  <si>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</si>
  <si>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</si>
  <si>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</si>
  <si>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</si>
  <si>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</si>
  <si>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</si>
  <si>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</si>
  <si>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</si>
  <si>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</si>
  <si>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</si>
  <si>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</si>
  <si>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</si>
  <si>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</si>
  <si>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</si>
  <si>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</si>
  <si>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</si>
  <si>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</si>
  <si>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</si>
  <si>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</si>
  <si>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</si>
  <si>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</si>
  <si>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</si>
  <si>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</si>
  <si>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</si>
  <si>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</si>
  <si>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</si>
  <si>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</si>
  <si>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</si>
  <si>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</si>
  <si>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</si>
  <si>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</si>
  <si>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</si>
  <si>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</si>
  <si>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</si>
  <si>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</si>
  <si>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</si>
  <si>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</si>
  <si>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</si>
  <si>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</si>
  <si>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</si>
  <si>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</si>
  <si>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</si>
  <si>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</si>
  <si>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</si>
  <si>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</si>
  <si>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</si>
  <si>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</si>
  <si>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</si>
  <si>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</si>
  <si>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</si>
  <si>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</si>
  <si>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</si>
  <si>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</si>
  <si>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</si>
  <si>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</si>
  <si>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</si>
  <si>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</si>
  <si>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</si>
  <si>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</si>
  <si>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</si>
  <si>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</si>
  <si>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</si>
  <si>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</si>
  <si>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</si>
  <si>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</si>
  <si>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</si>
  <si>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</si>
  <si>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</si>
  <si>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</si>
  <si>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</si>
  <si>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</si>
  <si>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</si>
  <si>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</si>
  <si>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</si>
  <si>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</si>
  <si>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</si>
  <si>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</si>
  <si>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</si>
  <si>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</si>
  <si>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</si>
  <si>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</si>
  <si>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</si>
  <si>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</si>
  <si>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</si>
  <si>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</si>
  <si>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</si>
  <si>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</si>
  <si>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</si>
  <si>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</si>
  <si>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</si>
  <si>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</si>
  <si>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</si>
  <si>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</si>
  <si>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</si>
  <si>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</si>
  <si>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</si>
  <si>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</si>
  <si>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</si>
  <si>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</si>
  <si>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</si>
  <si>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</si>
  <si>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</si>
  <si>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</si>
  <si>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</si>
  <si>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</si>
  <si>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</si>
  <si>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</si>
  <si>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</si>
  <si>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</si>
  <si>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</si>
  <si>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</si>
  <si>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</si>
  <si>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</si>
  <si>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</si>
  <si>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</si>
  <si>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</si>
  <si>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</si>
  <si>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</si>
  <si>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</si>
  <si>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</si>
  <si>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</si>
  <si>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</si>
  <si>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</si>
  <si>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</si>
  <si>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</si>
  <si>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</si>
  <si>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</si>
  <si>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</si>
  <si>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</si>
  <si>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</si>
  <si>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</si>
  <si>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</si>
  <si>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</si>
  <si>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</si>
  <si>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</si>
  <si>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</si>
  <si>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</si>
  <si>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</si>
  <si>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</si>
  <si>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</si>
  <si>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</si>
  <si>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</si>
  <si>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</si>
  <si>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</si>
  <si>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</si>
  <si>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</si>
  <si>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</si>
  <si>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</si>
  <si>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</si>
  <si>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</si>
  <si>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</si>
  <si>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</si>
  <si>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</si>
  <si>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</si>
  <si>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</si>
  <si>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</si>
  <si>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</si>
  <si>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</si>
  <si>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</si>
  <si>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</si>
  <si>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</si>
  <si>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</si>
  <si>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</si>
  <si>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</si>
  <si>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</si>
  <si>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</si>
  <si>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</si>
  <si>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</si>
  <si>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</si>
  <si>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</si>
  <si>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</si>
  <si>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</si>
  <si>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</si>
  <si>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</si>
  <si>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</si>
  <si>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</si>
  <si>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</si>
  <si>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</si>
  <si>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</si>
  <si>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</si>
  <si>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</si>
  <si>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</si>
  <si>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</si>
  <si>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</si>
  <si>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</si>
  <si>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</si>
  <si>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</si>
  <si>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</si>
  <si>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</si>
  <si>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</si>
  <si>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</si>
  <si>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</si>
  <si>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</si>
  <si>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</si>
  <si>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</si>
  <si>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</si>
  <si>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</si>
  <si>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</si>
  <si>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</si>
  <si>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</si>
  <si>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</si>
  <si>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</si>
  <si>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</si>
  <si>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</si>
  <si>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</si>
  <si>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</si>
  <si>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</si>
  <si>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</si>
  <si>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</si>
  <si>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</si>
  <si>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</si>
  <si>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</si>
  <si>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</si>
  <si>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</si>
  <si>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</si>
  <si>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</si>
  <si>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</si>
  <si>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</si>
  <si>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</si>
  <si>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</si>
  <si>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</si>
  <si>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</si>
  <si>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</si>
  <si>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</si>
  <si>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</si>
  <si>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</si>
  <si>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</si>
  <si>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</si>
  <si>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</si>
  <si>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</si>
  <si>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</si>
  <si>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</si>
  <si>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</si>
  <si>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</si>
  <si>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</si>
  <si>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</si>
  <si>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</si>
  <si>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</si>
  <si>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</si>
  <si>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</si>
  <si>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</si>
  <si>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</si>
  <si>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</si>
  <si>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</si>
  <si>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</si>
  <si>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</si>
  <si>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</si>
  <si>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</si>
  <si>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</si>
  <si>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</si>
  <si>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</si>
  <si>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</si>
  <si>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</si>
  <si>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</si>
  <si>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</si>
  <si>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</si>
  <si>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</si>
  <si>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</si>
  <si>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</si>
  <si>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</si>
  <si>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</si>
  <si>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</si>
  <si>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</si>
  <si>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</si>
  <si>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</si>
  <si>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</si>
  <si>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</si>
  <si>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</si>
  <si>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</si>
  <si>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</si>
  <si>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</si>
  <si>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</si>
  <si>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</si>
  <si>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</si>
  <si>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</si>
  <si>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</si>
  <si>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</si>
  <si>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</si>
  <si>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</si>
  <si>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</si>
  <si>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</si>
  <si>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</si>
  <si>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</si>
  <si>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</si>
  <si>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</si>
  <si>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</si>
  <si>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</si>
  <si>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</si>
  <si>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</si>
  <si>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</si>
  <si>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</si>
  <si>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</si>
  <si>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</si>
  <si>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</si>
  <si>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</si>
  <si>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</si>
  <si>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</si>
  <si>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</si>
  <si>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</si>
  <si>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</si>
  <si>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</si>
  <si>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</si>
  <si>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</si>
  <si>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</si>
  <si>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</si>
  <si>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</si>
  <si>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</si>
  <si>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</si>
  <si>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</si>
  <si>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</si>
  <si>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</si>
  <si>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</si>
  <si>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</si>
  <si>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</si>
  <si>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</si>
  <si>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</si>
  <si>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</si>
  <si>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</si>
  <si>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</si>
  <si>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</si>
  <si>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</si>
  <si>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</si>
  <si>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</si>
  <si>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</si>
  <si>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</si>
  <si>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</si>
  <si>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</si>
  <si>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</si>
  <si>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</si>
  <si>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</si>
  <si>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</si>
  <si>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</si>
  <si>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</si>
  <si>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</si>
  <si>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</si>
  <si>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</si>
  <si>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</si>
  <si>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</si>
  <si>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</si>
  <si>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</si>
  <si>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</si>
  <si>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</si>
  <si>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</si>
  <si>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</si>
  <si>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</si>
  <si>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</si>
  <si>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</si>
  <si>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</si>
  <si>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</si>
  <si>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</si>
  <si>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</si>
  <si>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</si>
  <si>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</si>
  <si>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</si>
  <si>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</si>
  <si>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</si>
  <si>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</si>
  <si>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</si>
  <si>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</si>
  <si>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</si>
  <si>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</si>
  <si>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</si>
  <si>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</si>
  <si>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</si>
  <si>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</si>
  <si>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</si>
  <si>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</si>
  <si>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</si>
  <si>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</si>
  <si>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</si>
  <si>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</si>
  <si>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</si>
  <si>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</si>
  <si>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</si>
  <si>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</si>
  <si>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</si>
  <si>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</si>
  <si>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</si>
  <si>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</si>
  <si>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</si>
  <si>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</si>
  <si>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</si>
  <si>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</si>
  <si>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</si>
  <si>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</si>
  <si>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</si>
  <si>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</si>
  <si>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</si>
  <si>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</si>
  <si>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</si>
  <si>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</si>
  <si>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</si>
  <si>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</si>
  <si>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</si>
  <si>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</si>
  <si>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</si>
  <si>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</si>
  <si>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</si>
  <si>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</si>
  <si>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</si>
  <si>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</si>
  <si>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</si>
  <si>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</si>
  <si>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</si>
  <si>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</si>
  <si>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</si>
  <si>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</si>
  <si>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</si>
  <si>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</si>
  <si>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</si>
  <si>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</si>
  <si>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</si>
  <si>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</si>
  <si>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</si>
  <si>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</si>
  <si>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</si>
  <si>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</si>
  <si>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</si>
  <si>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</si>
  <si>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</si>
  <si>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</si>
  <si>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</si>
  <si>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</si>
  <si>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</si>
  <si>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</si>
  <si>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</si>
  <si>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</si>
  <si>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</si>
  <si>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</si>
  <si>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</si>
  <si>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</si>
  <si>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</si>
  <si>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</si>
  <si>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</si>
  <si>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</si>
  <si>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</si>
  <si>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</si>
  <si>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</si>
  <si>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</si>
  <si>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</si>
  <si>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</si>
  <si>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</si>
  <si>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</si>
  <si>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</si>
  <si>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</si>
  <si>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</si>
  <si>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</si>
  <si>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</si>
  <si>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</si>
  <si>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</si>
  <si>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</si>
  <si>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</si>
  <si>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</si>
  <si>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</si>
  <si>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</si>
  <si>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</si>
  <si>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</si>
  <si>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</si>
  <si>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</si>
  <si>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</si>
  <si>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</si>
  <si>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</si>
  <si>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</si>
  <si>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</si>
  <si>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</si>
  <si>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</si>
  <si>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</si>
  <si>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</si>
  <si>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</si>
  <si>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</si>
  <si>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</si>
  <si>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</si>
  <si>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</si>
  <si>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</si>
  <si>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</si>
  <si>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</si>
  <si>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</si>
  <si>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</si>
  <si>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</si>
  <si>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</si>
  <si>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</si>
  <si>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</si>
  <si>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</si>
  <si>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</si>
  <si>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</si>
  <si>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</si>
  <si>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</si>
  <si>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</si>
  <si>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</si>
  <si>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</si>
  <si>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</si>
  <si>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</si>
  <si>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</si>
  <si>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</si>
  <si>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</si>
  <si>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</si>
  <si>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</si>
  <si>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</si>
  <si>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</si>
  <si>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</si>
  <si>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</si>
  <si>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</si>
  <si>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</si>
  <si>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</si>
  <si>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</si>
  <si>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</si>
  <si>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</si>
  <si>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</si>
  <si>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</si>
  <si>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</si>
  <si>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</si>
  <si>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</si>
  <si>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</si>
  <si>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</si>
  <si>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</si>
  <si>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</si>
  <si>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</si>
  <si>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</si>
  <si>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</si>
  <si>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</si>
  <si>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</si>
  <si>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</si>
  <si>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</si>
  <si>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</si>
  <si>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</si>
  <si>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</si>
  <si>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</si>
  <si>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</si>
  <si>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</si>
  <si>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</si>
  <si>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</si>
  <si>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</si>
  <si>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</si>
  <si>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</si>
  <si>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</si>
  <si>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</si>
  <si>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</si>
  <si>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</si>
  <si>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</si>
  <si>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</si>
  <si>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</si>
  <si>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</si>
  <si>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</si>
  <si>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</si>
  <si>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</si>
  <si>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</si>
  <si>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</si>
  <si>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</si>
  <si>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</si>
  <si>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</si>
  <si>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</si>
  <si>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</si>
  <si>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</si>
  <si>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</si>
  <si>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</si>
  <si>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</si>
  <si>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</si>
  <si>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</si>
  <si>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</si>
  <si>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</si>
  <si>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</si>
  <si>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</si>
  <si>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</si>
  <si>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</si>
  <si>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</si>
  <si>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</si>
  <si>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</si>
  <si>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</si>
  <si>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</si>
  <si>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</si>
  <si>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</si>
  <si>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</si>
  <si>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</si>
  <si>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</si>
  <si>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</si>
  <si>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</si>
  <si>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</si>
  <si>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</si>
  <si>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</si>
  <si>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</si>
  <si>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</si>
  <si>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</si>
  <si>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</si>
  <si>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</si>
  <si>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</si>
  <si>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</si>
  <si>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</si>
  <si>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</si>
  <si>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</si>
  <si>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</si>
  <si>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</si>
  <si>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</si>
  <si>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</si>
  <si>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</si>
  <si>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</si>
  <si>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</si>
  <si>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</si>
  <si>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</si>
  <si>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</si>
  <si>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</si>
  <si>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</si>
  <si>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</si>
  <si>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</si>
  <si>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</si>
  <si>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</si>
  <si>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</si>
  <si>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</si>
  <si>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</si>
  <si>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</si>
  <si>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</si>
  <si>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</si>
  <si>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</si>
  <si>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</si>
  <si>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</si>
  <si>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</si>
  <si>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</si>
  <si>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</si>
  <si>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</si>
  <si>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</si>
  <si>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</si>
  <si>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</si>
  <si>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</si>
  <si>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</si>
  <si>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</si>
  <si>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</si>
  <si>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</si>
  <si>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</si>
  <si>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</si>
  <si>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</si>
  <si>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</si>
  <si>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</si>
  <si>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</si>
  <si>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</si>
  <si>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</si>
  <si>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</si>
  <si>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</si>
  <si>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</si>
  <si>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</si>
  <si>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</si>
  <si>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</si>
  <si>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</si>
  <si>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</si>
  <si>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</si>
  <si>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</si>
  <si>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</si>
  <si>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</si>
  <si>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</si>
  <si>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</si>
  <si>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</si>
  <si>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</si>
  <si>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</si>
  <si>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</si>
  <si>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</si>
  <si>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</si>
  <si>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</si>
  <si>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</si>
  <si>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</si>
  <si>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</si>
  <si>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</si>
  <si>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</si>
  <si>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</si>
  <si>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</si>
  <si>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</si>
  <si>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</si>
  <si>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</si>
  <si>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</si>
  <si>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</si>
  <si>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</si>
  <si>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</si>
  <si>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</si>
  <si>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</si>
  <si>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</si>
  <si>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</si>
  <si>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</si>
  <si>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</si>
  <si>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</si>
  <si>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</si>
  <si>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</si>
  <si>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</si>
  <si>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</si>
  <si>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</si>
  <si>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</si>
  <si>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</si>
  <si>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</si>
  <si>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</si>
  <si>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</si>
  <si>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</si>
  <si>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</si>
  <si>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</si>
  <si>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</si>
  <si>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</si>
  <si>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</si>
  <si>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</si>
  <si>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</si>
  <si>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</si>
  <si>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</si>
  <si>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</si>
  <si>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</si>
  <si>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</si>
  <si>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</si>
  <si>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</si>
  <si>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</si>
  <si>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</si>
  <si>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</si>
  <si>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</si>
  <si>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</si>
  <si>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</si>
  <si>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</si>
  <si>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</si>
  <si>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</si>
  <si>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</si>
  <si>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</si>
  <si>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</si>
  <si>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</si>
  <si>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</si>
  <si>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</si>
  <si>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</si>
  <si>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</si>
  <si>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</si>
  <si>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</si>
  <si>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</si>
  <si>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</si>
  <si>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</si>
  <si>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</si>
  <si>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</si>
  <si>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</si>
  <si>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</si>
  <si>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</si>
  <si>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</si>
  <si>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</si>
  <si>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</si>
  <si>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</si>
  <si>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</si>
  <si>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</si>
  <si>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</si>
  <si>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</si>
  <si>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</si>
  <si>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</si>
  <si>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</si>
  <si>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</si>
  <si>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</si>
  <si>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</si>
  <si>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</si>
  <si>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</si>
  <si>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</si>
  <si>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</si>
  <si>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</si>
  <si>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</si>
  <si>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</si>
  <si>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</si>
  <si>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</si>
  <si>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</si>
  <si>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</si>
  <si>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</si>
  <si>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</si>
  <si>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</si>
  <si>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</si>
  <si>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</si>
  <si>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</si>
  <si>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</si>
  <si>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</si>
  <si>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</si>
  <si>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</si>
  <si>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</si>
  <si>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</si>
  <si>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</si>
  <si>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</si>
  <si>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</si>
  <si>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</si>
  <si>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</si>
  <si>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</si>
  <si>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</si>
  <si>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</si>
  <si>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</si>
  <si>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</si>
  <si>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</si>
  <si>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</si>
  <si>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</si>
  <si>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</si>
  <si>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</si>
  <si>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</si>
  <si>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</si>
  <si>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</si>
  <si>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</si>
  <si>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</si>
  <si>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</si>
  <si>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</si>
  <si>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</si>
  <si>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</si>
  <si>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</si>
  <si>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</si>
  <si>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</si>
  <si>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</si>
  <si>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</si>
  <si>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</si>
  <si>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</si>
  <si>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</si>
  <si>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</si>
  <si>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</si>
  <si>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</si>
  <si>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</si>
  <si>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</si>
  <si>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</si>
  <si>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</si>
  <si>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</si>
  <si>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</si>
  <si>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</si>
  <si>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</si>
  <si>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</si>
  <si>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</si>
  <si>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</si>
  <si>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</si>
  <si>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</si>
  <si>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</si>
  <si>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</si>
  <si>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</si>
  <si>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</si>
  <si>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</si>
  <si>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</si>
  <si>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</si>
  <si>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</si>
  <si>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</si>
  <si>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</si>
  <si>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</si>
  <si>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</si>
  <si>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</si>
  <si>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</si>
  <si>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</si>
  <si>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</si>
  <si>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</si>
  <si>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</si>
  <si>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</si>
  <si>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</si>
  <si>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</si>
  <si>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</si>
  <si>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</si>
  <si>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</si>
  <si>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</si>
  <si>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</si>
  <si>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</si>
  <si>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</si>
  <si>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</si>
  <si>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</si>
  <si>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</si>
  <si>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</si>
  <si>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</si>
  <si>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</si>
  <si>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</si>
  <si>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</si>
  <si>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</si>
  <si>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</si>
  <si>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</si>
  <si>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</si>
  <si>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</si>
  <si>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</si>
  <si>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</si>
  <si>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</si>
  <si>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</si>
  <si>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</si>
  <si>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</si>
  <si>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</si>
  <si>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</si>
  <si>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</si>
  <si>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</si>
  <si>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</si>
  <si>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</si>
  <si>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</si>
  <si>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</si>
  <si>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</si>
  <si>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</si>
  <si>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</si>
  <si>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</si>
  <si>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</si>
  <si>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</si>
  <si>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</si>
  <si>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</si>
  <si>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</si>
  <si>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</si>
  <si>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</si>
  <si>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</si>
  <si>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</si>
  <si>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</si>
  <si>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</si>
  <si>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</si>
  <si>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</si>
  <si>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</si>
  <si>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</si>
  <si>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</si>
  <si>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</si>
  <si>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</si>
  <si>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</si>
  <si>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</si>
  <si>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</si>
  <si>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</si>
  <si>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</si>
  <si>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</si>
  <si>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</si>
  <si>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</si>
  <si>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</si>
  <si>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</si>
  <si>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</si>
  <si>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</si>
  <si>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</si>
  <si>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</si>
  <si>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</si>
  <si>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</si>
  <si>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</si>
  <si>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</si>
  <si>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</si>
  <si>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</si>
  <si>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</si>
  <si>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</si>
  <si>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</si>
  <si>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</si>
  <si>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</si>
  <si>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</si>
  <si>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</si>
  <si>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</si>
  <si>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</si>
  <si>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</si>
  <si>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</si>
  <si>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</si>
  <si>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</si>
  <si>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</si>
  <si>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</si>
  <si>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</si>
  <si>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</si>
  <si>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</si>
  <si>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</si>
  <si>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</si>
  <si>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</si>
  <si>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</si>
  <si>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</si>
  <si>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</si>
  <si>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</si>
  <si>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</si>
  <si>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</si>
  <si>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</si>
  <si>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</si>
  <si>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</si>
  <si>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</si>
  <si>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</si>
  <si>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</si>
  <si>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</si>
  <si>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</si>
  <si>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</si>
  <si>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</si>
  <si>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</si>
  <si>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</si>
  <si>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</si>
  <si>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</si>
  <si>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</si>
  <si>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</si>
  <si>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</si>
  <si>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</si>
  <si>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</si>
  <si>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</si>
  <si>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</si>
  <si>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</si>
  <si>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</si>
  <si>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</si>
  <si>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</si>
  <si>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</si>
  <si>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</si>
  <si>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</si>
  <si>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</si>
  <si>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</si>
  <si>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</si>
  <si>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</si>
  <si>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</si>
  <si>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</si>
  <si>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</si>
  <si>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</si>
  <si>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</si>
  <si>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</si>
  <si>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</si>
  <si>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</si>
  <si>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</si>
  <si>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</si>
  <si>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</si>
  <si>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</si>
  <si>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</si>
  <si>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</si>
  <si>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</si>
  <si>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</si>
  <si>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</si>
  <si>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</si>
  <si>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</si>
  <si>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</si>
  <si>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</si>
  <si>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</si>
  <si>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</si>
  <si>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</si>
  <si>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</si>
  <si>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</si>
  <si>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</si>
  <si>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</si>
  <si>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</si>
  <si>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</si>
  <si>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</si>
  <si>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</si>
  <si>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</si>
  <si>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</si>
  <si>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</si>
  <si>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</si>
  <si>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</si>
  <si>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</si>
  <si>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</si>
  <si>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</si>
  <si>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</si>
  <si>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</si>
  <si>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</si>
  <si>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</si>
  <si>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</si>
  <si>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</si>
  <si>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</si>
  <si>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</si>
  <si>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</si>
  <si>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</si>
  <si>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</si>
  <si>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</si>
  <si>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</si>
  <si>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</si>
  <si>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</si>
  <si>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</si>
  <si>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</si>
  <si>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</si>
  <si>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</si>
  <si>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</si>
  <si>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</si>
  <si>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</si>
  <si>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</si>
  <si>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</si>
  <si>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</si>
  <si>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</si>
  <si>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</si>
  <si>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</si>
  <si>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</si>
  <si>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</si>
  <si>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</si>
  <si>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</si>
  <si>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</si>
  <si>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</si>
  <si>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</si>
  <si>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</si>
  <si>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</si>
  <si>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</si>
  <si>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</si>
  <si>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</si>
  <si>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</si>
  <si>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</si>
  <si>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</si>
  <si>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</si>
  <si>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</si>
  <si>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</si>
  <si>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</si>
  <si>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</si>
  <si>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</si>
  <si>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</si>
  <si>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</si>
  <si>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</si>
  <si>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</si>
  <si>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</si>
  <si>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</si>
  <si>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</si>
  <si>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</si>
  <si>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</si>
  <si>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</si>
  <si>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</si>
  <si>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</si>
  <si>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</si>
  <si>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</si>
  <si>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</si>
  <si>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</si>
  <si>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</si>
  <si>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</si>
  <si>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</si>
  <si>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</si>
  <si>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</si>
  <si>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</si>
  <si>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</si>
  <si>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</si>
  <si>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</si>
  <si>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</si>
  <si>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</si>
  <si>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</si>
  <si>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</si>
  <si>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</si>
  <si>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</si>
  <si>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</si>
  <si>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</si>
  <si>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</si>
  <si>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</si>
  <si>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</si>
  <si>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</si>
  <si>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</si>
  <si>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</si>
  <si>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</si>
  <si>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</si>
  <si>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</si>
  <si>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</si>
  <si>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</si>
  <si>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</si>
  <si>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</si>
  <si>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</si>
  <si>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</si>
  <si>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</si>
  <si>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</si>
  <si>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</si>
  <si>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</si>
  <si>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</si>
  <si>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</si>
  <si>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</si>
  <si>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</si>
  <si>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</si>
  <si>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</si>
  <si>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</si>
  <si>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</si>
  <si>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</si>
  <si>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</si>
  <si>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</si>
  <si>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</si>
  <si>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</si>
  <si>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</si>
  <si>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</si>
  <si>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</si>
  <si>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</si>
  <si>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</si>
  <si>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</si>
  <si>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</si>
  <si>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</si>
  <si>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</si>
  <si>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</si>
  <si>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</si>
  <si>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</si>
  <si>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</si>
  <si>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</si>
  <si>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</si>
  <si>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</si>
  <si>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</si>
  <si>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</si>
  <si>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</si>
  <si>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</si>
  <si>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</si>
  <si>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</si>
  <si>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</si>
  <si>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</si>
  <si>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</si>
  <si>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</si>
  <si>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</si>
  <si>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</si>
  <si>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</si>
  <si>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</si>
  <si>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</si>
  <si>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</si>
  <si>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</si>
  <si>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</si>
  <si>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</si>
  <si>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</si>
  <si>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</si>
  <si>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</si>
  <si>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</si>
  <si>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</si>
  <si>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</si>
  <si>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</si>
  <si>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</si>
  <si>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</si>
  <si>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</si>
  <si>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</si>
  <si>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</si>
  <si>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</si>
  <si>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</si>
  <si>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</si>
  <si>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</si>
  <si>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</si>
  <si>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</si>
  <si>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</si>
  <si>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</si>
  <si>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</si>
  <si>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</si>
  <si>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</si>
  <si>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</si>
  <si>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</si>
  <si>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</si>
  <si>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</si>
  <si>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</si>
  <si>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</si>
  <si>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</si>
  <si>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</si>
  <si>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</si>
  <si>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</si>
  <si>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</si>
  <si>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</si>
  <si>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</si>
  <si>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</si>
  <si>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</si>
  <si>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</si>
  <si>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</si>
  <si>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</si>
  <si>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</si>
  <si>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</si>
  <si>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</si>
  <si>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</si>
  <si>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</si>
  <si>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</si>
  <si>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</si>
  <si>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</si>
  <si>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</si>
  <si>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</si>
  <si>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</si>
  <si>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</si>
  <si>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</si>
  <si>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</si>
  <si>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</si>
  <si>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</si>
  <si>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</si>
  <si>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</si>
  <si>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</si>
  <si>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</si>
  <si>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</si>
  <si>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</si>
  <si>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</si>
  <si>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</si>
  <si>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</si>
  <si>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</si>
  <si>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</si>
  <si>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</si>
  <si>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</si>
  <si>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</si>
  <si>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</si>
  <si>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</si>
  <si>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</si>
  <si>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</si>
  <si>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</si>
  <si>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</si>
  <si>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</si>
  <si>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</si>
  <si>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</si>
  <si>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</si>
  <si>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</si>
  <si>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</si>
  <si>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</si>
  <si>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</si>
  <si>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</si>
  <si>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</si>
  <si>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</si>
  <si>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</si>
  <si>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</si>
  <si>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</si>
  <si>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</si>
  <si>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</si>
  <si>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</si>
  <si>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</si>
  <si>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</si>
  <si>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</si>
  <si>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</si>
  <si>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</si>
  <si>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</si>
  <si>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</si>
  <si>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</si>
  <si>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</si>
  <si>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</si>
  <si>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</si>
  <si>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</si>
  <si>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</si>
  <si>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</si>
  <si>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</si>
  <si>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</si>
  <si>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</si>
  <si>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</si>
  <si>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</si>
  <si>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</si>
  <si>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</si>
  <si>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</si>
  <si>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</si>
  <si>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</si>
  <si>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</si>
  <si>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</si>
  <si>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</si>
  <si>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</si>
  <si>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</si>
  <si>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</si>
  <si>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</si>
  <si>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</si>
  <si>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</si>
  <si>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</si>
  <si>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</si>
  <si>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</si>
  <si>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</si>
  <si>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</si>
  <si>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</si>
  <si>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</si>
  <si>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</si>
  <si>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</si>
  <si>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</si>
  <si>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</si>
  <si>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</si>
  <si>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</si>
  <si>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</si>
  <si>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</si>
  <si>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</si>
  <si>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</si>
  <si>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</si>
  <si>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</si>
  <si>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</si>
  <si>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</si>
  <si>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</si>
  <si>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</si>
  <si>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</si>
  <si>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</si>
  <si>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</si>
  <si>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</si>
  <si>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</si>
  <si>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</si>
  <si>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</si>
  <si>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</si>
  <si>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</si>
  <si>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</si>
  <si>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</si>
  <si>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</si>
  <si>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</si>
  <si>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</si>
  <si>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</si>
  <si>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</si>
  <si>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</si>
  <si>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</si>
  <si>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</si>
  <si>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</si>
  <si>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</si>
  <si>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</si>
  <si>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</si>
  <si>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</si>
  <si>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</si>
  <si>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</si>
  <si>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</si>
  <si>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</si>
  <si>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</si>
  <si>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</si>
  <si>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</si>
  <si>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</si>
  <si>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</si>
  <si>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</si>
  <si>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</si>
  <si>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</si>
  <si>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</si>
  <si>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</si>
  <si>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</si>
  <si>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</si>
  <si>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</si>
  <si>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</si>
  <si>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</si>
  <si>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</si>
  <si>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</si>
  <si>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</si>
  <si>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</si>
  <si>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</si>
  <si>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</si>
  <si>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</si>
  <si>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</si>
  <si>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</si>
  <si>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</si>
  <si>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</si>
  <si>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</si>
  <si>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</si>
  <si>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</si>
  <si>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</si>
  <si>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</si>
  <si>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</si>
  <si>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</si>
  <si>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</si>
  <si>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</si>
  <si>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</si>
  <si>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</si>
  <si>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</si>
  <si>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</si>
  <si>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</si>
  <si>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</si>
  <si>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</si>
  <si>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</si>
  <si>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</si>
  <si>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</si>
  <si>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</si>
  <si>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</si>
  <si>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</si>
  <si>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</si>
  <si>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</si>
  <si>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</si>
  <si>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</si>
  <si>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</si>
  <si>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</si>
  <si>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</si>
  <si>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</si>
  <si>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</si>
  <si>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</si>
  <si>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</si>
  <si>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</si>
  <si>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</si>
  <si>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</si>
  <si>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</si>
  <si>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</si>
  <si>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</si>
  <si>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</si>
  <si>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</si>
  <si>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</si>
  <si>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</si>
  <si>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</si>
  <si>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</si>
  <si>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</si>
  <si>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</si>
  <si>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</si>
  <si>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</si>
  <si>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</si>
  <si>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</si>
  <si>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</si>
  <si>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</si>
  <si>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</si>
  <si>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</si>
  <si>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</si>
  <si>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</si>
  <si>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</si>
  <si>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</si>
  <si>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</si>
  <si>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</si>
  <si>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</si>
  <si>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</si>
  <si>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</si>
  <si>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</si>
  <si>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</si>
  <si>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</si>
  <si>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</si>
  <si>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</si>
  <si>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</si>
  <si>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</si>
  <si>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</si>
  <si>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</si>
  <si>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</si>
  <si>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</si>
  <si>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</si>
  <si>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</si>
  <si>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</si>
  <si>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</si>
  <si>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</si>
  <si>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</si>
  <si>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</si>
  <si>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</si>
  <si>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</si>
  <si>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</si>
  <si>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</si>
  <si>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</si>
  <si>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</si>
  <si>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</si>
  <si>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</si>
  <si>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</si>
  <si>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</si>
  <si>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</si>
  <si>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</si>
  <si>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</si>
  <si>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</si>
  <si>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</si>
  <si>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</si>
  <si>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</si>
  <si>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</si>
  <si>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</si>
  <si>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</si>
  <si>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</si>
  <si>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</si>
  <si>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</si>
  <si>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</si>
  <si>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</si>
  <si>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</si>
  <si>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</si>
  <si>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</si>
  <si>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</si>
  <si>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</si>
  <si>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</si>
  <si>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</si>
  <si>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</si>
  <si>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</si>
  <si>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</si>
  <si>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</si>
  <si>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</si>
  <si>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</si>
  <si>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</si>
  <si>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</si>
  <si>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</si>
  <si>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</si>
  <si>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</si>
  <si>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</si>
  <si>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</si>
  <si>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</si>
  <si>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</si>
  <si>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</si>
  <si>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</si>
  <si>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</si>
  <si>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</si>
  <si>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</si>
  <si>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</si>
  <si>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</si>
  <si>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</si>
  <si>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</si>
  <si>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</si>
  <si>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</si>
  <si>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</si>
  <si>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</si>
  <si>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</si>
  <si>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</si>
  <si>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</si>
  <si>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</si>
  <si>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</si>
  <si>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</si>
  <si>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</si>
  <si>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</si>
  <si>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</si>
  <si>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</si>
  <si>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</si>
  <si>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</si>
  <si>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</si>
  <si>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</si>
  <si>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</si>
  <si>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</si>
  <si>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</si>
  <si>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</si>
  <si>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</si>
  <si>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</si>
  <si>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</si>
  <si>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</si>
  <si>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</si>
  <si>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</si>
  <si>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</si>
  <si>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</si>
  <si>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</si>
  <si>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</si>
  <si>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</si>
  <si>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</si>
  <si>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</si>
  <si>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</si>
  <si>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</si>
  <si>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</si>
  <si>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</si>
  <si>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</si>
  <si>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</si>
  <si>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</si>
  <si>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</si>
  <si>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</si>
  <si>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</si>
  <si>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</si>
  <si>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</si>
  <si>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</si>
  <si>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</si>
  <si>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</si>
  <si>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</si>
  <si>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</si>
  <si>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</si>
  <si>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</si>
  <si>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</si>
  <si>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</si>
  <si>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</si>
  <si>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</si>
  <si>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</si>
  <si>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</si>
  <si>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</si>
  <si>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</si>
  <si>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</si>
  <si>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</si>
  <si>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</si>
  <si>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</si>
  <si>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</si>
  <si>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</si>
  <si>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</si>
  <si>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</si>
  <si>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</si>
  <si>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</si>
  <si>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</si>
  <si>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</si>
  <si>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</si>
  <si>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</si>
  <si>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</si>
  <si>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</si>
  <si>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</si>
  <si>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</si>
  <si>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</si>
  <si>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</si>
  <si>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</si>
  <si>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</si>
  <si>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</si>
  <si>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</si>
  <si>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</si>
  <si>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</si>
  <si>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</si>
  <si>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</si>
  <si>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</si>
  <si>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</si>
  <si>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</si>
  <si>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</si>
  <si>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</si>
  <si>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</si>
  <si>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</si>
  <si>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</si>
  <si>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</si>
  <si>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</si>
  <si>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</si>
  <si>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</si>
  <si>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</si>
  <si>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</si>
  <si>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</si>
  <si>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</si>
  <si>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</si>
  <si>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</si>
  <si>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</si>
  <si>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</si>
  <si>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</si>
  <si>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</si>
  <si>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</si>
  <si>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</si>
  <si>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</si>
  <si>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</si>
  <si>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</si>
  <si>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</si>
  <si>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</si>
  <si>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</si>
  <si>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</si>
  <si>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</si>
  <si>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</si>
  <si>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</si>
  <si>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</si>
  <si>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</si>
  <si>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</si>
  <si>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</si>
  <si>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</si>
  <si>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</si>
  <si>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</si>
  <si>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</si>
  <si>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</si>
  <si>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</si>
  <si>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</si>
  <si>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</si>
  <si>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</si>
  <si>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</si>
  <si>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</si>
  <si>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</si>
  <si>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</si>
  <si>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</si>
  <si>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</si>
  <si>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</si>
  <si>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</si>
  <si>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</si>
  <si>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</si>
  <si>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Mainline North Apartments</t>
  </si>
  <si>
    <t>CDLAC-TCAC Joint Application (submitting concurrently)</t>
  </si>
  <si>
    <t>40%/60% Average Income</t>
  </si>
  <si>
    <t>Other (Specify below)</t>
  </si>
  <si>
    <t>4,750 sq.ft of retail space</t>
  </si>
  <si>
    <t>City of Santa Clara</t>
  </si>
  <si>
    <t>Deferred Costs</t>
  </si>
  <si>
    <t>Commerical Space Sale</t>
  </si>
  <si>
    <t>Santa Clara County Housing Authority</t>
  </si>
  <si>
    <t>App and Late Fees, Damages</t>
  </si>
  <si>
    <t>Admin Expenses</t>
  </si>
  <si>
    <t>Tenant Relations</t>
  </si>
  <si>
    <t>Business License/Permits</t>
  </si>
  <si>
    <t>Interest prior to Conversion</t>
  </si>
  <si>
    <t>Construction Staging</t>
  </si>
  <si>
    <t>Relocation</t>
  </si>
  <si>
    <t>NOI during Construction</t>
  </si>
  <si>
    <t>Fixed</t>
  </si>
  <si>
    <t>Variable</t>
  </si>
  <si>
    <t>L+200</t>
  </si>
  <si>
    <t>L+250</t>
  </si>
  <si>
    <t>I/O</t>
  </si>
  <si>
    <t>Mainline North 701, L.P.</t>
  </si>
  <si>
    <t>2310 Calle Del Mundo</t>
  </si>
  <si>
    <t>097-46-024</t>
  </si>
  <si>
    <t>AO Architects</t>
  </si>
  <si>
    <t>144 N. orange St.</t>
  </si>
  <si>
    <t>Orange, Ca 92866</t>
  </si>
  <si>
    <t>Edward Wu</t>
  </si>
  <si>
    <t>714-639-9860</t>
  </si>
  <si>
    <t>NA</t>
  </si>
  <si>
    <t>edwardw@aoarchitects.com</t>
  </si>
  <si>
    <t>The building includes 5-stories of residential units over a 3-story podium parking structure</t>
  </si>
  <si>
    <t>Transit neighborhood / 350 units per acre max</t>
  </si>
  <si>
    <t>Transit neighborhood / 196 units per acre max</t>
  </si>
  <si>
    <t>Transit Neighborhood</t>
  </si>
  <si>
    <t>85' Max</t>
  </si>
  <si>
    <t>Architectural Review</t>
  </si>
  <si>
    <t>325 E Hillcrest Dr., Suite 160</t>
  </si>
  <si>
    <t>Thousand Oaks, CA  91360</t>
  </si>
  <si>
    <t>Mike Hemmens</t>
  </si>
  <si>
    <t>Tax Exempt Bonds</t>
  </si>
  <si>
    <t>3200 Douglas Blvd., Suite 200</t>
  </si>
  <si>
    <t>Roseville, CA  95661</t>
  </si>
  <si>
    <t>Geoffrey C. Brown</t>
  </si>
  <si>
    <t>Tax Exempt Permanent Bonds</t>
  </si>
  <si>
    <t>Roseville</t>
  </si>
  <si>
    <t>CA</t>
  </si>
  <si>
    <t>Darren Bobrowsky</t>
  </si>
  <si>
    <t>dbobrowsky@usapropfund.com</t>
  </si>
  <si>
    <t>USA Properties Fund, Inc.</t>
  </si>
  <si>
    <t>Administrative GP</t>
  </si>
  <si>
    <t>Mainline North GP 701, LLC</t>
  </si>
  <si>
    <t>Managing GP</t>
  </si>
  <si>
    <t>3200 Douglas Blvd, Suite 200</t>
  </si>
  <si>
    <t>Riverside Charitable Corporation</t>
  </si>
  <si>
    <t>14131 Yorba Street, Suite 204</t>
  </si>
  <si>
    <t>Tustin</t>
  </si>
  <si>
    <t>Kenneth S. Robertson</t>
  </si>
  <si>
    <t>ksr@riversidecharitable.org</t>
  </si>
  <si>
    <t>Not Applicable</t>
  </si>
  <si>
    <t>Parent Company to General Partner</t>
  </si>
  <si>
    <t>USA Multi-Family Development, Inc.</t>
  </si>
  <si>
    <t>gbrown@usapropfund.com</t>
  </si>
  <si>
    <t>Bocarsly Emden Cowan Esmail &amp; Arndt LLP</t>
  </si>
  <si>
    <t>633 West Fifth Street, 64th Floor</t>
  </si>
  <si>
    <t>Los Angeles, CA  90071</t>
  </si>
  <si>
    <t>Kyle Arndt</t>
  </si>
  <si>
    <t>karndt@bocarsly.com</t>
  </si>
  <si>
    <t>USA Construction Management, Inc.</t>
  </si>
  <si>
    <t>Antonio Piscitello</t>
  </si>
  <si>
    <t>tpiscitello@usapropfund.com</t>
  </si>
  <si>
    <t>Novogradac &amp; Company</t>
  </si>
  <si>
    <t>Kinetic Valuation</t>
  </si>
  <si>
    <t>11060 Oak Street, Suite 6</t>
  </si>
  <si>
    <t>Omaha, NE 68144</t>
  </si>
  <si>
    <t>Jay Wortmann</t>
  </si>
  <si>
    <t>jay@kvgteam.com</t>
  </si>
  <si>
    <t>California Municipal Finance Authority</t>
  </si>
  <si>
    <t>2111 Palomar Airport Rd,Suite 320</t>
  </si>
  <si>
    <t>Carlsbad, CA  92011</t>
  </si>
  <si>
    <t>John P. Stoecker</t>
  </si>
  <si>
    <t>(760) 930-1221</t>
  </si>
  <si>
    <t>(760) 683-3390</t>
  </si>
  <si>
    <t xml:space="preserve"> jstoecker@cmfa-ca.com</t>
  </si>
  <si>
    <t>USA Multifamily Management, Inc.</t>
  </si>
  <si>
    <t>April Atkinson</t>
  </si>
  <si>
    <t>aatkinson@usapropfund.com</t>
  </si>
  <si>
    <t>17782 Sky Park Circle</t>
  </si>
  <si>
    <t>Jessica Captanis</t>
  </si>
  <si>
    <t>Tax Credit Equity</t>
  </si>
  <si>
    <t>Mainline North GP 701, LLC (is a wholly-owned subsidiary of USA Proepreties Fund, Inc.)</t>
  </si>
  <si>
    <t>1500 Warburton Avenue</t>
  </si>
  <si>
    <t>Jonathan Veach</t>
  </si>
  <si>
    <t>Senior Vice President</t>
  </si>
  <si>
    <t>1160 Battery Street, East Building 4th Floor</t>
  </si>
  <si>
    <t>San Francisco, CA  9411</t>
  </si>
  <si>
    <t>Mike Morrison</t>
  </si>
  <si>
    <t>mike.morrison@novoco.com</t>
  </si>
  <si>
    <t>WNC &amp; Associates Inc.</t>
  </si>
  <si>
    <t>Irvine, CA  92614</t>
  </si>
  <si>
    <t>jcaptanis@wncinc.com</t>
  </si>
  <si>
    <t>USA BH 26, Inc.</t>
  </si>
  <si>
    <t>President</t>
  </si>
  <si>
    <t xml:space="preserve">3200 Douglas Blvd., Suite 200 </t>
  </si>
  <si>
    <t>Roseville, CA  96551</t>
  </si>
  <si>
    <t>NEED</t>
  </si>
  <si>
    <t>Life Span Home, Inc.</t>
  </si>
  <si>
    <t>Secured by Fee Interest</t>
  </si>
  <si>
    <t>WNC &amp; Associates</t>
  </si>
  <si>
    <t>Citibank, N.A. - Tax Exempt Bonds</t>
  </si>
  <si>
    <t>Citibank, N.A. - Taxable Loan</t>
  </si>
  <si>
    <t>Taxable Loan</t>
  </si>
  <si>
    <t>Subsidy Loan</t>
  </si>
  <si>
    <t>Irvine</t>
  </si>
  <si>
    <t>Proceeds</t>
  </si>
  <si>
    <t>NOI during construction</t>
  </si>
  <si>
    <t>Operations</t>
  </si>
  <si>
    <t>LifeSTEPS</t>
  </si>
  <si>
    <t>Andrew Crabtree</t>
  </si>
  <si>
    <t>Community Development Director</t>
  </si>
  <si>
    <t>ACrabtree@SantaClaraCA.gov</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</si>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</sst>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47">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0" applyFont="1" applyBorder="1" applyAlignment="1">
      <alignment horizontal="left" vertical="top"/>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11"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1" fillId="0" borderId="4" xfId="0" applyFont="1" applyBorder="1" applyAlignment="1" applyProtection="1">
      <alignment horizontal="left"/>
    </xf>
    <xf numFmtId="0" fontId="11" fillId="0" borderId="5" xfId="0" applyFont="1" applyBorder="1" applyAlignment="1" applyProtection="1">
      <alignment horizontal="left"/>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20" fillId="0" borderId="11" xfId="0" applyNumberFormat="1" applyFont="1" applyFill="1" applyBorder="1" applyAlignment="1" applyProtection="1">
      <alignment horizontal="center"/>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11" fillId="5" borderId="6" xfId="0"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175" fontId="0" fillId="5" borderId="4"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4" fontId="0" fillId="5" borderId="11" xfId="0" applyNumberFormat="1" applyFill="1" applyBorder="1" applyAlignment="1" applyProtection="1">
      <alignment horizontal="center"/>
      <protection locked="0"/>
    </xf>
    <xf numFmtId="0" fontId="0" fillId="44" borderId="6" xfId="0" applyFill="1" applyBorder="1" applyAlignment="1" applyProtection="1">
      <alignment horizontal="left"/>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0" fontId="20" fillId="5" borderId="11" xfId="0" applyFont="1" applyFill="1" applyBorder="1" applyAlignment="1" applyProtection="1">
      <alignment horizontal="center"/>
      <protection locked="0"/>
    </xf>
    <xf numFmtId="3" fontId="20" fillId="0" borderId="11" xfId="0" applyNumberFormat="1" applyFont="1" applyFill="1" applyBorder="1" applyAlignment="1" applyProtection="1">
      <alignment horizontal="center"/>
    </xf>
    <xf numFmtId="166" fontId="20" fillId="5" borderId="4" xfId="0"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5" borderId="4" xfId="0" applyFon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1" fontId="20" fillId="5" borderId="6" xfId="0" applyNumberFormat="1" applyFont="1" applyFill="1" applyBorder="1" applyAlignment="1" applyProtection="1">
      <alignment horizontal="right"/>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14" fontId="11" fillId="5" borderId="11" xfId="0" applyNumberFormat="1" applyFont="1" applyFill="1" applyBorder="1" applyAlignment="1" applyProtection="1">
      <alignment horizontal="center"/>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168" fontId="0" fillId="5" borderId="3" xfId="0" applyNumberFormat="1" applyFill="1" applyBorder="1" applyAlignment="1" applyProtection="1">
      <alignment horizontal="right"/>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11"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0" fillId="0" borderId="6" xfId="0" applyFill="1" applyBorder="1" applyAlignment="1" applyProtection="1">
      <alignment horizontal="left"/>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Fill="1" applyBorder="1" applyAlignment="1" applyProtection="1">
      <alignment horizontal="center"/>
      <protection locked="0"/>
    </xf>
    <xf numFmtId="0" fontId="11" fillId="0" borderId="6" xfId="0" applyFont="1" applyBorder="1" applyAlignment="1" applyProtection="1">
      <alignment horizontal="center"/>
      <protection locked="0"/>
    </xf>
    <xf numFmtId="0" fontId="11" fillId="5" borderId="6" xfId="244" applyFont="1" applyFill="1" applyBorder="1" applyAlignment="1" applyProtection="1">
      <alignment horizontal="left"/>
      <protection locked="0"/>
    </xf>
    <xf numFmtId="168" fontId="20" fillId="0" borderId="6" xfId="0" applyNumberFormat="1" applyFont="1" applyFill="1" applyBorder="1" applyAlignment="1" applyProtection="1">
      <alignment horizontal="center"/>
    </xf>
    <xf numFmtId="0" fontId="20" fillId="5" borderId="6" xfId="0" applyFont="1" applyFill="1" applyBorder="1" applyAlignment="1" applyProtection="1">
      <alignment horizontal="left" wrapText="1"/>
      <protection locked="0"/>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244" applyFill="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8" fontId="0" fillId="0" borderId="6" xfId="0" applyNumberFormat="1" applyFill="1" applyBorder="1" applyAlignment="1" applyProtection="1">
      <alignment horizontal="center"/>
    </xf>
    <xf numFmtId="0" fontId="20" fillId="0" borderId="6" xfId="0" applyFont="1" applyFill="1" applyBorder="1" applyAlignment="1" applyProtection="1">
      <alignment horizontal="left" wrapText="1"/>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5" borderId="0" xfId="244"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68" fontId="11" fillId="44"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0" fontId="20" fillId="0" borderId="11" xfId="0" applyFont="1" applyFill="1" applyBorder="1" applyAlignment="1" applyProtection="1">
      <alignment horizontal="center"/>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168" fontId="0" fillId="0" borderId="11" xfId="0" applyNumberFormat="1" applyFill="1" applyBorder="1" applyAlignment="1" applyProtection="1">
      <alignment horizont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20"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171" fontId="11"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1" fillId="0" borderId="0" xfId="543" applyNumberFormat="1" applyFont="1" applyFill="1" applyBorder="1" applyAlignment="1" applyProtection="1">
      <alignment horizontal="center" vertical="center"/>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30" fillId="5" borderId="3" xfId="0" applyFont="1" applyFill="1" applyBorder="1" applyAlignment="1" applyProtection="1">
      <alignment horizontal="left"/>
      <protection locked="0"/>
    </xf>
    <xf numFmtId="0" fontId="18" fillId="0" borderId="6" xfId="0" applyFont="1" applyBorder="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7" fillId="3" borderId="0" xfId="0" applyFont="1" applyFill="1" applyBorder="1" applyAlignment="1" applyProtection="1">
      <alignment horizontal="center" vertic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11" fillId="0" borderId="0" xfId="543" applyFont="1" applyFill="1" applyAlignment="1" applyProtection="1">
      <alignment horizontal="center"/>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8" fillId="0" borderId="1" xfId="0" applyFont="1" applyBorder="1" applyAlignment="1" applyProtection="1">
      <alignment horizontal="center" wrapText="1"/>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72" fontId="0" fillId="5" borderId="6" xfId="0" applyNumberFormat="1" applyFill="1" applyBorder="1" applyAlignment="1" applyProtection="1">
      <alignment horizontal="center"/>
      <protection locked="0"/>
    </xf>
    <xf numFmtId="10" fontId="20" fillId="5" borderId="4"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1" fillId="5" borderId="3" xfId="0" applyNumberFormat="1" applyFon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14" fontId="153" fillId="48" borderId="73" xfId="4501" applyNumberFormat="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53" fillId="48" borderId="68"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79"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45" borderId="81"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0" fontId="4" fillId="48" borderId="5" xfId="450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48" fillId="45" borderId="3"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14" fontId="153" fillId="48" borderId="75" xfId="4501" applyNumberFormat="1"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0" fontId="153" fillId="48" borderId="9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5" xfId="4501"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9" fillId="48" borderId="11"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148" fillId="45" borderId="94"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81" xfId="4501" applyFont="1" applyFill="1" applyBorder="1" applyAlignment="1" applyProtection="1">
      <alignment horizontal="center"/>
      <protection locked="0"/>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44"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44"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17147">
    <cellStyle name="20% - Accent1" xfId="1" builtinId="30" customBuiltin="1"/>
    <cellStyle name="20% - Accent1 10" xfId="4507" xr:uid="{00000000-0005-0000-0000-000001000000}"/>
    <cellStyle name="20% - Accent1 10 2" xfId="12936" xr:uid="{1C2C80F4-EC08-4F50-9569-003F5DAA70B3}"/>
    <cellStyle name="20% - Accent1 11" xfId="8718" xr:uid="{7E882D90-4A63-4461-B69F-85F8FCA31651}"/>
    <cellStyle name="20% - Accent1 2" xfId="2" xr:uid="{00000000-0005-0000-0000-000002000000}"/>
    <cellStyle name="20% - Accent1 2 10" xfId="8719" xr:uid="{82289651-B104-438F-B8E8-C1BFD9E33E37}"/>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2 2" xfId="15498" xr:uid="{DA535F07-BC5F-4A5D-8D69-50D4B6C265DD}"/>
    <cellStyle name="20% - Accent1 2 2 2 2 2 3" xfId="11280" xr:uid="{903F2F0B-6E82-45C0-9642-5395786B7751}"/>
    <cellStyle name="20% - Accent1 2 2 2 2 3" xfId="4924" xr:uid="{00000000-0005-0000-0000-000008000000}"/>
    <cellStyle name="20% - Accent1 2 2 2 2 3 2" xfId="13353" xr:uid="{1F2228EE-A20B-49E0-995D-BFD021389DDF}"/>
    <cellStyle name="20% - Accent1 2 2 2 2 4" xfId="9135" xr:uid="{60CC67EB-26F3-4CE2-9439-78CFE1B67E5D}"/>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2 2" xfId="15911" xr:uid="{ECB0518A-181B-45D0-9A0E-27ED9CB2DD17}"/>
    <cellStyle name="20% - Accent1 2 2 2 3 2 3" xfId="11693" xr:uid="{7F53BC84-62AA-4715-BF90-0C4558339ECC}"/>
    <cellStyle name="20% - Accent1 2 2 2 3 3" xfId="5337" xr:uid="{00000000-0005-0000-0000-00000C000000}"/>
    <cellStyle name="20% - Accent1 2 2 2 3 3 2" xfId="13766" xr:uid="{238D6F99-36CA-4F33-B6EA-373FB5769482}"/>
    <cellStyle name="20% - Accent1 2 2 2 3 4" xfId="9548" xr:uid="{BB6D8D72-738E-412E-A8B7-C0B8EB5BC6B4}"/>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2 2" xfId="16324" xr:uid="{614980D6-4027-40E2-8FF7-BB4761B74321}"/>
    <cellStyle name="20% - Accent1 2 2 2 4 2 3" xfId="12106" xr:uid="{9E8B939A-0289-4A3F-AC32-7334113616DB}"/>
    <cellStyle name="20% - Accent1 2 2 2 4 3" xfId="5750" xr:uid="{00000000-0005-0000-0000-000010000000}"/>
    <cellStyle name="20% - Accent1 2 2 2 4 3 2" xfId="14179" xr:uid="{1F38DD8E-6A6B-4B89-BF14-A6E6024B5E98}"/>
    <cellStyle name="20% - Accent1 2 2 2 4 4" xfId="9961" xr:uid="{C5720A2B-E1C5-43A3-B28E-24C93BF515D5}"/>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2 2" xfId="16737" xr:uid="{AC44F58B-1C20-447F-98C4-4509350189F5}"/>
    <cellStyle name="20% - Accent1 2 2 2 5 2 3" xfId="12519" xr:uid="{255825E5-21CB-4424-85BF-9A76F4A0FB47}"/>
    <cellStyle name="20% - Accent1 2 2 2 5 3" xfId="6163" xr:uid="{00000000-0005-0000-0000-000014000000}"/>
    <cellStyle name="20% - Accent1 2 2 2 5 3 2" xfId="14592" xr:uid="{AA1EC88A-225B-4384-B964-29A06D66FB30}"/>
    <cellStyle name="20% - Accent1 2 2 2 5 4" xfId="10374" xr:uid="{C14A97DB-AAFA-4514-A912-305FDDD4AD20}"/>
    <cellStyle name="20% - Accent1 2 2 2 6" xfId="2268" xr:uid="{00000000-0005-0000-0000-000015000000}"/>
    <cellStyle name="20% - Accent1 2 2 2 6 2" xfId="6576" xr:uid="{00000000-0005-0000-0000-000016000000}"/>
    <cellStyle name="20% - Accent1 2 2 2 6 2 2" xfId="15005" xr:uid="{7C76AF43-7997-4788-BCBE-822BF640B3B6}"/>
    <cellStyle name="20% - Accent1 2 2 2 6 3" xfId="10787" xr:uid="{57533A25-ED5D-4C3A-B887-3AEDCC880A91}"/>
    <cellStyle name="20% - Accent1 2 2 2 7" xfId="4510" xr:uid="{00000000-0005-0000-0000-000017000000}"/>
    <cellStyle name="20% - Accent1 2 2 2 7 2" xfId="12939" xr:uid="{11696DBA-DBFE-4D64-8C0F-537F6346464A}"/>
    <cellStyle name="20% - Accent1 2 2 2 8" xfId="8721" xr:uid="{1ABEC769-A2AB-4BFF-9F10-7D06BF7BCC71}"/>
    <cellStyle name="20% - Accent1 2 2 3" xfId="573" xr:uid="{00000000-0005-0000-0000-000018000000}"/>
    <cellStyle name="20% - Accent1 2 2 3 2" xfId="2844" xr:uid="{00000000-0005-0000-0000-000019000000}"/>
    <cellStyle name="20% - Accent1 2 2 3 2 2" xfId="7068" xr:uid="{00000000-0005-0000-0000-00001A000000}"/>
    <cellStyle name="20% - Accent1 2 2 3 2 2 2" xfId="15497" xr:uid="{3D99D374-EF8A-4FF4-91FD-D9A628055E5C}"/>
    <cellStyle name="20% - Accent1 2 2 3 2 3" xfId="11279" xr:uid="{D8E49ED1-7BD7-4AE9-A20A-AEE8CC543345}"/>
    <cellStyle name="20% - Accent1 2 2 3 3" xfId="4923" xr:uid="{00000000-0005-0000-0000-00001B000000}"/>
    <cellStyle name="20% - Accent1 2 2 3 3 2" xfId="13352" xr:uid="{36FDEF91-D8DF-4985-9E23-B1010B23ED58}"/>
    <cellStyle name="20% - Accent1 2 2 3 4" xfId="9134" xr:uid="{17E82C02-4701-4AC9-AA1C-89CB2D046690}"/>
    <cellStyle name="20% - Accent1 2 2 4" xfId="1026" xr:uid="{00000000-0005-0000-0000-00001C000000}"/>
    <cellStyle name="20% - Accent1 2 2 4 2" xfId="3257" xr:uid="{00000000-0005-0000-0000-00001D000000}"/>
    <cellStyle name="20% - Accent1 2 2 4 2 2" xfId="7481" xr:uid="{00000000-0005-0000-0000-00001E000000}"/>
    <cellStyle name="20% - Accent1 2 2 4 2 2 2" xfId="15910" xr:uid="{12C82B37-7DA5-413E-BE15-BF8850E5622F}"/>
    <cellStyle name="20% - Accent1 2 2 4 2 3" xfId="11692" xr:uid="{7C970109-BFA9-4FE0-B9F0-E109615877E9}"/>
    <cellStyle name="20% - Accent1 2 2 4 3" xfId="5336" xr:uid="{00000000-0005-0000-0000-00001F000000}"/>
    <cellStyle name="20% - Accent1 2 2 4 3 2" xfId="13765" xr:uid="{0CE97493-076A-4C05-80F0-CC485B85FEE7}"/>
    <cellStyle name="20% - Accent1 2 2 4 4" xfId="9547" xr:uid="{70FBE15E-01EF-4D1E-A1E7-AD7BDF8C05B6}"/>
    <cellStyle name="20% - Accent1 2 2 5" xfId="1440" xr:uid="{00000000-0005-0000-0000-000020000000}"/>
    <cellStyle name="20% - Accent1 2 2 5 2" xfId="3670" xr:uid="{00000000-0005-0000-0000-000021000000}"/>
    <cellStyle name="20% - Accent1 2 2 5 2 2" xfId="7894" xr:uid="{00000000-0005-0000-0000-000022000000}"/>
    <cellStyle name="20% - Accent1 2 2 5 2 2 2" xfId="16323" xr:uid="{76032B7E-F686-4F95-999C-5EE7944000B4}"/>
    <cellStyle name="20% - Accent1 2 2 5 2 3" xfId="12105" xr:uid="{D9C7D6EF-E585-4C1F-9CE4-20F3FC4329A4}"/>
    <cellStyle name="20% - Accent1 2 2 5 3" xfId="5749" xr:uid="{00000000-0005-0000-0000-000023000000}"/>
    <cellStyle name="20% - Accent1 2 2 5 3 2" xfId="14178" xr:uid="{FCF98CAB-9EF4-4232-9F1D-E4832A392117}"/>
    <cellStyle name="20% - Accent1 2 2 5 4" xfId="9960" xr:uid="{417184DE-E9C5-413E-A561-908C8241878D}"/>
    <cellStyle name="20% - Accent1 2 2 6" xfId="1854" xr:uid="{00000000-0005-0000-0000-000024000000}"/>
    <cellStyle name="20% - Accent1 2 2 6 2" xfId="4083" xr:uid="{00000000-0005-0000-0000-000025000000}"/>
    <cellStyle name="20% - Accent1 2 2 6 2 2" xfId="8307" xr:uid="{00000000-0005-0000-0000-000026000000}"/>
    <cellStyle name="20% - Accent1 2 2 6 2 2 2" xfId="16736" xr:uid="{A4BB83DF-520E-49F6-A2C3-7C80A33FFC0B}"/>
    <cellStyle name="20% - Accent1 2 2 6 2 3" xfId="12518" xr:uid="{ED7771B0-DB87-4F9E-A2C3-8A93412C52DC}"/>
    <cellStyle name="20% - Accent1 2 2 6 3" xfId="6162" xr:uid="{00000000-0005-0000-0000-000027000000}"/>
    <cellStyle name="20% - Accent1 2 2 6 3 2" xfId="14591" xr:uid="{5E1A3CF3-DDF2-41C7-932E-442FCA1F57F3}"/>
    <cellStyle name="20% - Accent1 2 2 6 4" xfId="10373" xr:uid="{8A26B43A-D3C7-403D-A537-330B25157F37}"/>
    <cellStyle name="20% - Accent1 2 2 7" xfId="2267" xr:uid="{00000000-0005-0000-0000-000028000000}"/>
    <cellStyle name="20% - Accent1 2 2 7 2" xfId="6575" xr:uid="{00000000-0005-0000-0000-000029000000}"/>
    <cellStyle name="20% - Accent1 2 2 7 2 2" xfId="15004" xr:uid="{1E4D7A64-EC89-4ACD-A529-D666A611F451}"/>
    <cellStyle name="20% - Accent1 2 2 7 3" xfId="10786" xr:uid="{E507EB6B-5A06-4B2A-A6B2-001D34DDF6EE}"/>
    <cellStyle name="20% - Accent1 2 2 8" xfId="4509" xr:uid="{00000000-0005-0000-0000-00002A000000}"/>
    <cellStyle name="20% - Accent1 2 2 8 2" xfId="12938" xr:uid="{95F8D79C-E496-4359-9070-B90F80A27AF1}"/>
    <cellStyle name="20% - Accent1 2 2 9" xfId="8720" xr:uid="{F245B7D4-8989-4D05-B3C5-CD221501CD49}"/>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2 2" xfId="15499" xr:uid="{25DB2CB6-EC07-4A33-94EB-23DD4F145A73}"/>
    <cellStyle name="20% - Accent1 2 3 2 2 3" xfId="11281" xr:uid="{7B403B68-E6FC-4EC3-BBC6-408E320E9A58}"/>
    <cellStyle name="20% - Accent1 2 3 2 3" xfId="4925" xr:uid="{00000000-0005-0000-0000-00002F000000}"/>
    <cellStyle name="20% - Accent1 2 3 2 3 2" xfId="13354" xr:uid="{6041EEAA-8948-4A5D-B60A-424926CB120F}"/>
    <cellStyle name="20% - Accent1 2 3 2 4" xfId="9136" xr:uid="{00C5A936-A1AC-469E-84A5-E5EB92157008}"/>
    <cellStyle name="20% - Accent1 2 3 3" xfId="1028" xr:uid="{00000000-0005-0000-0000-000030000000}"/>
    <cellStyle name="20% - Accent1 2 3 3 2" xfId="3259" xr:uid="{00000000-0005-0000-0000-000031000000}"/>
    <cellStyle name="20% - Accent1 2 3 3 2 2" xfId="7483" xr:uid="{00000000-0005-0000-0000-000032000000}"/>
    <cellStyle name="20% - Accent1 2 3 3 2 2 2" xfId="15912" xr:uid="{A914BDFA-A22E-44B0-A628-01299AE55E5B}"/>
    <cellStyle name="20% - Accent1 2 3 3 2 3" xfId="11694" xr:uid="{6D5DABDE-826B-408D-BFA7-CB4272370B6C}"/>
    <cellStyle name="20% - Accent1 2 3 3 3" xfId="5338" xr:uid="{00000000-0005-0000-0000-000033000000}"/>
    <cellStyle name="20% - Accent1 2 3 3 3 2" xfId="13767" xr:uid="{106E93F2-962C-4402-8269-E9661EDFEB0A}"/>
    <cellStyle name="20% - Accent1 2 3 3 4" xfId="9549" xr:uid="{2F6A7C8E-46FA-40F2-8B51-DC443000C27B}"/>
    <cellStyle name="20% - Accent1 2 3 4" xfId="1442" xr:uid="{00000000-0005-0000-0000-000034000000}"/>
    <cellStyle name="20% - Accent1 2 3 4 2" xfId="3672" xr:uid="{00000000-0005-0000-0000-000035000000}"/>
    <cellStyle name="20% - Accent1 2 3 4 2 2" xfId="7896" xr:uid="{00000000-0005-0000-0000-000036000000}"/>
    <cellStyle name="20% - Accent1 2 3 4 2 2 2" xfId="16325" xr:uid="{3DB76194-4399-4C66-8561-6FC804339E34}"/>
    <cellStyle name="20% - Accent1 2 3 4 2 3" xfId="12107" xr:uid="{DD09759B-2F28-4448-AB45-54C2FAA50D2E}"/>
    <cellStyle name="20% - Accent1 2 3 4 3" xfId="5751" xr:uid="{00000000-0005-0000-0000-000037000000}"/>
    <cellStyle name="20% - Accent1 2 3 4 3 2" xfId="14180" xr:uid="{BFC6BC3D-16C3-49D7-8F0C-C927073E3368}"/>
    <cellStyle name="20% - Accent1 2 3 4 4" xfId="9962" xr:uid="{02144FE8-B727-4925-8887-F270B99231CD}"/>
    <cellStyle name="20% - Accent1 2 3 5" xfId="1856" xr:uid="{00000000-0005-0000-0000-000038000000}"/>
    <cellStyle name="20% - Accent1 2 3 5 2" xfId="4085" xr:uid="{00000000-0005-0000-0000-000039000000}"/>
    <cellStyle name="20% - Accent1 2 3 5 2 2" xfId="8309" xr:uid="{00000000-0005-0000-0000-00003A000000}"/>
    <cellStyle name="20% - Accent1 2 3 5 2 2 2" xfId="16738" xr:uid="{5531213B-7814-41BD-B9B7-0B5EEF9BBCAA}"/>
    <cellStyle name="20% - Accent1 2 3 5 2 3" xfId="12520" xr:uid="{31382D3A-5069-4F99-8D59-B233C6D66589}"/>
    <cellStyle name="20% - Accent1 2 3 5 3" xfId="6164" xr:uid="{00000000-0005-0000-0000-00003B000000}"/>
    <cellStyle name="20% - Accent1 2 3 5 3 2" xfId="14593" xr:uid="{64F44814-4327-4FC1-AED4-11B1212BA956}"/>
    <cellStyle name="20% - Accent1 2 3 5 4" xfId="10375" xr:uid="{347FDFC1-592A-4966-966D-E3EEF27EF181}"/>
    <cellStyle name="20% - Accent1 2 3 6" xfId="2269" xr:uid="{00000000-0005-0000-0000-00003C000000}"/>
    <cellStyle name="20% - Accent1 2 3 6 2" xfId="6577" xr:uid="{00000000-0005-0000-0000-00003D000000}"/>
    <cellStyle name="20% - Accent1 2 3 6 2 2" xfId="15006" xr:uid="{E3300598-1522-4E6F-B9AC-DEB3708B7BF3}"/>
    <cellStyle name="20% - Accent1 2 3 6 3" xfId="10788" xr:uid="{5143E8B2-FD31-4F1F-BF2D-C3AA365A4255}"/>
    <cellStyle name="20% - Accent1 2 3 7" xfId="4511" xr:uid="{00000000-0005-0000-0000-00003E000000}"/>
    <cellStyle name="20% - Accent1 2 3 7 2" xfId="12940" xr:uid="{E02FB528-10D6-4D42-8540-69CF4C582927}"/>
    <cellStyle name="20% - Accent1 2 3 8" xfId="8722" xr:uid="{03217F84-B5AB-4D82-8661-2C0AACCB9975}"/>
    <cellStyle name="20% - Accent1 2 4" xfId="572" xr:uid="{00000000-0005-0000-0000-00003F000000}"/>
    <cellStyle name="20% - Accent1 2 4 2" xfId="2843" xr:uid="{00000000-0005-0000-0000-000040000000}"/>
    <cellStyle name="20% - Accent1 2 4 2 2" xfId="7067" xr:uid="{00000000-0005-0000-0000-000041000000}"/>
    <cellStyle name="20% - Accent1 2 4 2 2 2" xfId="15496" xr:uid="{72533D05-147A-402C-A43F-F28A4641B746}"/>
    <cellStyle name="20% - Accent1 2 4 2 3" xfId="11278" xr:uid="{A536C7DD-8FEB-4EA7-8C38-32DAD07DC703}"/>
    <cellStyle name="20% - Accent1 2 4 3" xfId="4922" xr:uid="{00000000-0005-0000-0000-000042000000}"/>
    <cellStyle name="20% - Accent1 2 4 3 2" xfId="13351" xr:uid="{A50B5039-A159-4C83-AE54-6A9A558130E8}"/>
    <cellStyle name="20% - Accent1 2 4 4" xfId="9133" xr:uid="{147584D5-B90A-4F7E-8D13-621E6758D28E}"/>
    <cellStyle name="20% - Accent1 2 5" xfId="1025" xr:uid="{00000000-0005-0000-0000-000043000000}"/>
    <cellStyle name="20% - Accent1 2 5 2" xfId="3256" xr:uid="{00000000-0005-0000-0000-000044000000}"/>
    <cellStyle name="20% - Accent1 2 5 2 2" xfId="7480" xr:uid="{00000000-0005-0000-0000-000045000000}"/>
    <cellStyle name="20% - Accent1 2 5 2 2 2" xfId="15909" xr:uid="{C6D3C474-5610-479B-B573-7C6A0606E75B}"/>
    <cellStyle name="20% - Accent1 2 5 2 3" xfId="11691" xr:uid="{0C2F81EB-03B1-490A-AB5B-53B75F38601A}"/>
    <cellStyle name="20% - Accent1 2 5 3" xfId="5335" xr:uid="{00000000-0005-0000-0000-000046000000}"/>
    <cellStyle name="20% - Accent1 2 5 3 2" xfId="13764" xr:uid="{F391F19B-2A0C-4D08-AF68-52854BC8BCC6}"/>
    <cellStyle name="20% - Accent1 2 5 4" xfId="9546" xr:uid="{C70F7D63-8BC3-4987-91C4-220FB12B7FD6}"/>
    <cellStyle name="20% - Accent1 2 6" xfId="1439" xr:uid="{00000000-0005-0000-0000-000047000000}"/>
    <cellStyle name="20% - Accent1 2 6 2" xfId="3669" xr:uid="{00000000-0005-0000-0000-000048000000}"/>
    <cellStyle name="20% - Accent1 2 6 2 2" xfId="7893" xr:uid="{00000000-0005-0000-0000-000049000000}"/>
    <cellStyle name="20% - Accent1 2 6 2 2 2" xfId="16322" xr:uid="{5D2C4661-27DA-4DF8-85EF-C1561A754483}"/>
    <cellStyle name="20% - Accent1 2 6 2 3" xfId="12104" xr:uid="{D71B29D2-171E-4ACE-ACB2-25A70708D501}"/>
    <cellStyle name="20% - Accent1 2 6 3" xfId="5748" xr:uid="{00000000-0005-0000-0000-00004A000000}"/>
    <cellStyle name="20% - Accent1 2 6 3 2" xfId="14177" xr:uid="{4588DD08-70C8-4BCC-B30F-B397CCB21DE2}"/>
    <cellStyle name="20% - Accent1 2 6 4" xfId="9959" xr:uid="{F70B63FF-492B-4FA9-9234-D9A9B22196FB}"/>
    <cellStyle name="20% - Accent1 2 7" xfId="1853" xr:uid="{00000000-0005-0000-0000-00004B000000}"/>
    <cellStyle name="20% - Accent1 2 7 2" xfId="4082" xr:uid="{00000000-0005-0000-0000-00004C000000}"/>
    <cellStyle name="20% - Accent1 2 7 2 2" xfId="8306" xr:uid="{00000000-0005-0000-0000-00004D000000}"/>
    <cellStyle name="20% - Accent1 2 7 2 2 2" xfId="16735" xr:uid="{745E5E4A-21F2-4DE0-A6A0-3ADDE3BB68CE}"/>
    <cellStyle name="20% - Accent1 2 7 2 3" xfId="12517" xr:uid="{EFFDB286-ECD6-4734-B065-B524B90B1F9C}"/>
    <cellStyle name="20% - Accent1 2 7 3" xfId="6161" xr:uid="{00000000-0005-0000-0000-00004E000000}"/>
    <cellStyle name="20% - Accent1 2 7 3 2" xfId="14590" xr:uid="{C1E27103-BD75-4B8F-952C-56981234D81B}"/>
    <cellStyle name="20% - Accent1 2 7 4" xfId="10372" xr:uid="{874DEEEB-51DE-4CA5-9681-B4E98E255E42}"/>
    <cellStyle name="20% - Accent1 2 8" xfId="2266" xr:uid="{00000000-0005-0000-0000-00004F000000}"/>
    <cellStyle name="20% - Accent1 2 8 2" xfId="6574" xr:uid="{00000000-0005-0000-0000-000050000000}"/>
    <cellStyle name="20% - Accent1 2 8 2 2" xfId="15003" xr:uid="{569DBC36-FEA3-4B58-BD76-5C2291FA3B0C}"/>
    <cellStyle name="20% - Accent1 2 8 3" xfId="10785" xr:uid="{67A704D1-AB27-45CB-ACB2-71BD1FC0C2A8}"/>
    <cellStyle name="20% - Accent1 2 9" xfId="4508" xr:uid="{00000000-0005-0000-0000-000051000000}"/>
    <cellStyle name="20% - Accent1 2 9 2" xfId="12937" xr:uid="{C6B1FDFB-82DC-4081-94A8-089D3FF73119}"/>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2 2" xfId="15501" xr:uid="{4BEE3A2B-CE26-4C47-8AFD-E94E933B5C33}"/>
    <cellStyle name="20% - Accent1 3 2 2 2 3" xfId="11283" xr:uid="{F027D99F-3EC8-4719-A604-705EB63D2DEE}"/>
    <cellStyle name="20% - Accent1 3 2 2 3" xfId="4927" xr:uid="{00000000-0005-0000-0000-000057000000}"/>
    <cellStyle name="20% - Accent1 3 2 2 3 2" xfId="13356" xr:uid="{7F372317-B6AA-4195-9BFB-1E79DE9CAADE}"/>
    <cellStyle name="20% - Accent1 3 2 2 4" xfId="9138" xr:uid="{FF5B658A-86E1-46D0-8543-BC901120146A}"/>
    <cellStyle name="20% - Accent1 3 2 3" xfId="1030" xr:uid="{00000000-0005-0000-0000-000058000000}"/>
    <cellStyle name="20% - Accent1 3 2 3 2" xfId="3261" xr:uid="{00000000-0005-0000-0000-000059000000}"/>
    <cellStyle name="20% - Accent1 3 2 3 2 2" xfId="7485" xr:uid="{00000000-0005-0000-0000-00005A000000}"/>
    <cellStyle name="20% - Accent1 3 2 3 2 2 2" xfId="15914" xr:uid="{6FB756E9-2F0E-4C62-9A90-D7B659D7B623}"/>
    <cellStyle name="20% - Accent1 3 2 3 2 3" xfId="11696" xr:uid="{77B6C52E-DD44-48B3-A954-8149EB5E1A93}"/>
    <cellStyle name="20% - Accent1 3 2 3 3" xfId="5340" xr:uid="{00000000-0005-0000-0000-00005B000000}"/>
    <cellStyle name="20% - Accent1 3 2 3 3 2" xfId="13769" xr:uid="{138AB626-4502-4275-8682-812892A4352E}"/>
    <cellStyle name="20% - Accent1 3 2 3 4" xfId="9551" xr:uid="{1E964E02-E62E-44C6-BE23-8FFE17D8FC21}"/>
    <cellStyle name="20% - Accent1 3 2 4" xfId="1444" xr:uid="{00000000-0005-0000-0000-00005C000000}"/>
    <cellStyle name="20% - Accent1 3 2 4 2" xfId="3674" xr:uid="{00000000-0005-0000-0000-00005D000000}"/>
    <cellStyle name="20% - Accent1 3 2 4 2 2" xfId="7898" xr:uid="{00000000-0005-0000-0000-00005E000000}"/>
    <cellStyle name="20% - Accent1 3 2 4 2 2 2" xfId="16327" xr:uid="{06AA6D20-4BBD-4C5F-8812-2008133C4113}"/>
    <cellStyle name="20% - Accent1 3 2 4 2 3" xfId="12109" xr:uid="{F6192A87-937D-426D-8B77-8E670DAAAA11}"/>
    <cellStyle name="20% - Accent1 3 2 4 3" xfId="5753" xr:uid="{00000000-0005-0000-0000-00005F000000}"/>
    <cellStyle name="20% - Accent1 3 2 4 3 2" xfId="14182" xr:uid="{D7B52016-DB85-488C-8DBA-0F9C6321089A}"/>
    <cellStyle name="20% - Accent1 3 2 4 4" xfId="9964" xr:uid="{CF733B2E-F229-49CA-A690-584ACCD6BECC}"/>
    <cellStyle name="20% - Accent1 3 2 5" xfId="1858" xr:uid="{00000000-0005-0000-0000-000060000000}"/>
    <cellStyle name="20% - Accent1 3 2 5 2" xfId="4087" xr:uid="{00000000-0005-0000-0000-000061000000}"/>
    <cellStyle name="20% - Accent1 3 2 5 2 2" xfId="8311" xr:uid="{00000000-0005-0000-0000-000062000000}"/>
    <cellStyle name="20% - Accent1 3 2 5 2 2 2" xfId="16740" xr:uid="{7B0C9FEB-E18C-4E13-A902-1EB6597C6F58}"/>
    <cellStyle name="20% - Accent1 3 2 5 2 3" xfId="12522" xr:uid="{9FBC78A7-6FA3-4733-A437-8027E8822C6C}"/>
    <cellStyle name="20% - Accent1 3 2 5 3" xfId="6166" xr:uid="{00000000-0005-0000-0000-000063000000}"/>
    <cellStyle name="20% - Accent1 3 2 5 3 2" xfId="14595" xr:uid="{A96BBD63-E5B5-4EA7-8BC5-903B8B292B94}"/>
    <cellStyle name="20% - Accent1 3 2 5 4" xfId="10377" xr:uid="{7692C52E-BA4F-4550-9354-75647E75A427}"/>
    <cellStyle name="20% - Accent1 3 2 6" xfId="2271" xr:uid="{00000000-0005-0000-0000-000064000000}"/>
    <cellStyle name="20% - Accent1 3 2 6 2" xfId="6579" xr:uid="{00000000-0005-0000-0000-000065000000}"/>
    <cellStyle name="20% - Accent1 3 2 6 2 2" xfId="15008" xr:uid="{C2B7BAC4-67FF-4EC6-9D1D-DECFA55075D9}"/>
    <cellStyle name="20% - Accent1 3 2 6 3" xfId="10790" xr:uid="{7E323D85-38DA-4FE6-9D26-26C7EB506373}"/>
    <cellStyle name="20% - Accent1 3 2 7" xfId="4513" xr:uid="{00000000-0005-0000-0000-000066000000}"/>
    <cellStyle name="20% - Accent1 3 2 7 2" xfId="12942" xr:uid="{EE4BD7AA-CA95-451C-B210-A9E1A624C7AE}"/>
    <cellStyle name="20% - Accent1 3 2 8" xfId="8724" xr:uid="{A4DA5DCD-A50B-4E05-9BBD-FDD4514C2FEE}"/>
    <cellStyle name="20% - Accent1 3 3" xfId="576" xr:uid="{00000000-0005-0000-0000-000067000000}"/>
    <cellStyle name="20% - Accent1 3 3 2" xfId="2847" xr:uid="{00000000-0005-0000-0000-000068000000}"/>
    <cellStyle name="20% - Accent1 3 3 2 2" xfId="7071" xr:uid="{00000000-0005-0000-0000-000069000000}"/>
    <cellStyle name="20% - Accent1 3 3 2 2 2" xfId="15500" xr:uid="{8C3DCADE-5BF0-49F4-B3CB-B0C1EB4AB9E0}"/>
    <cellStyle name="20% - Accent1 3 3 2 3" xfId="11282" xr:uid="{A446568D-1A36-420E-8520-F199DBAA27AC}"/>
    <cellStyle name="20% - Accent1 3 3 3" xfId="4926" xr:uid="{00000000-0005-0000-0000-00006A000000}"/>
    <cellStyle name="20% - Accent1 3 3 3 2" xfId="13355" xr:uid="{5F3386BF-1451-4CA6-972B-0886547A5D24}"/>
    <cellStyle name="20% - Accent1 3 3 4" xfId="9137" xr:uid="{484611DF-EF86-425D-8B3D-35C5B31D1E40}"/>
    <cellStyle name="20% - Accent1 3 4" xfId="1029" xr:uid="{00000000-0005-0000-0000-00006B000000}"/>
    <cellStyle name="20% - Accent1 3 4 2" xfId="3260" xr:uid="{00000000-0005-0000-0000-00006C000000}"/>
    <cellStyle name="20% - Accent1 3 4 2 2" xfId="7484" xr:uid="{00000000-0005-0000-0000-00006D000000}"/>
    <cellStyle name="20% - Accent1 3 4 2 2 2" xfId="15913" xr:uid="{4C8DF002-4346-495E-958F-9446F5F557E9}"/>
    <cellStyle name="20% - Accent1 3 4 2 3" xfId="11695" xr:uid="{26CB05AA-821B-4D47-AFEB-BACF56803A03}"/>
    <cellStyle name="20% - Accent1 3 4 3" xfId="5339" xr:uid="{00000000-0005-0000-0000-00006E000000}"/>
    <cellStyle name="20% - Accent1 3 4 3 2" xfId="13768" xr:uid="{3B4C646F-1B04-4066-B251-3A2DA6359D0C}"/>
    <cellStyle name="20% - Accent1 3 4 4" xfId="9550" xr:uid="{A8DCE8BC-DF13-4045-9BCF-D6DE4B1594DC}"/>
    <cellStyle name="20% - Accent1 3 5" xfId="1443" xr:uid="{00000000-0005-0000-0000-00006F000000}"/>
    <cellStyle name="20% - Accent1 3 5 2" xfId="3673" xr:uid="{00000000-0005-0000-0000-000070000000}"/>
    <cellStyle name="20% - Accent1 3 5 2 2" xfId="7897" xr:uid="{00000000-0005-0000-0000-000071000000}"/>
    <cellStyle name="20% - Accent1 3 5 2 2 2" xfId="16326" xr:uid="{3F3E18BD-E393-4F32-84A6-7DA72022562D}"/>
    <cellStyle name="20% - Accent1 3 5 2 3" xfId="12108" xr:uid="{8FC07C3C-0C13-41C0-81A1-9FDF7BDD54E2}"/>
    <cellStyle name="20% - Accent1 3 5 3" xfId="5752" xr:uid="{00000000-0005-0000-0000-000072000000}"/>
    <cellStyle name="20% - Accent1 3 5 3 2" xfId="14181" xr:uid="{C78A7CF8-325D-4896-83B1-B7C64566AEDD}"/>
    <cellStyle name="20% - Accent1 3 5 4" xfId="9963" xr:uid="{FEF4CD46-AB0C-4CD4-BA69-E90D9F22F301}"/>
    <cellStyle name="20% - Accent1 3 6" xfId="1857" xr:uid="{00000000-0005-0000-0000-000073000000}"/>
    <cellStyle name="20% - Accent1 3 6 2" xfId="4086" xr:uid="{00000000-0005-0000-0000-000074000000}"/>
    <cellStyle name="20% - Accent1 3 6 2 2" xfId="8310" xr:uid="{00000000-0005-0000-0000-000075000000}"/>
    <cellStyle name="20% - Accent1 3 6 2 2 2" xfId="16739" xr:uid="{8F0CBBF4-F0E6-47D2-ACD0-069ED0BEDDB9}"/>
    <cellStyle name="20% - Accent1 3 6 2 3" xfId="12521" xr:uid="{A716C197-838A-4F09-AED4-965004F1D504}"/>
    <cellStyle name="20% - Accent1 3 6 3" xfId="6165" xr:uid="{00000000-0005-0000-0000-000076000000}"/>
    <cellStyle name="20% - Accent1 3 6 3 2" xfId="14594" xr:uid="{BEFB6137-FA24-46D3-84E7-58204CA35EC4}"/>
    <cellStyle name="20% - Accent1 3 6 4" xfId="10376" xr:uid="{E2CA4F59-DA0D-45D7-AC03-6821545BEEB0}"/>
    <cellStyle name="20% - Accent1 3 7" xfId="2270" xr:uid="{00000000-0005-0000-0000-000077000000}"/>
    <cellStyle name="20% - Accent1 3 7 2" xfId="6578" xr:uid="{00000000-0005-0000-0000-000078000000}"/>
    <cellStyle name="20% - Accent1 3 7 2 2" xfId="15007" xr:uid="{3DCEBCA3-059F-422A-A38D-939305BE8F8A}"/>
    <cellStyle name="20% - Accent1 3 7 3" xfId="10789" xr:uid="{C9FDDD7C-E2D8-4C12-9134-49DB1E0FF2DE}"/>
    <cellStyle name="20% - Accent1 3 8" xfId="4512" xr:uid="{00000000-0005-0000-0000-000079000000}"/>
    <cellStyle name="20% - Accent1 3 8 2" xfId="12941" xr:uid="{78583CCA-1458-4224-9233-BB598BBA95FB}"/>
    <cellStyle name="20% - Accent1 3 9" xfId="8723" xr:uid="{A7A433DA-30AD-41C2-9D07-61E6275D16D1}"/>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2 2" xfId="15502" xr:uid="{9DABD609-B59A-4A1A-ACA5-0E9974388B0E}"/>
    <cellStyle name="20% - Accent1 4 2 2 3" xfId="11284" xr:uid="{4318551D-5DAC-405B-BC1F-EDDECCA4336C}"/>
    <cellStyle name="20% - Accent1 4 2 3" xfId="4928" xr:uid="{00000000-0005-0000-0000-00007E000000}"/>
    <cellStyle name="20% - Accent1 4 2 3 2" xfId="13357" xr:uid="{77C63FAD-A31E-4C6D-BF89-F51239B240D4}"/>
    <cellStyle name="20% - Accent1 4 2 4" xfId="9139" xr:uid="{7074B7E2-4A0A-4A1A-A203-90725CCAB55F}"/>
    <cellStyle name="20% - Accent1 4 3" xfId="1031" xr:uid="{00000000-0005-0000-0000-00007F000000}"/>
    <cellStyle name="20% - Accent1 4 3 2" xfId="3262" xr:uid="{00000000-0005-0000-0000-000080000000}"/>
    <cellStyle name="20% - Accent1 4 3 2 2" xfId="7486" xr:uid="{00000000-0005-0000-0000-000081000000}"/>
    <cellStyle name="20% - Accent1 4 3 2 2 2" xfId="15915" xr:uid="{7B50D698-7AC5-45EC-8EBD-A30B3D4AE6BA}"/>
    <cellStyle name="20% - Accent1 4 3 2 3" xfId="11697" xr:uid="{A3A45F88-C6FD-4493-90D2-03F37AACB4FE}"/>
    <cellStyle name="20% - Accent1 4 3 3" xfId="5341" xr:uid="{00000000-0005-0000-0000-000082000000}"/>
    <cellStyle name="20% - Accent1 4 3 3 2" xfId="13770" xr:uid="{C0068F1C-AF76-47D3-995F-901AD304E7C3}"/>
    <cellStyle name="20% - Accent1 4 3 4" xfId="9552" xr:uid="{38893994-3920-46A4-A7A8-F7F00292F57E}"/>
    <cellStyle name="20% - Accent1 4 4" xfId="1445" xr:uid="{00000000-0005-0000-0000-000083000000}"/>
    <cellStyle name="20% - Accent1 4 4 2" xfId="3675" xr:uid="{00000000-0005-0000-0000-000084000000}"/>
    <cellStyle name="20% - Accent1 4 4 2 2" xfId="7899" xr:uid="{00000000-0005-0000-0000-000085000000}"/>
    <cellStyle name="20% - Accent1 4 4 2 2 2" xfId="16328" xr:uid="{5CBADD76-9EFB-4C71-B19A-0E851771D0D4}"/>
    <cellStyle name="20% - Accent1 4 4 2 3" xfId="12110" xr:uid="{4FE77F3C-096C-42EE-9205-8271150A1E96}"/>
    <cellStyle name="20% - Accent1 4 4 3" xfId="5754" xr:uid="{00000000-0005-0000-0000-000086000000}"/>
    <cellStyle name="20% - Accent1 4 4 3 2" xfId="14183" xr:uid="{68B509D4-16F2-4B15-881F-41153F9CFA9C}"/>
    <cellStyle name="20% - Accent1 4 4 4" xfId="9965" xr:uid="{D471539F-7E0C-459D-90F8-74D279918AD0}"/>
    <cellStyle name="20% - Accent1 4 5" xfId="1859" xr:uid="{00000000-0005-0000-0000-000087000000}"/>
    <cellStyle name="20% - Accent1 4 5 2" xfId="4088" xr:uid="{00000000-0005-0000-0000-000088000000}"/>
    <cellStyle name="20% - Accent1 4 5 2 2" xfId="8312" xr:uid="{00000000-0005-0000-0000-000089000000}"/>
    <cellStyle name="20% - Accent1 4 5 2 2 2" xfId="16741" xr:uid="{69D96DC2-0D2A-49AD-8EE5-7E94BBF3D19B}"/>
    <cellStyle name="20% - Accent1 4 5 2 3" xfId="12523" xr:uid="{CFC2D16F-22CA-4D14-8FEB-185C5018AF47}"/>
    <cellStyle name="20% - Accent1 4 5 3" xfId="6167" xr:uid="{00000000-0005-0000-0000-00008A000000}"/>
    <cellStyle name="20% - Accent1 4 5 3 2" xfId="14596" xr:uid="{9FEAD5AB-E4F9-43AC-9995-48A213A56A65}"/>
    <cellStyle name="20% - Accent1 4 5 4" xfId="10378" xr:uid="{1C5239FB-561A-4470-A32D-CE306B9E6B25}"/>
    <cellStyle name="20% - Accent1 4 6" xfId="2272" xr:uid="{00000000-0005-0000-0000-00008B000000}"/>
    <cellStyle name="20% - Accent1 4 6 2" xfId="6580" xr:uid="{00000000-0005-0000-0000-00008C000000}"/>
    <cellStyle name="20% - Accent1 4 6 2 2" xfId="15009" xr:uid="{2BA8B2C9-C7B8-4F6A-9BB4-383AF4334F05}"/>
    <cellStyle name="20% - Accent1 4 6 3" xfId="10791" xr:uid="{F791F9D2-B1D4-4E6E-8528-7485BA84D4C3}"/>
    <cellStyle name="20% - Accent1 4 7" xfId="4514" xr:uid="{00000000-0005-0000-0000-00008D000000}"/>
    <cellStyle name="20% - Accent1 4 7 2" xfId="12943" xr:uid="{CC2353A3-9F0F-4B64-BEDF-D8887AB6A5F6}"/>
    <cellStyle name="20% - Accent1 4 8" xfId="8725" xr:uid="{75EA25B8-9B30-4332-87E1-8F3AB6C92C3D}"/>
    <cellStyle name="20% - Accent1 5" xfId="571" xr:uid="{00000000-0005-0000-0000-00008E000000}"/>
    <cellStyle name="20% - Accent1 5 2" xfId="2842" xr:uid="{00000000-0005-0000-0000-00008F000000}"/>
    <cellStyle name="20% - Accent1 5 2 2" xfId="7066" xr:uid="{00000000-0005-0000-0000-000090000000}"/>
    <cellStyle name="20% - Accent1 5 2 2 2" xfId="15495" xr:uid="{D30BB984-7A0F-4A0D-8FE9-58B967DBA967}"/>
    <cellStyle name="20% - Accent1 5 2 3" xfId="11277" xr:uid="{42B65C8E-946D-47EB-A8C3-5DCF1B386C01}"/>
    <cellStyle name="20% - Accent1 5 3" xfId="4921" xr:uid="{00000000-0005-0000-0000-000091000000}"/>
    <cellStyle name="20% - Accent1 5 3 2" xfId="13350" xr:uid="{18FF64C5-7C51-4CCE-9AD6-E64D9430393F}"/>
    <cellStyle name="20% - Accent1 5 4" xfId="9132" xr:uid="{80D0AA91-17F1-4EB1-9391-5210A97E379F}"/>
    <cellStyle name="20% - Accent1 6" xfId="1024" xr:uid="{00000000-0005-0000-0000-000092000000}"/>
    <cellStyle name="20% - Accent1 6 2" xfId="3255" xr:uid="{00000000-0005-0000-0000-000093000000}"/>
    <cellStyle name="20% - Accent1 6 2 2" xfId="7479" xr:uid="{00000000-0005-0000-0000-000094000000}"/>
    <cellStyle name="20% - Accent1 6 2 2 2" xfId="15908" xr:uid="{096CA223-0E01-4988-9431-C1BD74AA0BA0}"/>
    <cellStyle name="20% - Accent1 6 2 3" xfId="11690" xr:uid="{0C5187B1-ED71-4ABE-A663-BEC20ADA498D}"/>
    <cellStyle name="20% - Accent1 6 3" xfId="5334" xr:uid="{00000000-0005-0000-0000-000095000000}"/>
    <cellStyle name="20% - Accent1 6 3 2" xfId="13763" xr:uid="{5C366FCB-2584-4F5E-8881-A1FA100F49AC}"/>
    <cellStyle name="20% - Accent1 6 4" xfId="9545" xr:uid="{47A4CF8B-7F2E-42B1-BDD5-037FC5814FBB}"/>
    <cellStyle name="20% - Accent1 7" xfId="1438" xr:uid="{00000000-0005-0000-0000-000096000000}"/>
    <cellStyle name="20% - Accent1 7 2" xfId="3668" xr:uid="{00000000-0005-0000-0000-000097000000}"/>
    <cellStyle name="20% - Accent1 7 2 2" xfId="7892" xr:uid="{00000000-0005-0000-0000-000098000000}"/>
    <cellStyle name="20% - Accent1 7 2 2 2" xfId="16321" xr:uid="{50F14018-4BD3-458E-A923-5BCE1B2D22B7}"/>
    <cellStyle name="20% - Accent1 7 2 3" xfId="12103" xr:uid="{7AEE7A87-CCD4-489B-B5F3-B7154170AA90}"/>
    <cellStyle name="20% - Accent1 7 3" xfId="5747" xr:uid="{00000000-0005-0000-0000-000099000000}"/>
    <cellStyle name="20% - Accent1 7 3 2" xfId="14176" xr:uid="{3F8D0763-12E9-4D43-BC7D-648F4F8ECB6E}"/>
    <cellStyle name="20% - Accent1 7 4" xfId="9958" xr:uid="{6C5141D7-7738-47DE-BBAB-1E06D45C51F0}"/>
    <cellStyle name="20% - Accent1 8" xfId="1852" xr:uid="{00000000-0005-0000-0000-00009A000000}"/>
    <cellStyle name="20% - Accent1 8 2" xfId="4081" xr:uid="{00000000-0005-0000-0000-00009B000000}"/>
    <cellStyle name="20% - Accent1 8 2 2" xfId="8305" xr:uid="{00000000-0005-0000-0000-00009C000000}"/>
    <cellStyle name="20% - Accent1 8 2 2 2" xfId="16734" xr:uid="{F642EA04-C698-4841-B1C6-1C5C3214B9DD}"/>
    <cellStyle name="20% - Accent1 8 2 3" xfId="12516" xr:uid="{C789296A-A27D-488B-BB05-296FA5257500}"/>
    <cellStyle name="20% - Accent1 8 3" xfId="6160" xr:uid="{00000000-0005-0000-0000-00009D000000}"/>
    <cellStyle name="20% - Accent1 8 3 2" xfId="14589" xr:uid="{BC59A9D8-99E8-4219-AE17-27F53F365B8F}"/>
    <cellStyle name="20% - Accent1 8 4" xfId="10371" xr:uid="{E705521C-BC1C-4526-9DB8-771E7D26C315}"/>
    <cellStyle name="20% - Accent1 9" xfId="2265" xr:uid="{00000000-0005-0000-0000-00009E000000}"/>
    <cellStyle name="20% - Accent1 9 2" xfId="6573" xr:uid="{00000000-0005-0000-0000-00009F000000}"/>
    <cellStyle name="20% - Accent1 9 2 2" xfId="15002" xr:uid="{57136325-2BCB-44DE-AF27-A650BEF7A158}"/>
    <cellStyle name="20% - Accent1 9 3" xfId="10784" xr:uid="{B87E3AEB-47AD-4994-8E59-BE4B383C0A3B}"/>
    <cellStyle name="20% - Accent2" xfId="9" builtinId="34" customBuiltin="1"/>
    <cellStyle name="20% - Accent2 10" xfId="4515" xr:uid="{00000000-0005-0000-0000-0000A1000000}"/>
    <cellStyle name="20% - Accent2 10 2" xfId="12944" xr:uid="{438EF179-BBDE-4E5A-A192-83F6FC7187BA}"/>
    <cellStyle name="20% - Accent2 11" xfId="8726" xr:uid="{BC5F3F51-2C86-4A17-B8B0-A55492D2F548}"/>
    <cellStyle name="20% - Accent2 2" xfId="10" xr:uid="{00000000-0005-0000-0000-0000A2000000}"/>
    <cellStyle name="20% - Accent2 2 10" xfId="8727" xr:uid="{2A771D67-A56B-4D7E-9152-C16D4556F6EA}"/>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2 2" xfId="15506" xr:uid="{DD26EE90-590D-4108-9011-5B4E98A2BB24}"/>
    <cellStyle name="20% - Accent2 2 2 2 2 2 3" xfId="11288" xr:uid="{0F6F450B-2854-4D8D-BD17-D509A4FA56BD}"/>
    <cellStyle name="20% - Accent2 2 2 2 2 3" xfId="4932" xr:uid="{00000000-0005-0000-0000-0000A8000000}"/>
    <cellStyle name="20% - Accent2 2 2 2 2 3 2" xfId="13361" xr:uid="{4D59B7E3-FCB2-4D10-91C7-9CE57BBE7837}"/>
    <cellStyle name="20% - Accent2 2 2 2 2 4" xfId="9143" xr:uid="{A3057B8A-060B-435C-B75C-8A14C9172D4F}"/>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2 2" xfId="15919" xr:uid="{21D79174-FE33-47DA-AACC-7A4C548A0E99}"/>
    <cellStyle name="20% - Accent2 2 2 2 3 2 3" xfId="11701" xr:uid="{17286776-8C05-4A39-B1C5-9A8EDBCD1270}"/>
    <cellStyle name="20% - Accent2 2 2 2 3 3" xfId="5345" xr:uid="{00000000-0005-0000-0000-0000AC000000}"/>
    <cellStyle name="20% - Accent2 2 2 2 3 3 2" xfId="13774" xr:uid="{138B333B-4A03-4E34-BE4D-A4A9A9BB0ED8}"/>
    <cellStyle name="20% - Accent2 2 2 2 3 4" xfId="9556" xr:uid="{E68C98D1-BB3B-4FB7-B726-7EB44F985964}"/>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2 2" xfId="16332" xr:uid="{11477770-E4F8-48DA-BFCC-8872794FACC4}"/>
    <cellStyle name="20% - Accent2 2 2 2 4 2 3" xfId="12114" xr:uid="{6C00FDDC-1E1E-4A74-917F-68A58E591155}"/>
    <cellStyle name="20% - Accent2 2 2 2 4 3" xfId="5758" xr:uid="{00000000-0005-0000-0000-0000B0000000}"/>
    <cellStyle name="20% - Accent2 2 2 2 4 3 2" xfId="14187" xr:uid="{BD87DD2A-2F5A-4B8C-808A-3C0FD23A46FF}"/>
    <cellStyle name="20% - Accent2 2 2 2 4 4" xfId="9969" xr:uid="{AF237D1F-943B-4952-9424-FEE6FFD4DE94}"/>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2 2" xfId="16745" xr:uid="{DCFDB946-5EC6-418F-91E5-EEFA0A7370E7}"/>
    <cellStyle name="20% - Accent2 2 2 2 5 2 3" xfId="12527" xr:uid="{C24CC9FE-648C-41BF-91A7-F9053EDCA6EC}"/>
    <cellStyle name="20% - Accent2 2 2 2 5 3" xfId="6171" xr:uid="{00000000-0005-0000-0000-0000B4000000}"/>
    <cellStyle name="20% - Accent2 2 2 2 5 3 2" xfId="14600" xr:uid="{D8EB7CD1-6708-41C6-895E-42BFBBC5EF5B}"/>
    <cellStyle name="20% - Accent2 2 2 2 5 4" xfId="10382" xr:uid="{93EB7F72-37E6-4CE7-B66A-4C52187FC19F}"/>
    <cellStyle name="20% - Accent2 2 2 2 6" xfId="2276" xr:uid="{00000000-0005-0000-0000-0000B5000000}"/>
    <cellStyle name="20% - Accent2 2 2 2 6 2" xfId="6584" xr:uid="{00000000-0005-0000-0000-0000B6000000}"/>
    <cellStyle name="20% - Accent2 2 2 2 6 2 2" xfId="15013" xr:uid="{8C719C28-4827-4914-9A5A-23768B3FA775}"/>
    <cellStyle name="20% - Accent2 2 2 2 6 3" xfId="10795" xr:uid="{2A5D98B3-56E2-405A-8513-99F6ABB92E1A}"/>
    <cellStyle name="20% - Accent2 2 2 2 7" xfId="4518" xr:uid="{00000000-0005-0000-0000-0000B7000000}"/>
    <cellStyle name="20% - Accent2 2 2 2 7 2" xfId="12947" xr:uid="{3C304152-03E1-45DE-89DA-E12FCF0BB44F}"/>
    <cellStyle name="20% - Accent2 2 2 2 8" xfId="8729" xr:uid="{C14C8D3B-9F77-4D44-8EA3-4D35460959D7}"/>
    <cellStyle name="20% - Accent2 2 2 3" xfId="581" xr:uid="{00000000-0005-0000-0000-0000B8000000}"/>
    <cellStyle name="20% - Accent2 2 2 3 2" xfId="2852" xr:uid="{00000000-0005-0000-0000-0000B9000000}"/>
    <cellStyle name="20% - Accent2 2 2 3 2 2" xfId="7076" xr:uid="{00000000-0005-0000-0000-0000BA000000}"/>
    <cellStyle name="20% - Accent2 2 2 3 2 2 2" xfId="15505" xr:uid="{C77FEC43-3FFB-4EAB-B595-7658F5A441E3}"/>
    <cellStyle name="20% - Accent2 2 2 3 2 3" xfId="11287" xr:uid="{61531EC7-CFA7-4FDE-A6C4-3B802B5D0FB7}"/>
    <cellStyle name="20% - Accent2 2 2 3 3" xfId="4931" xr:uid="{00000000-0005-0000-0000-0000BB000000}"/>
    <cellStyle name="20% - Accent2 2 2 3 3 2" xfId="13360" xr:uid="{7F2AFEFF-0C5E-49D9-983A-304A5D3DA35B}"/>
    <cellStyle name="20% - Accent2 2 2 3 4" xfId="9142" xr:uid="{1544FF7A-9827-4CEA-B0F1-1634A75EC007}"/>
    <cellStyle name="20% - Accent2 2 2 4" xfId="1034" xr:uid="{00000000-0005-0000-0000-0000BC000000}"/>
    <cellStyle name="20% - Accent2 2 2 4 2" xfId="3265" xr:uid="{00000000-0005-0000-0000-0000BD000000}"/>
    <cellStyle name="20% - Accent2 2 2 4 2 2" xfId="7489" xr:uid="{00000000-0005-0000-0000-0000BE000000}"/>
    <cellStyle name="20% - Accent2 2 2 4 2 2 2" xfId="15918" xr:uid="{DCBA3ED9-1322-4568-85B0-3F1813D7E32A}"/>
    <cellStyle name="20% - Accent2 2 2 4 2 3" xfId="11700" xr:uid="{9DE81BA5-2AB8-4D1D-8625-6EB1F01A8703}"/>
    <cellStyle name="20% - Accent2 2 2 4 3" xfId="5344" xr:uid="{00000000-0005-0000-0000-0000BF000000}"/>
    <cellStyle name="20% - Accent2 2 2 4 3 2" xfId="13773" xr:uid="{E2F17087-D1F6-4C14-845F-FCEFF0E96EBC}"/>
    <cellStyle name="20% - Accent2 2 2 4 4" xfId="9555" xr:uid="{68A5DA66-6377-4D7C-BC48-7A37007FFD71}"/>
    <cellStyle name="20% - Accent2 2 2 5" xfId="1448" xr:uid="{00000000-0005-0000-0000-0000C0000000}"/>
    <cellStyle name="20% - Accent2 2 2 5 2" xfId="3678" xr:uid="{00000000-0005-0000-0000-0000C1000000}"/>
    <cellStyle name="20% - Accent2 2 2 5 2 2" xfId="7902" xr:uid="{00000000-0005-0000-0000-0000C2000000}"/>
    <cellStyle name="20% - Accent2 2 2 5 2 2 2" xfId="16331" xr:uid="{818223D3-49D8-4BE8-81C4-DEE32D2DA0E2}"/>
    <cellStyle name="20% - Accent2 2 2 5 2 3" xfId="12113" xr:uid="{F5E5564D-19AF-4059-8B5C-84BDD7F96E3D}"/>
    <cellStyle name="20% - Accent2 2 2 5 3" xfId="5757" xr:uid="{00000000-0005-0000-0000-0000C3000000}"/>
    <cellStyle name="20% - Accent2 2 2 5 3 2" xfId="14186" xr:uid="{5C85B731-5EE7-497B-82F5-027556648E47}"/>
    <cellStyle name="20% - Accent2 2 2 5 4" xfId="9968" xr:uid="{43F17B5E-3E2D-474A-B2FF-7741CE6D4116}"/>
    <cellStyle name="20% - Accent2 2 2 6" xfId="1862" xr:uid="{00000000-0005-0000-0000-0000C4000000}"/>
    <cellStyle name="20% - Accent2 2 2 6 2" xfId="4091" xr:uid="{00000000-0005-0000-0000-0000C5000000}"/>
    <cellStyle name="20% - Accent2 2 2 6 2 2" xfId="8315" xr:uid="{00000000-0005-0000-0000-0000C6000000}"/>
    <cellStyle name="20% - Accent2 2 2 6 2 2 2" xfId="16744" xr:uid="{6212CB07-A2E2-4BD2-AECD-EE4707950C7A}"/>
    <cellStyle name="20% - Accent2 2 2 6 2 3" xfId="12526" xr:uid="{0DF68694-07CB-4EA7-B1F1-7BDC50A59D16}"/>
    <cellStyle name="20% - Accent2 2 2 6 3" xfId="6170" xr:uid="{00000000-0005-0000-0000-0000C7000000}"/>
    <cellStyle name="20% - Accent2 2 2 6 3 2" xfId="14599" xr:uid="{2878E2B0-EC70-4B18-9259-9F71C62FB608}"/>
    <cellStyle name="20% - Accent2 2 2 6 4" xfId="10381" xr:uid="{5C910445-2C39-4413-8D21-CBEB5C10EB99}"/>
    <cellStyle name="20% - Accent2 2 2 7" xfId="2275" xr:uid="{00000000-0005-0000-0000-0000C8000000}"/>
    <cellStyle name="20% - Accent2 2 2 7 2" xfId="6583" xr:uid="{00000000-0005-0000-0000-0000C9000000}"/>
    <cellStyle name="20% - Accent2 2 2 7 2 2" xfId="15012" xr:uid="{303A36A3-408D-43C8-B61E-22410B321BB4}"/>
    <cellStyle name="20% - Accent2 2 2 7 3" xfId="10794" xr:uid="{266A0A68-BB7C-471A-B671-159212089A80}"/>
    <cellStyle name="20% - Accent2 2 2 8" xfId="4517" xr:uid="{00000000-0005-0000-0000-0000CA000000}"/>
    <cellStyle name="20% - Accent2 2 2 8 2" xfId="12946" xr:uid="{327C8AD8-A7A4-45DB-B777-75241C9BE4AF}"/>
    <cellStyle name="20% - Accent2 2 2 9" xfId="8728" xr:uid="{B995EB29-A33B-48DE-A312-397B34834052}"/>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2 2" xfId="15507" xr:uid="{FA2B0C0B-AD88-4386-92C8-EFE281978C3B}"/>
    <cellStyle name="20% - Accent2 2 3 2 2 3" xfId="11289" xr:uid="{22A7BEDF-29DE-458D-85DC-CAAFC6484D79}"/>
    <cellStyle name="20% - Accent2 2 3 2 3" xfId="4933" xr:uid="{00000000-0005-0000-0000-0000CF000000}"/>
    <cellStyle name="20% - Accent2 2 3 2 3 2" xfId="13362" xr:uid="{7E7808C7-BC18-4206-8EB4-9492DCA535FD}"/>
    <cellStyle name="20% - Accent2 2 3 2 4" xfId="9144" xr:uid="{84A1DE9E-4438-47B3-AAC6-FB42010266F4}"/>
    <cellStyle name="20% - Accent2 2 3 3" xfId="1036" xr:uid="{00000000-0005-0000-0000-0000D0000000}"/>
    <cellStyle name="20% - Accent2 2 3 3 2" xfId="3267" xr:uid="{00000000-0005-0000-0000-0000D1000000}"/>
    <cellStyle name="20% - Accent2 2 3 3 2 2" xfId="7491" xr:uid="{00000000-0005-0000-0000-0000D2000000}"/>
    <cellStyle name="20% - Accent2 2 3 3 2 2 2" xfId="15920" xr:uid="{774C6C39-C753-4C4C-939A-A334ACC96FD1}"/>
    <cellStyle name="20% - Accent2 2 3 3 2 3" xfId="11702" xr:uid="{21F7BC35-1C7C-4B37-9741-50D5341B341C}"/>
    <cellStyle name="20% - Accent2 2 3 3 3" xfId="5346" xr:uid="{00000000-0005-0000-0000-0000D3000000}"/>
    <cellStyle name="20% - Accent2 2 3 3 3 2" xfId="13775" xr:uid="{800A3BB4-4D97-46FD-8B3A-6E61FA6BDCBC}"/>
    <cellStyle name="20% - Accent2 2 3 3 4" xfId="9557" xr:uid="{8AB8F7D5-E326-4D4C-9F1C-72BEEE6F937A}"/>
    <cellStyle name="20% - Accent2 2 3 4" xfId="1450" xr:uid="{00000000-0005-0000-0000-0000D4000000}"/>
    <cellStyle name="20% - Accent2 2 3 4 2" xfId="3680" xr:uid="{00000000-0005-0000-0000-0000D5000000}"/>
    <cellStyle name="20% - Accent2 2 3 4 2 2" xfId="7904" xr:uid="{00000000-0005-0000-0000-0000D6000000}"/>
    <cellStyle name="20% - Accent2 2 3 4 2 2 2" xfId="16333" xr:uid="{8CB20734-62E8-453F-AD10-405A1F43EC0C}"/>
    <cellStyle name="20% - Accent2 2 3 4 2 3" xfId="12115" xr:uid="{E1A4CC90-8A8C-4F44-A94D-9B6DF8F02479}"/>
    <cellStyle name="20% - Accent2 2 3 4 3" xfId="5759" xr:uid="{00000000-0005-0000-0000-0000D7000000}"/>
    <cellStyle name="20% - Accent2 2 3 4 3 2" xfId="14188" xr:uid="{7F831A89-4A01-4C4D-A0EF-AA7C0082A472}"/>
    <cellStyle name="20% - Accent2 2 3 4 4" xfId="9970" xr:uid="{46B4B6C1-E9F8-473B-B100-D525A999BED1}"/>
    <cellStyle name="20% - Accent2 2 3 5" xfId="1864" xr:uid="{00000000-0005-0000-0000-0000D8000000}"/>
    <cellStyle name="20% - Accent2 2 3 5 2" xfId="4093" xr:uid="{00000000-0005-0000-0000-0000D9000000}"/>
    <cellStyle name="20% - Accent2 2 3 5 2 2" xfId="8317" xr:uid="{00000000-0005-0000-0000-0000DA000000}"/>
    <cellStyle name="20% - Accent2 2 3 5 2 2 2" xfId="16746" xr:uid="{AB5480D1-08CF-4C52-A030-4BDBDCC0C86E}"/>
    <cellStyle name="20% - Accent2 2 3 5 2 3" xfId="12528" xr:uid="{85D35988-2748-49D9-AE1A-9FCE4A085E1D}"/>
    <cellStyle name="20% - Accent2 2 3 5 3" xfId="6172" xr:uid="{00000000-0005-0000-0000-0000DB000000}"/>
    <cellStyle name="20% - Accent2 2 3 5 3 2" xfId="14601" xr:uid="{03E9A452-C021-4487-9E4A-12C084F6571A}"/>
    <cellStyle name="20% - Accent2 2 3 5 4" xfId="10383" xr:uid="{7175358C-EC08-41BA-B9C7-D98034D4F5D6}"/>
    <cellStyle name="20% - Accent2 2 3 6" xfId="2277" xr:uid="{00000000-0005-0000-0000-0000DC000000}"/>
    <cellStyle name="20% - Accent2 2 3 6 2" xfId="6585" xr:uid="{00000000-0005-0000-0000-0000DD000000}"/>
    <cellStyle name="20% - Accent2 2 3 6 2 2" xfId="15014" xr:uid="{7A0BABA7-5646-4EB2-A3FE-3309AD77C84A}"/>
    <cellStyle name="20% - Accent2 2 3 6 3" xfId="10796" xr:uid="{96C83B9A-CE4F-4397-815A-B9244681920D}"/>
    <cellStyle name="20% - Accent2 2 3 7" xfId="4519" xr:uid="{00000000-0005-0000-0000-0000DE000000}"/>
    <cellStyle name="20% - Accent2 2 3 7 2" xfId="12948" xr:uid="{794330C1-D673-4A37-90FE-6C5B36C0CFB3}"/>
    <cellStyle name="20% - Accent2 2 3 8" xfId="8730" xr:uid="{1AFBABAD-0E62-4255-AB29-CD0CC965EED8}"/>
    <cellStyle name="20% - Accent2 2 4" xfId="580" xr:uid="{00000000-0005-0000-0000-0000DF000000}"/>
    <cellStyle name="20% - Accent2 2 4 2" xfId="2851" xr:uid="{00000000-0005-0000-0000-0000E0000000}"/>
    <cellStyle name="20% - Accent2 2 4 2 2" xfId="7075" xr:uid="{00000000-0005-0000-0000-0000E1000000}"/>
    <cellStyle name="20% - Accent2 2 4 2 2 2" xfId="15504" xr:uid="{EFD353D2-ED15-4EE1-827A-A61454C25E26}"/>
    <cellStyle name="20% - Accent2 2 4 2 3" xfId="11286" xr:uid="{F738E772-8323-4898-ADEB-368108CF83E7}"/>
    <cellStyle name="20% - Accent2 2 4 3" xfId="4930" xr:uid="{00000000-0005-0000-0000-0000E2000000}"/>
    <cellStyle name="20% - Accent2 2 4 3 2" xfId="13359" xr:uid="{723D2717-7982-4497-A9D8-4BD3C0DA7972}"/>
    <cellStyle name="20% - Accent2 2 4 4" xfId="9141" xr:uid="{0C15DD08-E48E-4FCC-A19F-2EFA8F2822D5}"/>
    <cellStyle name="20% - Accent2 2 5" xfId="1033" xr:uid="{00000000-0005-0000-0000-0000E3000000}"/>
    <cellStyle name="20% - Accent2 2 5 2" xfId="3264" xr:uid="{00000000-0005-0000-0000-0000E4000000}"/>
    <cellStyle name="20% - Accent2 2 5 2 2" xfId="7488" xr:uid="{00000000-0005-0000-0000-0000E5000000}"/>
    <cellStyle name="20% - Accent2 2 5 2 2 2" xfId="15917" xr:uid="{43032020-8771-4BE3-8683-1290644565D7}"/>
    <cellStyle name="20% - Accent2 2 5 2 3" xfId="11699" xr:uid="{88EF5C7C-9EE6-456F-AFF6-F51A8B38322A}"/>
    <cellStyle name="20% - Accent2 2 5 3" xfId="5343" xr:uid="{00000000-0005-0000-0000-0000E6000000}"/>
    <cellStyle name="20% - Accent2 2 5 3 2" xfId="13772" xr:uid="{7F8715E9-6521-48AD-957B-ABF0E1BD9E62}"/>
    <cellStyle name="20% - Accent2 2 5 4" xfId="9554" xr:uid="{A7AD3317-4179-4799-ABC7-32A2D382538F}"/>
    <cellStyle name="20% - Accent2 2 6" xfId="1447" xr:uid="{00000000-0005-0000-0000-0000E7000000}"/>
    <cellStyle name="20% - Accent2 2 6 2" xfId="3677" xr:uid="{00000000-0005-0000-0000-0000E8000000}"/>
    <cellStyle name="20% - Accent2 2 6 2 2" xfId="7901" xr:uid="{00000000-0005-0000-0000-0000E9000000}"/>
    <cellStyle name="20% - Accent2 2 6 2 2 2" xfId="16330" xr:uid="{06DE1AA1-B80C-42F9-BFBF-E1F0548CC19B}"/>
    <cellStyle name="20% - Accent2 2 6 2 3" xfId="12112" xr:uid="{46D2C5BE-5EA8-4097-8E56-2237592D7C5A}"/>
    <cellStyle name="20% - Accent2 2 6 3" xfId="5756" xr:uid="{00000000-0005-0000-0000-0000EA000000}"/>
    <cellStyle name="20% - Accent2 2 6 3 2" xfId="14185" xr:uid="{49DC0B02-E1BB-4CF6-B39C-694DE1403D02}"/>
    <cellStyle name="20% - Accent2 2 6 4" xfId="9967" xr:uid="{2D2216B1-B0B7-4D00-8C76-C87B2EE5C759}"/>
    <cellStyle name="20% - Accent2 2 7" xfId="1861" xr:uid="{00000000-0005-0000-0000-0000EB000000}"/>
    <cellStyle name="20% - Accent2 2 7 2" xfId="4090" xr:uid="{00000000-0005-0000-0000-0000EC000000}"/>
    <cellStyle name="20% - Accent2 2 7 2 2" xfId="8314" xr:uid="{00000000-0005-0000-0000-0000ED000000}"/>
    <cellStyle name="20% - Accent2 2 7 2 2 2" xfId="16743" xr:uid="{1D67FEDA-30F4-4BC8-B502-6D3FF60FC0E0}"/>
    <cellStyle name="20% - Accent2 2 7 2 3" xfId="12525" xr:uid="{1407FB00-5498-4831-BD0C-4D4120C2741C}"/>
    <cellStyle name="20% - Accent2 2 7 3" xfId="6169" xr:uid="{00000000-0005-0000-0000-0000EE000000}"/>
    <cellStyle name="20% - Accent2 2 7 3 2" xfId="14598" xr:uid="{099565EF-AED6-4C01-9C90-9A1BA938F4F7}"/>
    <cellStyle name="20% - Accent2 2 7 4" xfId="10380" xr:uid="{169F970C-FEDC-486F-B734-1680D93C759F}"/>
    <cellStyle name="20% - Accent2 2 8" xfId="2274" xr:uid="{00000000-0005-0000-0000-0000EF000000}"/>
    <cellStyle name="20% - Accent2 2 8 2" xfId="6582" xr:uid="{00000000-0005-0000-0000-0000F0000000}"/>
    <cellStyle name="20% - Accent2 2 8 2 2" xfId="15011" xr:uid="{3A44FB4B-60EE-4915-B05F-DE79BE132439}"/>
    <cellStyle name="20% - Accent2 2 8 3" xfId="10793" xr:uid="{C210AF4C-AB3C-4E18-8B8B-48AE26E6BEE1}"/>
    <cellStyle name="20% - Accent2 2 9" xfId="4516" xr:uid="{00000000-0005-0000-0000-0000F1000000}"/>
    <cellStyle name="20% - Accent2 2 9 2" xfId="12945" xr:uid="{06DFDD74-2AF5-43A6-A6EA-D21960DBF6E1}"/>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2 2" xfId="15509" xr:uid="{FD087C9B-25B3-409D-9274-8F812C62A0E0}"/>
    <cellStyle name="20% - Accent2 3 2 2 2 3" xfId="11291" xr:uid="{F5C6F35C-1D80-4555-B813-F9BBBDF3EB66}"/>
    <cellStyle name="20% - Accent2 3 2 2 3" xfId="4935" xr:uid="{00000000-0005-0000-0000-0000F7000000}"/>
    <cellStyle name="20% - Accent2 3 2 2 3 2" xfId="13364" xr:uid="{03AC5F18-5BA7-4B91-A73F-D34E4F45DF4E}"/>
    <cellStyle name="20% - Accent2 3 2 2 4" xfId="9146" xr:uid="{D1AAC552-8CE9-49E6-B8AF-1D9BF5D12119}"/>
    <cellStyle name="20% - Accent2 3 2 3" xfId="1038" xr:uid="{00000000-0005-0000-0000-0000F8000000}"/>
    <cellStyle name="20% - Accent2 3 2 3 2" xfId="3269" xr:uid="{00000000-0005-0000-0000-0000F9000000}"/>
    <cellStyle name="20% - Accent2 3 2 3 2 2" xfId="7493" xr:uid="{00000000-0005-0000-0000-0000FA000000}"/>
    <cellStyle name="20% - Accent2 3 2 3 2 2 2" xfId="15922" xr:uid="{48FAA13E-8ECF-45FA-87D8-F64B50481DE2}"/>
    <cellStyle name="20% - Accent2 3 2 3 2 3" xfId="11704" xr:uid="{30344CA1-4BDC-417A-906D-BF590BD090DD}"/>
    <cellStyle name="20% - Accent2 3 2 3 3" xfId="5348" xr:uid="{00000000-0005-0000-0000-0000FB000000}"/>
    <cellStyle name="20% - Accent2 3 2 3 3 2" xfId="13777" xr:uid="{DB65535F-7AEB-496B-8619-15735DD3DBCF}"/>
    <cellStyle name="20% - Accent2 3 2 3 4" xfId="9559" xr:uid="{1816A9EE-8506-48C1-8050-F20C1CE4BD7F}"/>
    <cellStyle name="20% - Accent2 3 2 4" xfId="1452" xr:uid="{00000000-0005-0000-0000-0000FC000000}"/>
    <cellStyle name="20% - Accent2 3 2 4 2" xfId="3682" xr:uid="{00000000-0005-0000-0000-0000FD000000}"/>
    <cellStyle name="20% - Accent2 3 2 4 2 2" xfId="7906" xr:uid="{00000000-0005-0000-0000-0000FE000000}"/>
    <cellStyle name="20% - Accent2 3 2 4 2 2 2" xfId="16335" xr:uid="{E889AB10-1A04-4F4F-8A3B-B82F1ECE1A86}"/>
    <cellStyle name="20% - Accent2 3 2 4 2 3" xfId="12117" xr:uid="{47ACD2B4-E529-4FB0-8941-845E302082CE}"/>
    <cellStyle name="20% - Accent2 3 2 4 3" xfId="5761" xr:uid="{00000000-0005-0000-0000-0000FF000000}"/>
    <cellStyle name="20% - Accent2 3 2 4 3 2" xfId="14190" xr:uid="{F4D9AEFD-1B19-4CF3-8890-1F298963A768}"/>
    <cellStyle name="20% - Accent2 3 2 4 4" xfId="9972" xr:uid="{3E79A854-8021-4EA7-BAAA-37FE11F50A06}"/>
    <cellStyle name="20% - Accent2 3 2 5" xfId="1866" xr:uid="{00000000-0005-0000-0000-000000010000}"/>
    <cellStyle name="20% - Accent2 3 2 5 2" xfId="4095" xr:uid="{00000000-0005-0000-0000-000001010000}"/>
    <cellStyle name="20% - Accent2 3 2 5 2 2" xfId="8319" xr:uid="{00000000-0005-0000-0000-000002010000}"/>
    <cellStyle name="20% - Accent2 3 2 5 2 2 2" xfId="16748" xr:uid="{090E0E9F-3797-4848-B18F-1D9F17E952CC}"/>
    <cellStyle name="20% - Accent2 3 2 5 2 3" xfId="12530" xr:uid="{31D14583-4BFD-48B5-8F8E-CF0CF97291CB}"/>
    <cellStyle name="20% - Accent2 3 2 5 3" xfId="6174" xr:uid="{00000000-0005-0000-0000-000003010000}"/>
    <cellStyle name="20% - Accent2 3 2 5 3 2" xfId="14603" xr:uid="{0737F657-0725-4F49-88D1-DD141B34F85B}"/>
    <cellStyle name="20% - Accent2 3 2 5 4" xfId="10385" xr:uid="{250E794F-BE6C-47AD-BBC6-8E07DA709763}"/>
    <cellStyle name="20% - Accent2 3 2 6" xfId="2279" xr:uid="{00000000-0005-0000-0000-000004010000}"/>
    <cellStyle name="20% - Accent2 3 2 6 2" xfId="6587" xr:uid="{00000000-0005-0000-0000-000005010000}"/>
    <cellStyle name="20% - Accent2 3 2 6 2 2" xfId="15016" xr:uid="{A4C90F39-3054-4C01-A643-3E01025A55AF}"/>
    <cellStyle name="20% - Accent2 3 2 6 3" xfId="10798" xr:uid="{0461AA8D-73E0-49F2-AAC1-689A9D276CB7}"/>
    <cellStyle name="20% - Accent2 3 2 7" xfId="4521" xr:uid="{00000000-0005-0000-0000-000006010000}"/>
    <cellStyle name="20% - Accent2 3 2 7 2" xfId="12950" xr:uid="{7EEC5A68-1235-4B74-9E41-DEEEB4900A38}"/>
    <cellStyle name="20% - Accent2 3 2 8" xfId="8732" xr:uid="{95E1BB9E-3EEF-4778-B86A-0A3B5941751D}"/>
    <cellStyle name="20% - Accent2 3 3" xfId="584" xr:uid="{00000000-0005-0000-0000-000007010000}"/>
    <cellStyle name="20% - Accent2 3 3 2" xfId="2855" xr:uid="{00000000-0005-0000-0000-000008010000}"/>
    <cellStyle name="20% - Accent2 3 3 2 2" xfId="7079" xr:uid="{00000000-0005-0000-0000-000009010000}"/>
    <cellStyle name="20% - Accent2 3 3 2 2 2" xfId="15508" xr:uid="{21C80ABF-41D1-400B-BF84-BCA0935F0B3A}"/>
    <cellStyle name="20% - Accent2 3 3 2 3" xfId="11290" xr:uid="{8076B0A0-EE3B-4989-B8FA-E8BD4B0848C1}"/>
    <cellStyle name="20% - Accent2 3 3 3" xfId="4934" xr:uid="{00000000-0005-0000-0000-00000A010000}"/>
    <cellStyle name="20% - Accent2 3 3 3 2" xfId="13363" xr:uid="{7D2D3C1A-D22F-4C80-B39F-6EE54596B226}"/>
    <cellStyle name="20% - Accent2 3 3 4" xfId="9145" xr:uid="{3D2882B4-B609-4AC5-B39E-1FAC69B458CB}"/>
    <cellStyle name="20% - Accent2 3 4" xfId="1037" xr:uid="{00000000-0005-0000-0000-00000B010000}"/>
    <cellStyle name="20% - Accent2 3 4 2" xfId="3268" xr:uid="{00000000-0005-0000-0000-00000C010000}"/>
    <cellStyle name="20% - Accent2 3 4 2 2" xfId="7492" xr:uid="{00000000-0005-0000-0000-00000D010000}"/>
    <cellStyle name="20% - Accent2 3 4 2 2 2" xfId="15921" xr:uid="{6D214283-E8FF-4283-9ABB-08BC70F85768}"/>
    <cellStyle name="20% - Accent2 3 4 2 3" xfId="11703" xr:uid="{BDBE8BFC-2DEB-47B3-B1F3-5C636C8AC3EE}"/>
    <cellStyle name="20% - Accent2 3 4 3" xfId="5347" xr:uid="{00000000-0005-0000-0000-00000E010000}"/>
    <cellStyle name="20% - Accent2 3 4 3 2" xfId="13776" xr:uid="{6E29D2BD-67C0-4FE9-AD63-746A51DFD243}"/>
    <cellStyle name="20% - Accent2 3 4 4" xfId="9558" xr:uid="{5C418FD1-7BDC-4665-818F-FA8D45D26F76}"/>
    <cellStyle name="20% - Accent2 3 5" xfId="1451" xr:uid="{00000000-0005-0000-0000-00000F010000}"/>
    <cellStyle name="20% - Accent2 3 5 2" xfId="3681" xr:uid="{00000000-0005-0000-0000-000010010000}"/>
    <cellStyle name="20% - Accent2 3 5 2 2" xfId="7905" xr:uid="{00000000-0005-0000-0000-000011010000}"/>
    <cellStyle name="20% - Accent2 3 5 2 2 2" xfId="16334" xr:uid="{904FB6DA-8FA5-4D6B-9644-B9140025B0EF}"/>
    <cellStyle name="20% - Accent2 3 5 2 3" xfId="12116" xr:uid="{40A8D49F-F5E3-432F-99AF-C8E534E2F1BE}"/>
    <cellStyle name="20% - Accent2 3 5 3" xfId="5760" xr:uid="{00000000-0005-0000-0000-000012010000}"/>
    <cellStyle name="20% - Accent2 3 5 3 2" xfId="14189" xr:uid="{401E1DC4-2F80-4BE8-8378-AE79D671866C}"/>
    <cellStyle name="20% - Accent2 3 5 4" xfId="9971" xr:uid="{539774A5-B69E-4D25-BC1D-D190B99F3C45}"/>
    <cellStyle name="20% - Accent2 3 6" xfId="1865" xr:uid="{00000000-0005-0000-0000-000013010000}"/>
    <cellStyle name="20% - Accent2 3 6 2" xfId="4094" xr:uid="{00000000-0005-0000-0000-000014010000}"/>
    <cellStyle name="20% - Accent2 3 6 2 2" xfId="8318" xr:uid="{00000000-0005-0000-0000-000015010000}"/>
    <cellStyle name="20% - Accent2 3 6 2 2 2" xfId="16747" xr:uid="{C598CD45-9D92-4F7C-A610-47C67888DC13}"/>
    <cellStyle name="20% - Accent2 3 6 2 3" xfId="12529" xr:uid="{19CF70E6-3B38-44FC-AA14-D770D8B797E3}"/>
    <cellStyle name="20% - Accent2 3 6 3" xfId="6173" xr:uid="{00000000-0005-0000-0000-000016010000}"/>
    <cellStyle name="20% - Accent2 3 6 3 2" xfId="14602" xr:uid="{6438D944-BE8F-4E8F-AA8B-C710A6336803}"/>
    <cellStyle name="20% - Accent2 3 6 4" xfId="10384" xr:uid="{250A791B-D1E3-4825-9076-E8B0DF5660F6}"/>
    <cellStyle name="20% - Accent2 3 7" xfId="2278" xr:uid="{00000000-0005-0000-0000-000017010000}"/>
    <cellStyle name="20% - Accent2 3 7 2" xfId="6586" xr:uid="{00000000-0005-0000-0000-000018010000}"/>
    <cellStyle name="20% - Accent2 3 7 2 2" xfId="15015" xr:uid="{69109672-D65E-488A-A370-9C51C906982A}"/>
    <cellStyle name="20% - Accent2 3 7 3" xfId="10797" xr:uid="{BB60D9F9-2515-455A-B584-D02D58A15E1F}"/>
    <cellStyle name="20% - Accent2 3 8" xfId="4520" xr:uid="{00000000-0005-0000-0000-000019010000}"/>
    <cellStyle name="20% - Accent2 3 8 2" xfId="12949" xr:uid="{BD40202A-78EB-4FA7-8F35-6C7697B38EE2}"/>
    <cellStyle name="20% - Accent2 3 9" xfId="8731" xr:uid="{4D5A7B54-D176-4E8E-81E2-7A71C993D14D}"/>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2 2" xfId="15510" xr:uid="{DBC439E7-0764-442F-B9EA-DEF6F6C6D944}"/>
    <cellStyle name="20% - Accent2 4 2 2 3" xfId="11292" xr:uid="{90418B4D-3206-47E9-935A-26E787393B82}"/>
    <cellStyle name="20% - Accent2 4 2 3" xfId="4936" xr:uid="{00000000-0005-0000-0000-00001E010000}"/>
    <cellStyle name="20% - Accent2 4 2 3 2" xfId="13365" xr:uid="{DE390F82-29E7-4522-9AB7-94CB5A627129}"/>
    <cellStyle name="20% - Accent2 4 2 4" xfId="9147" xr:uid="{F2BAC1F3-8D8C-49C8-9307-B4D31C4A2979}"/>
    <cellStyle name="20% - Accent2 4 3" xfId="1039" xr:uid="{00000000-0005-0000-0000-00001F010000}"/>
    <cellStyle name="20% - Accent2 4 3 2" xfId="3270" xr:uid="{00000000-0005-0000-0000-000020010000}"/>
    <cellStyle name="20% - Accent2 4 3 2 2" xfId="7494" xr:uid="{00000000-0005-0000-0000-000021010000}"/>
    <cellStyle name="20% - Accent2 4 3 2 2 2" xfId="15923" xr:uid="{D63A4601-0C60-4C95-B9ED-FE1BBAA7A7B4}"/>
    <cellStyle name="20% - Accent2 4 3 2 3" xfId="11705" xr:uid="{4001983A-A7AF-4BC7-9A18-63155B5DD512}"/>
    <cellStyle name="20% - Accent2 4 3 3" xfId="5349" xr:uid="{00000000-0005-0000-0000-000022010000}"/>
    <cellStyle name="20% - Accent2 4 3 3 2" xfId="13778" xr:uid="{1F785421-6A3E-4C6F-A75F-5BE28AE270B2}"/>
    <cellStyle name="20% - Accent2 4 3 4" xfId="9560" xr:uid="{0E283287-C6CC-4B35-9577-1C1520FE26B5}"/>
    <cellStyle name="20% - Accent2 4 4" xfId="1453" xr:uid="{00000000-0005-0000-0000-000023010000}"/>
    <cellStyle name="20% - Accent2 4 4 2" xfId="3683" xr:uid="{00000000-0005-0000-0000-000024010000}"/>
    <cellStyle name="20% - Accent2 4 4 2 2" xfId="7907" xr:uid="{00000000-0005-0000-0000-000025010000}"/>
    <cellStyle name="20% - Accent2 4 4 2 2 2" xfId="16336" xr:uid="{1A0EAAF8-92D3-4DBB-BE0F-3F6D41BA4F73}"/>
    <cellStyle name="20% - Accent2 4 4 2 3" xfId="12118" xr:uid="{2D7B1C3B-4C17-4C9A-8DC2-EBAD1329E73E}"/>
    <cellStyle name="20% - Accent2 4 4 3" xfId="5762" xr:uid="{00000000-0005-0000-0000-000026010000}"/>
    <cellStyle name="20% - Accent2 4 4 3 2" xfId="14191" xr:uid="{31F75EBE-7CFD-46C8-A699-664872ACB18F}"/>
    <cellStyle name="20% - Accent2 4 4 4" xfId="9973" xr:uid="{77B75333-84BC-4DB5-AA68-CD1ED381B77E}"/>
    <cellStyle name="20% - Accent2 4 5" xfId="1867" xr:uid="{00000000-0005-0000-0000-000027010000}"/>
    <cellStyle name="20% - Accent2 4 5 2" xfId="4096" xr:uid="{00000000-0005-0000-0000-000028010000}"/>
    <cellStyle name="20% - Accent2 4 5 2 2" xfId="8320" xr:uid="{00000000-0005-0000-0000-000029010000}"/>
    <cellStyle name="20% - Accent2 4 5 2 2 2" xfId="16749" xr:uid="{BDC3098F-DC6B-4EF3-AD7B-EAA7A559374D}"/>
    <cellStyle name="20% - Accent2 4 5 2 3" xfId="12531" xr:uid="{F866D9AD-1D48-456C-BD97-D0D239DDAD8E}"/>
    <cellStyle name="20% - Accent2 4 5 3" xfId="6175" xr:uid="{00000000-0005-0000-0000-00002A010000}"/>
    <cellStyle name="20% - Accent2 4 5 3 2" xfId="14604" xr:uid="{2A081BC2-A531-4350-B35A-2B0C1C29F28C}"/>
    <cellStyle name="20% - Accent2 4 5 4" xfId="10386" xr:uid="{40424C23-671A-4A65-994F-FEB65DDC3E24}"/>
    <cellStyle name="20% - Accent2 4 6" xfId="2280" xr:uid="{00000000-0005-0000-0000-00002B010000}"/>
    <cellStyle name="20% - Accent2 4 6 2" xfId="6588" xr:uid="{00000000-0005-0000-0000-00002C010000}"/>
    <cellStyle name="20% - Accent2 4 6 2 2" xfId="15017" xr:uid="{58468FF2-1FC2-4019-A8DF-AE1DB88FC301}"/>
    <cellStyle name="20% - Accent2 4 6 3" xfId="10799" xr:uid="{2D9C292A-4242-4830-8487-5B4DF6253A51}"/>
    <cellStyle name="20% - Accent2 4 7" xfId="4522" xr:uid="{00000000-0005-0000-0000-00002D010000}"/>
    <cellStyle name="20% - Accent2 4 7 2" xfId="12951" xr:uid="{CEB9F9C3-2BF3-4A04-A788-B02541D2ADA6}"/>
    <cellStyle name="20% - Accent2 4 8" xfId="8733" xr:uid="{59250464-E80E-4848-BA12-EB963E245704}"/>
    <cellStyle name="20% - Accent2 5" xfId="579" xr:uid="{00000000-0005-0000-0000-00002E010000}"/>
    <cellStyle name="20% - Accent2 5 2" xfId="2850" xr:uid="{00000000-0005-0000-0000-00002F010000}"/>
    <cellStyle name="20% - Accent2 5 2 2" xfId="7074" xr:uid="{00000000-0005-0000-0000-000030010000}"/>
    <cellStyle name="20% - Accent2 5 2 2 2" xfId="15503" xr:uid="{6D6E553F-0352-40CA-92D3-6FB8D59EBEF5}"/>
    <cellStyle name="20% - Accent2 5 2 3" xfId="11285" xr:uid="{0A53E08B-D1BD-44C8-A975-9E60EE853E0A}"/>
    <cellStyle name="20% - Accent2 5 3" xfId="4929" xr:uid="{00000000-0005-0000-0000-000031010000}"/>
    <cellStyle name="20% - Accent2 5 3 2" xfId="13358" xr:uid="{1C36F086-09D5-40D9-B04A-291B6319BB0C}"/>
    <cellStyle name="20% - Accent2 5 4" xfId="9140" xr:uid="{0012F76B-3E57-408D-A761-E381B2F94928}"/>
    <cellStyle name="20% - Accent2 6" xfId="1032" xr:uid="{00000000-0005-0000-0000-000032010000}"/>
    <cellStyle name="20% - Accent2 6 2" xfId="3263" xr:uid="{00000000-0005-0000-0000-000033010000}"/>
    <cellStyle name="20% - Accent2 6 2 2" xfId="7487" xr:uid="{00000000-0005-0000-0000-000034010000}"/>
    <cellStyle name="20% - Accent2 6 2 2 2" xfId="15916" xr:uid="{41A18523-DE53-4E63-82BD-C22EE4D063B6}"/>
    <cellStyle name="20% - Accent2 6 2 3" xfId="11698" xr:uid="{0E876EEE-3D5A-48B8-99E0-75BC9A48A4EC}"/>
    <cellStyle name="20% - Accent2 6 3" xfId="5342" xr:uid="{00000000-0005-0000-0000-000035010000}"/>
    <cellStyle name="20% - Accent2 6 3 2" xfId="13771" xr:uid="{72E25D18-E2E8-40D7-A709-8E25CB8B9FBE}"/>
    <cellStyle name="20% - Accent2 6 4" xfId="9553" xr:uid="{9A219BCD-23C6-4D37-ABBE-2E8FE4BEADCE}"/>
    <cellStyle name="20% - Accent2 7" xfId="1446" xr:uid="{00000000-0005-0000-0000-000036010000}"/>
    <cellStyle name="20% - Accent2 7 2" xfId="3676" xr:uid="{00000000-0005-0000-0000-000037010000}"/>
    <cellStyle name="20% - Accent2 7 2 2" xfId="7900" xr:uid="{00000000-0005-0000-0000-000038010000}"/>
    <cellStyle name="20% - Accent2 7 2 2 2" xfId="16329" xr:uid="{AFDA8D1C-B79B-47BD-958F-56FC02164C6A}"/>
    <cellStyle name="20% - Accent2 7 2 3" xfId="12111" xr:uid="{FC0A30ED-96B4-41D7-995B-1571CD845514}"/>
    <cellStyle name="20% - Accent2 7 3" xfId="5755" xr:uid="{00000000-0005-0000-0000-000039010000}"/>
    <cellStyle name="20% - Accent2 7 3 2" xfId="14184" xr:uid="{8787AFA6-CD75-48D7-8B4C-B506921B1F7A}"/>
    <cellStyle name="20% - Accent2 7 4" xfId="9966" xr:uid="{D968B829-2A90-4993-84D0-3F2153C5A8FD}"/>
    <cellStyle name="20% - Accent2 8" xfId="1860" xr:uid="{00000000-0005-0000-0000-00003A010000}"/>
    <cellStyle name="20% - Accent2 8 2" xfId="4089" xr:uid="{00000000-0005-0000-0000-00003B010000}"/>
    <cellStyle name="20% - Accent2 8 2 2" xfId="8313" xr:uid="{00000000-0005-0000-0000-00003C010000}"/>
    <cellStyle name="20% - Accent2 8 2 2 2" xfId="16742" xr:uid="{DEAE70F0-1E6D-4BB3-9A64-12A30BFE11EF}"/>
    <cellStyle name="20% - Accent2 8 2 3" xfId="12524" xr:uid="{E9788505-8B8C-40D7-9633-F7B63A4BB257}"/>
    <cellStyle name="20% - Accent2 8 3" xfId="6168" xr:uid="{00000000-0005-0000-0000-00003D010000}"/>
    <cellStyle name="20% - Accent2 8 3 2" xfId="14597" xr:uid="{34D808C3-ACA7-4D63-A006-1EC3F3463A66}"/>
    <cellStyle name="20% - Accent2 8 4" xfId="10379" xr:uid="{479C44A6-996E-47AC-AEAC-03A863AAD352}"/>
    <cellStyle name="20% - Accent2 9" xfId="2273" xr:uid="{00000000-0005-0000-0000-00003E010000}"/>
    <cellStyle name="20% - Accent2 9 2" xfId="6581" xr:uid="{00000000-0005-0000-0000-00003F010000}"/>
    <cellStyle name="20% - Accent2 9 2 2" xfId="15010" xr:uid="{757C12CB-A4AC-4FEB-AA5E-6989C9C8C251}"/>
    <cellStyle name="20% - Accent2 9 3" xfId="10792" xr:uid="{151080FF-8E94-43DC-854F-CECC1E909BA2}"/>
    <cellStyle name="20% - Accent3" xfId="17" builtinId="38" customBuiltin="1"/>
    <cellStyle name="20% - Accent3 10" xfId="4523" xr:uid="{00000000-0005-0000-0000-000041010000}"/>
    <cellStyle name="20% - Accent3 10 2" xfId="12952" xr:uid="{33795FB4-01B7-4828-9534-A2E34BE77D6F}"/>
    <cellStyle name="20% - Accent3 11" xfId="8734" xr:uid="{2F3A558E-6185-4D10-817C-CC41FEAF1F99}"/>
    <cellStyle name="20% - Accent3 2" xfId="18" xr:uid="{00000000-0005-0000-0000-000042010000}"/>
    <cellStyle name="20% - Accent3 2 10" xfId="8735" xr:uid="{D9DD27EF-F138-4A46-9159-EB62CB261991}"/>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2 2" xfId="15514" xr:uid="{0A2832E0-0FF2-474B-A380-B3743650A136}"/>
    <cellStyle name="20% - Accent3 2 2 2 2 2 3" xfId="11296" xr:uid="{BC534C99-36D9-484F-9FDE-1B6869DFF7E1}"/>
    <cellStyle name="20% - Accent3 2 2 2 2 3" xfId="4940" xr:uid="{00000000-0005-0000-0000-000048010000}"/>
    <cellStyle name="20% - Accent3 2 2 2 2 3 2" xfId="13369" xr:uid="{B1CABDA0-2E28-4F48-8617-8356DABCA71E}"/>
    <cellStyle name="20% - Accent3 2 2 2 2 4" xfId="9151" xr:uid="{DC3864B8-F292-4673-86CD-A0FECFB91313}"/>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2 2" xfId="15927" xr:uid="{7662849F-39BD-47E8-884B-C7EFDD7EF19C}"/>
    <cellStyle name="20% - Accent3 2 2 2 3 2 3" xfId="11709" xr:uid="{1236566A-0CA7-456A-A08F-323D667CF35F}"/>
    <cellStyle name="20% - Accent3 2 2 2 3 3" xfId="5353" xr:uid="{00000000-0005-0000-0000-00004C010000}"/>
    <cellStyle name="20% - Accent3 2 2 2 3 3 2" xfId="13782" xr:uid="{00EC6442-76D7-4FB7-A289-28642B4B393C}"/>
    <cellStyle name="20% - Accent3 2 2 2 3 4" xfId="9564" xr:uid="{D7F62E9C-97C2-4F86-A139-1A7F968E2599}"/>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2 2" xfId="16340" xr:uid="{0CB2E5AE-7AC7-4DB8-B3B2-DC007145312A}"/>
    <cellStyle name="20% - Accent3 2 2 2 4 2 3" xfId="12122" xr:uid="{213A8B74-A4C7-447E-AB3B-EA01B662C68E}"/>
    <cellStyle name="20% - Accent3 2 2 2 4 3" xfId="5766" xr:uid="{00000000-0005-0000-0000-000050010000}"/>
    <cellStyle name="20% - Accent3 2 2 2 4 3 2" xfId="14195" xr:uid="{D1DC57EC-3F5E-4BEE-A014-E32695A713F8}"/>
    <cellStyle name="20% - Accent3 2 2 2 4 4" xfId="9977" xr:uid="{101A9D09-59BB-407F-8636-7C647144F4A1}"/>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2 2" xfId="16753" xr:uid="{62D9CA90-47B1-4F5B-94C7-EC83A485FE8F}"/>
    <cellStyle name="20% - Accent3 2 2 2 5 2 3" xfId="12535" xr:uid="{D9D1FFE8-5416-4F52-8BEF-53C9ACE8FA8C}"/>
    <cellStyle name="20% - Accent3 2 2 2 5 3" xfId="6179" xr:uid="{00000000-0005-0000-0000-000054010000}"/>
    <cellStyle name="20% - Accent3 2 2 2 5 3 2" xfId="14608" xr:uid="{6F357E87-9A68-4593-97B7-F7515EC8A083}"/>
    <cellStyle name="20% - Accent3 2 2 2 5 4" xfId="10390" xr:uid="{02CE5848-D1BA-40AC-9C5B-6D702CE287FC}"/>
    <cellStyle name="20% - Accent3 2 2 2 6" xfId="2284" xr:uid="{00000000-0005-0000-0000-000055010000}"/>
    <cellStyle name="20% - Accent3 2 2 2 6 2" xfId="6592" xr:uid="{00000000-0005-0000-0000-000056010000}"/>
    <cellStyle name="20% - Accent3 2 2 2 6 2 2" xfId="15021" xr:uid="{6AA608FB-079B-442D-8EA4-ED21C9908904}"/>
    <cellStyle name="20% - Accent3 2 2 2 6 3" xfId="10803" xr:uid="{68272B29-06B5-484E-9148-D8523E326EEB}"/>
    <cellStyle name="20% - Accent3 2 2 2 7" xfId="4526" xr:uid="{00000000-0005-0000-0000-000057010000}"/>
    <cellStyle name="20% - Accent3 2 2 2 7 2" xfId="12955" xr:uid="{F02FCD21-12D7-4324-8896-18534FDF7236}"/>
    <cellStyle name="20% - Accent3 2 2 2 8" xfId="8737" xr:uid="{AC60429F-2C42-41B1-B919-5D31B70AA1F6}"/>
    <cellStyle name="20% - Accent3 2 2 3" xfId="589" xr:uid="{00000000-0005-0000-0000-000058010000}"/>
    <cellStyle name="20% - Accent3 2 2 3 2" xfId="2860" xr:uid="{00000000-0005-0000-0000-000059010000}"/>
    <cellStyle name="20% - Accent3 2 2 3 2 2" xfId="7084" xr:uid="{00000000-0005-0000-0000-00005A010000}"/>
    <cellStyle name="20% - Accent3 2 2 3 2 2 2" xfId="15513" xr:uid="{F77B618F-2E1B-4BFF-9AAC-754D50F9527D}"/>
    <cellStyle name="20% - Accent3 2 2 3 2 3" xfId="11295" xr:uid="{195C40AC-7CFA-4B7C-9DDA-09C28CF62334}"/>
    <cellStyle name="20% - Accent3 2 2 3 3" xfId="4939" xr:uid="{00000000-0005-0000-0000-00005B010000}"/>
    <cellStyle name="20% - Accent3 2 2 3 3 2" xfId="13368" xr:uid="{92EC27B9-2EFA-4F32-817D-F3076F379193}"/>
    <cellStyle name="20% - Accent3 2 2 3 4" xfId="9150" xr:uid="{C62F81E9-954A-4B82-B2A2-522C6C7D3998}"/>
    <cellStyle name="20% - Accent3 2 2 4" xfId="1042" xr:uid="{00000000-0005-0000-0000-00005C010000}"/>
    <cellStyle name="20% - Accent3 2 2 4 2" xfId="3273" xr:uid="{00000000-0005-0000-0000-00005D010000}"/>
    <cellStyle name="20% - Accent3 2 2 4 2 2" xfId="7497" xr:uid="{00000000-0005-0000-0000-00005E010000}"/>
    <cellStyle name="20% - Accent3 2 2 4 2 2 2" xfId="15926" xr:uid="{CBF9E1FB-5C85-4CD0-8F7E-5B0B6668840D}"/>
    <cellStyle name="20% - Accent3 2 2 4 2 3" xfId="11708" xr:uid="{E6B4C95D-60E2-481A-8A98-E97ECEF5EEC4}"/>
    <cellStyle name="20% - Accent3 2 2 4 3" xfId="5352" xr:uid="{00000000-0005-0000-0000-00005F010000}"/>
    <cellStyle name="20% - Accent3 2 2 4 3 2" xfId="13781" xr:uid="{51AB4613-DCB4-4B88-909F-4B5633F7D456}"/>
    <cellStyle name="20% - Accent3 2 2 4 4" xfId="9563" xr:uid="{C79D6D59-4594-4AF8-9DFE-775C3F067C81}"/>
    <cellStyle name="20% - Accent3 2 2 5" xfId="1456" xr:uid="{00000000-0005-0000-0000-000060010000}"/>
    <cellStyle name="20% - Accent3 2 2 5 2" xfId="3686" xr:uid="{00000000-0005-0000-0000-000061010000}"/>
    <cellStyle name="20% - Accent3 2 2 5 2 2" xfId="7910" xr:uid="{00000000-0005-0000-0000-000062010000}"/>
    <cellStyle name="20% - Accent3 2 2 5 2 2 2" xfId="16339" xr:uid="{ED4BA3D3-3A9D-4001-BBFD-685AC98D2477}"/>
    <cellStyle name="20% - Accent3 2 2 5 2 3" xfId="12121" xr:uid="{2F3A1E85-6BE8-4F02-871F-4E29A351BA92}"/>
    <cellStyle name="20% - Accent3 2 2 5 3" xfId="5765" xr:uid="{00000000-0005-0000-0000-000063010000}"/>
    <cellStyle name="20% - Accent3 2 2 5 3 2" xfId="14194" xr:uid="{12ABE938-B5CE-4243-8921-CB38975764C9}"/>
    <cellStyle name="20% - Accent3 2 2 5 4" xfId="9976" xr:uid="{39F4CCDB-E488-4FD2-9CE1-3522E02049A3}"/>
    <cellStyle name="20% - Accent3 2 2 6" xfId="1870" xr:uid="{00000000-0005-0000-0000-000064010000}"/>
    <cellStyle name="20% - Accent3 2 2 6 2" xfId="4099" xr:uid="{00000000-0005-0000-0000-000065010000}"/>
    <cellStyle name="20% - Accent3 2 2 6 2 2" xfId="8323" xr:uid="{00000000-0005-0000-0000-000066010000}"/>
    <cellStyle name="20% - Accent3 2 2 6 2 2 2" xfId="16752" xr:uid="{AB10CFF7-124F-4C63-A8C1-AE4BFAEB85CC}"/>
    <cellStyle name="20% - Accent3 2 2 6 2 3" xfId="12534" xr:uid="{89D15BC0-C5BD-4552-941F-A7DA5A75FB78}"/>
    <cellStyle name="20% - Accent3 2 2 6 3" xfId="6178" xr:uid="{00000000-0005-0000-0000-000067010000}"/>
    <cellStyle name="20% - Accent3 2 2 6 3 2" xfId="14607" xr:uid="{F319FBFF-230C-467B-9A74-E112665769B1}"/>
    <cellStyle name="20% - Accent3 2 2 6 4" xfId="10389" xr:uid="{C1D9F8BB-2A78-44CC-8EF0-6B6B0ADE1AE6}"/>
    <cellStyle name="20% - Accent3 2 2 7" xfId="2283" xr:uid="{00000000-0005-0000-0000-000068010000}"/>
    <cellStyle name="20% - Accent3 2 2 7 2" xfId="6591" xr:uid="{00000000-0005-0000-0000-000069010000}"/>
    <cellStyle name="20% - Accent3 2 2 7 2 2" xfId="15020" xr:uid="{2C026BED-37AC-4817-8EC5-12CC443D52DE}"/>
    <cellStyle name="20% - Accent3 2 2 7 3" xfId="10802" xr:uid="{1DD9D63F-64D6-497A-84B5-0487EEA1326D}"/>
    <cellStyle name="20% - Accent3 2 2 8" xfId="4525" xr:uid="{00000000-0005-0000-0000-00006A010000}"/>
    <cellStyle name="20% - Accent3 2 2 8 2" xfId="12954" xr:uid="{90077D26-72A9-452C-B8FB-CA4B714BA6BB}"/>
    <cellStyle name="20% - Accent3 2 2 9" xfId="8736" xr:uid="{E5D0C572-F176-41AA-AD90-7044081268C4}"/>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2 2" xfId="15515" xr:uid="{05FFB563-DC14-4E2D-A3BD-450CCDC7B1CA}"/>
    <cellStyle name="20% - Accent3 2 3 2 2 3" xfId="11297" xr:uid="{150BF7F2-5679-437B-A7E0-85F96E2D967A}"/>
    <cellStyle name="20% - Accent3 2 3 2 3" xfId="4941" xr:uid="{00000000-0005-0000-0000-00006F010000}"/>
    <cellStyle name="20% - Accent3 2 3 2 3 2" xfId="13370" xr:uid="{275ADDBE-5300-4C9F-B374-3AC2FCDAE599}"/>
    <cellStyle name="20% - Accent3 2 3 2 4" xfId="9152" xr:uid="{96FB13A4-7261-4F9C-AA26-E5D3FB3EAB7E}"/>
    <cellStyle name="20% - Accent3 2 3 3" xfId="1044" xr:uid="{00000000-0005-0000-0000-000070010000}"/>
    <cellStyle name="20% - Accent3 2 3 3 2" xfId="3275" xr:uid="{00000000-0005-0000-0000-000071010000}"/>
    <cellStyle name="20% - Accent3 2 3 3 2 2" xfId="7499" xr:uid="{00000000-0005-0000-0000-000072010000}"/>
    <cellStyle name="20% - Accent3 2 3 3 2 2 2" xfId="15928" xr:uid="{F2E43B29-9FAA-44C9-B6A8-E87309D503F8}"/>
    <cellStyle name="20% - Accent3 2 3 3 2 3" xfId="11710" xr:uid="{F57C7552-49B3-4F9D-A80D-F3DD62D287CC}"/>
    <cellStyle name="20% - Accent3 2 3 3 3" xfId="5354" xr:uid="{00000000-0005-0000-0000-000073010000}"/>
    <cellStyle name="20% - Accent3 2 3 3 3 2" xfId="13783" xr:uid="{2476E8BC-5FA5-4672-8E17-D12238B78A62}"/>
    <cellStyle name="20% - Accent3 2 3 3 4" xfId="9565" xr:uid="{FE0B0F34-C519-444B-8256-B0131BAF966C}"/>
    <cellStyle name="20% - Accent3 2 3 4" xfId="1458" xr:uid="{00000000-0005-0000-0000-000074010000}"/>
    <cellStyle name="20% - Accent3 2 3 4 2" xfId="3688" xr:uid="{00000000-0005-0000-0000-000075010000}"/>
    <cellStyle name="20% - Accent3 2 3 4 2 2" xfId="7912" xr:uid="{00000000-0005-0000-0000-000076010000}"/>
    <cellStyle name="20% - Accent3 2 3 4 2 2 2" xfId="16341" xr:uid="{B4924C67-F4ED-442F-B466-0A32868B3777}"/>
    <cellStyle name="20% - Accent3 2 3 4 2 3" xfId="12123" xr:uid="{B2ADEC28-B416-4974-9494-55C799634063}"/>
    <cellStyle name="20% - Accent3 2 3 4 3" xfId="5767" xr:uid="{00000000-0005-0000-0000-000077010000}"/>
    <cellStyle name="20% - Accent3 2 3 4 3 2" xfId="14196" xr:uid="{7449E27B-F96A-4073-8146-FB3434938B93}"/>
    <cellStyle name="20% - Accent3 2 3 4 4" xfId="9978" xr:uid="{D42E9873-37EA-44A6-BEAE-240CB9A142D8}"/>
    <cellStyle name="20% - Accent3 2 3 5" xfId="1872" xr:uid="{00000000-0005-0000-0000-000078010000}"/>
    <cellStyle name="20% - Accent3 2 3 5 2" xfId="4101" xr:uid="{00000000-0005-0000-0000-000079010000}"/>
    <cellStyle name="20% - Accent3 2 3 5 2 2" xfId="8325" xr:uid="{00000000-0005-0000-0000-00007A010000}"/>
    <cellStyle name="20% - Accent3 2 3 5 2 2 2" xfId="16754" xr:uid="{60E5CE1C-C10D-423A-A737-2551F12BFCD3}"/>
    <cellStyle name="20% - Accent3 2 3 5 2 3" xfId="12536" xr:uid="{9BFD459A-03A5-45A6-B0CE-0CC8D885AB05}"/>
    <cellStyle name="20% - Accent3 2 3 5 3" xfId="6180" xr:uid="{00000000-0005-0000-0000-00007B010000}"/>
    <cellStyle name="20% - Accent3 2 3 5 3 2" xfId="14609" xr:uid="{97DD0C7C-D110-4041-A59E-86B052D9317D}"/>
    <cellStyle name="20% - Accent3 2 3 5 4" xfId="10391" xr:uid="{58F90E50-4A7F-467D-939D-F8A5504CC5CA}"/>
    <cellStyle name="20% - Accent3 2 3 6" xfId="2285" xr:uid="{00000000-0005-0000-0000-00007C010000}"/>
    <cellStyle name="20% - Accent3 2 3 6 2" xfId="6593" xr:uid="{00000000-0005-0000-0000-00007D010000}"/>
    <cellStyle name="20% - Accent3 2 3 6 2 2" xfId="15022" xr:uid="{F2D38E0B-9E70-4D32-94EB-3E4007D2FF83}"/>
    <cellStyle name="20% - Accent3 2 3 6 3" xfId="10804" xr:uid="{12F6468B-2AD9-4B96-A3CA-8402E45554D0}"/>
    <cellStyle name="20% - Accent3 2 3 7" xfId="4527" xr:uid="{00000000-0005-0000-0000-00007E010000}"/>
    <cellStyle name="20% - Accent3 2 3 7 2" xfId="12956" xr:uid="{7FCC7DDA-2665-42F7-95D6-3A6352B4C020}"/>
    <cellStyle name="20% - Accent3 2 3 8" xfId="8738" xr:uid="{AB697F56-C543-4E09-A346-7D202861823D}"/>
    <cellStyle name="20% - Accent3 2 4" xfId="588" xr:uid="{00000000-0005-0000-0000-00007F010000}"/>
    <cellStyle name="20% - Accent3 2 4 2" xfId="2859" xr:uid="{00000000-0005-0000-0000-000080010000}"/>
    <cellStyle name="20% - Accent3 2 4 2 2" xfId="7083" xr:uid="{00000000-0005-0000-0000-000081010000}"/>
    <cellStyle name="20% - Accent3 2 4 2 2 2" xfId="15512" xr:uid="{FCEAD9DD-64CA-48BA-B414-464E09C2C262}"/>
    <cellStyle name="20% - Accent3 2 4 2 3" xfId="11294" xr:uid="{D2EE7874-4981-4615-9CB5-0629A94D8CB7}"/>
    <cellStyle name="20% - Accent3 2 4 3" xfId="4938" xr:uid="{00000000-0005-0000-0000-000082010000}"/>
    <cellStyle name="20% - Accent3 2 4 3 2" xfId="13367" xr:uid="{0FE32B4F-D3D9-4870-A024-88B732577E29}"/>
    <cellStyle name="20% - Accent3 2 4 4" xfId="9149" xr:uid="{5A2B1D01-F7C8-4014-85A4-D981BBAD489F}"/>
    <cellStyle name="20% - Accent3 2 5" xfId="1041" xr:uid="{00000000-0005-0000-0000-000083010000}"/>
    <cellStyle name="20% - Accent3 2 5 2" xfId="3272" xr:uid="{00000000-0005-0000-0000-000084010000}"/>
    <cellStyle name="20% - Accent3 2 5 2 2" xfId="7496" xr:uid="{00000000-0005-0000-0000-000085010000}"/>
    <cellStyle name="20% - Accent3 2 5 2 2 2" xfId="15925" xr:uid="{274BA4CD-4025-4C71-A557-CE7B0A928E57}"/>
    <cellStyle name="20% - Accent3 2 5 2 3" xfId="11707" xr:uid="{6E88D0F4-4E75-4AC6-BF62-F6819D001C70}"/>
    <cellStyle name="20% - Accent3 2 5 3" xfId="5351" xr:uid="{00000000-0005-0000-0000-000086010000}"/>
    <cellStyle name="20% - Accent3 2 5 3 2" xfId="13780" xr:uid="{1688E9B5-0048-4654-A9CA-533B1C3A2B27}"/>
    <cellStyle name="20% - Accent3 2 5 4" xfId="9562" xr:uid="{8EAB8E04-C851-47CA-B57D-A6399BB64ED2}"/>
    <cellStyle name="20% - Accent3 2 6" xfId="1455" xr:uid="{00000000-0005-0000-0000-000087010000}"/>
    <cellStyle name="20% - Accent3 2 6 2" xfId="3685" xr:uid="{00000000-0005-0000-0000-000088010000}"/>
    <cellStyle name="20% - Accent3 2 6 2 2" xfId="7909" xr:uid="{00000000-0005-0000-0000-000089010000}"/>
    <cellStyle name="20% - Accent3 2 6 2 2 2" xfId="16338" xr:uid="{BC2AE67C-919E-4C17-A679-287719496D5A}"/>
    <cellStyle name="20% - Accent3 2 6 2 3" xfId="12120" xr:uid="{32164EAA-F2D1-481B-86F7-6895CEC90AAC}"/>
    <cellStyle name="20% - Accent3 2 6 3" xfId="5764" xr:uid="{00000000-0005-0000-0000-00008A010000}"/>
    <cellStyle name="20% - Accent3 2 6 3 2" xfId="14193" xr:uid="{A0FB0CC3-B278-4774-924D-15273D6D9E08}"/>
    <cellStyle name="20% - Accent3 2 6 4" xfId="9975" xr:uid="{703CCB1F-B328-4F11-AC54-B58D2775AAE2}"/>
    <cellStyle name="20% - Accent3 2 7" xfId="1869" xr:uid="{00000000-0005-0000-0000-00008B010000}"/>
    <cellStyle name="20% - Accent3 2 7 2" xfId="4098" xr:uid="{00000000-0005-0000-0000-00008C010000}"/>
    <cellStyle name="20% - Accent3 2 7 2 2" xfId="8322" xr:uid="{00000000-0005-0000-0000-00008D010000}"/>
    <cellStyle name="20% - Accent3 2 7 2 2 2" xfId="16751" xr:uid="{D70EAB80-E743-4C43-90BF-7629A0C23415}"/>
    <cellStyle name="20% - Accent3 2 7 2 3" xfId="12533" xr:uid="{5C200639-81A9-4E19-B9A2-F236DAC50870}"/>
    <cellStyle name="20% - Accent3 2 7 3" xfId="6177" xr:uid="{00000000-0005-0000-0000-00008E010000}"/>
    <cellStyle name="20% - Accent3 2 7 3 2" xfId="14606" xr:uid="{E71203E9-2AB9-4105-9BF9-5BF6BA93F30D}"/>
    <cellStyle name="20% - Accent3 2 7 4" xfId="10388" xr:uid="{FB4D3450-377D-40FA-81D2-8B9004CAF6A7}"/>
    <cellStyle name="20% - Accent3 2 8" xfId="2282" xr:uid="{00000000-0005-0000-0000-00008F010000}"/>
    <cellStyle name="20% - Accent3 2 8 2" xfId="6590" xr:uid="{00000000-0005-0000-0000-000090010000}"/>
    <cellStyle name="20% - Accent3 2 8 2 2" xfId="15019" xr:uid="{01D9BB89-EAEA-46C4-8B3F-A6A02FDD1145}"/>
    <cellStyle name="20% - Accent3 2 8 3" xfId="10801" xr:uid="{F9CAB26C-BBE7-4511-98BB-8FDE82BCA337}"/>
    <cellStyle name="20% - Accent3 2 9" xfId="4524" xr:uid="{00000000-0005-0000-0000-000091010000}"/>
    <cellStyle name="20% - Accent3 2 9 2" xfId="12953" xr:uid="{3AD90781-8621-4BAB-87BC-7126633167ED}"/>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2 2" xfId="15517" xr:uid="{55DBE5F8-1A87-421C-9855-F9051387B9A1}"/>
    <cellStyle name="20% - Accent3 3 2 2 2 3" xfId="11299" xr:uid="{A99368F6-CB23-4330-A8F0-8F007AEACE36}"/>
    <cellStyle name="20% - Accent3 3 2 2 3" xfId="4943" xr:uid="{00000000-0005-0000-0000-000097010000}"/>
    <cellStyle name="20% - Accent3 3 2 2 3 2" xfId="13372" xr:uid="{5B9A9C92-C2FD-446E-8433-B3346E1E8B42}"/>
    <cellStyle name="20% - Accent3 3 2 2 4" xfId="9154" xr:uid="{7CCD353D-E793-49EE-9666-AAABB22BA068}"/>
    <cellStyle name="20% - Accent3 3 2 3" xfId="1046" xr:uid="{00000000-0005-0000-0000-000098010000}"/>
    <cellStyle name="20% - Accent3 3 2 3 2" xfId="3277" xr:uid="{00000000-0005-0000-0000-000099010000}"/>
    <cellStyle name="20% - Accent3 3 2 3 2 2" xfId="7501" xr:uid="{00000000-0005-0000-0000-00009A010000}"/>
    <cellStyle name="20% - Accent3 3 2 3 2 2 2" xfId="15930" xr:uid="{D024C7D3-6D0A-4F90-BAF0-A0B8C1DD533D}"/>
    <cellStyle name="20% - Accent3 3 2 3 2 3" xfId="11712" xr:uid="{D291363C-262F-42C8-BE97-312D90C1E32F}"/>
    <cellStyle name="20% - Accent3 3 2 3 3" xfId="5356" xr:uid="{00000000-0005-0000-0000-00009B010000}"/>
    <cellStyle name="20% - Accent3 3 2 3 3 2" xfId="13785" xr:uid="{4BEC132A-8DA7-4D6C-A6FD-43C80E7DA466}"/>
    <cellStyle name="20% - Accent3 3 2 3 4" xfId="9567" xr:uid="{9AA7273B-8455-4E69-8BB4-F6B611100EA2}"/>
    <cellStyle name="20% - Accent3 3 2 4" xfId="1460" xr:uid="{00000000-0005-0000-0000-00009C010000}"/>
    <cellStyle name="20% - Accent3 3 2 4 2" xfId="3690" xr:uid="{00000000-0005-0000-0000-00009D010000}"/>
    <cellStyle name="20% - Accent3 3 2 4 2 2" xfId="7914" xr:uid="{00000000-0005-0000-0000-00009E010000}"/>
    <cellStyle name="20% - Accent3 3 2 4 2 2 2" xfId="16343" xr:uid="{9CE11591-7E0A-4202-821D-D50C161778EF}"/>
    <cellStyle name="20% - Accent3 3 2 4 2 3" xfId="12125" xr:uid="{C80B16A7-E56F-4954-ACC2-5E4A6DF5597F}"/>
    <cellStyle name="20% - Accent3 3 2 4 3" xfId="5769" xr:uid="{00000000-0005-0000-0000-00009F010000}"/>
    <cellStyle name="20% - Accent3 3 2 4 3 2" xfId="14198" xr:uid="{737D323A-0A12-4C8E-9316-4DAF8AE69A1B}"/>
    <cellStyle name="20% - Accent3 3 2 4 4" xfId="9980" xr:uid="{2354EF35-7AA2-4EF9-B9EA-C08E05FB1903}"/>
    <cellStyle name="20% - Accent3 3 2 5" xfId="1874" xr:uid="{00000000-0005-0000-0000-0000A0010000}"/>
    <cellStyle name="20% - Accent3 3 2 5 2" xfId="4103" xr:uid="{00000000-0005-0000-0000-0000A1010000}"/>
    <cellStyle name="20% - Accent3 3 2 5 2 2" xfId="8327" xr:uid="{00000000-0005-0000-0000-0000A2010000}"/>
    <cellStyle name="20% - Accent3 3 2 5 2 2 2" xfId="16756" xr:uid="{6B432B1C-2646-4A9F-9BDC-7759918556D7}"/>
    <cellStyle name="20% - Accent3 3 2 5 2 3" xfId="12538" xr:uid="{E1434D64-FDF5-4271-B622-3945490C2BFA}"/>
    <cellStyle name="20% - Accent3 3 2 5 3" xfId="6182" xr:uid="{00000000-0005-0000-0000-0000A3010000}"/>
    <cellStyle name="20% - Accent3 3 2 5 3 2" xfId="14611" xr:uid="{3A1742F3-16BD-457E-95D2-DDA3638D9365}"/>
    <cellStyle name="20% - Accent3 3 2 5 4" xfId="10393" xr:uid="{1D398B73-B6FB-46D3-BCE2-DB6695B6C6E5}"/>
    <cellStyle name="20% - Accent3 3 2 6" xfId="2287" xr:uid="{00000000-0005-0000-0000-0000A4010000}"/>
    <cellStyle name="20% - Accent3 3 2 6 2" xfId="6595" xr:uid="{00000000-0005-0000-0000-0000A5010000}"/>
    <cellStyle name="20% - Accent3 3 2 6 2 2" xfId="15024" xr:uid="{8AB458EF-9C57-4F37-AAFA-A7F266E6742E}"/>
    <cellStyle name="20% - Accent3 3 2 6 3" xfId="10806" xr:uid="{408D5598-E946-483C-8702-807A3721DFDA}"/>
    <cellStyle name="20% - Accent3 3 2 7" xfId="4529" xr:uid="{00000000-0005-0000-0000-0000A6010000}"/>
    <cellStyle name="20% - Accent3 3 2 7 2" xfId="12958" xr:uid="{D6D992E5-37E9-4D4B-A464-D0C5628CC5BB}"/>
    <cellStyle name="20% - Accent3 3 2 8" xfId="8740" xr:uid="{612AF010-8BDA-4203-8A96-C92138F595E7}"/>
    <cellStyle name="20% - Accent3 3 3" xfId="592" xr:uid="{00000000-0005-0000-0000-0000A7010000}"/>
    <cellStyle name="20% - Accent3 3 3 2" xfId="2863" xr:uid="{00000000-0005-0000-0000-0000A8010000}"/>
    <cellStyle name="20% - Accent3 3 3 2 2" xfId="7087" xr:uid="{00000000-0005-0000-0000-0000A9010000}"/>
    <cellStyle name="20% - Accent3 3 3 2 2 2" xfId="15516" xr:uid="{A296C507-A60F-4861-B9A1-14E6115FF37D}"/>
    <cellStyle name="20% - Accent3 3 3 2 3" xfId="11298" xr:uid="{1DC96417-B1B8-480E-8786-9D56F8F0D587}"/>
    <cellStyle name="20% - Accent3 3 3 3" xfId="4942" xr:uid="{00000000-0005-0000-0000-0000AA010000}"/>
    <cellStyle name="20% - Accent3 3 3 3 2" xfId="13371" xr:uid="{3AC1173B-D2F7-4C00-A956-A1CC72D25C51}"/>
    <cellStyle name="20% - Accent3 3 3 4" xfId="9153" xr:uid="{2BF58893-0B50-43FA-9585-BD9503C1F9FC}"/>
    <cellStyle name="20% - Accent3 3 4" xfId="1045" xr:uid="{00000000-0005-0000-0000-0000AB010000}"/>
    <cellStyle name="20% - Accent3 3 4 2" xfId="3276" xr:uid="{00000000-0005-0000-0000-0000AC010000}"/>
    <cellStyle name="20% - Accent3 3 4 2 2" xfId="7500" xr:uid="{00000000-0005-0000-0000-0000AD010000}"/>
    <cellStyle name="20% - Accent3 3 4 2 2 2" xfId="15929" xr:uid="{F9D7B5B5-5955-49E9-9C11-A0F0E4887F81}"/>
    <cellStyle name="20% - Accent3 3 4 2 3" xfId="11711" xr:uid="{CFC1743F-F2EE-43B3-A515-36CC9ECD674D}"/>
    <cellStyle name="20% - Accent3 3 4 3" xfId="5355" xr:uid="{00000000-0005-0000-0000-0000AE010000}"/>
    <cellStyle name="20% - Accent3 3 4 3 2" xfId="13784" xr:uid="{96C6E8E7-F213-47A8-B4DF-3E3132129B33}"/>
    <cellStyle name="20% - Accent3 3 4 4" xfId="9566" xr:uid="{7CB77682-A56E-44EB-8B81-8F69FCB68914}"/>
    <cellStyle name="20% - Accent3 3 5" xfId="1459" xr:uid="{00000000-0005-0000-0000-0000AF010000}"/>
    <cellStyle name="20% - Accent3 3 5 2" xfId="3689" xr:uid="{00000000-0005-0000-0000-0000B0010000}"/>
    <cellStyle name="20% - Accent3 3 5 2 2" xfId="7913" xr:uid="{00000000-0005-0000-0000-0000B1010000}"/>
    <cellStyle name="20% - Accent3 3 5 2 2 2" xfId="16342" xr:uid="{A31E74DE-028B-4590-840F-8BCFF79CE741}"/>
    <cellStyle name="20% - Accent3 3 5 2 3" xfId="12124" xr:uid="{5AB64226-12C9-4FE2-B704-FBEE382347C2}"/>
    <cellStyle name="20% - Accent3 3 5 3" xfId="5768" xr:uid="{00000000-0005-0000-0000-0000B2010000}"/>
    <cellStyle name="20% - Accent3 3 5 3 2" xfId="14197" xr:uid="{E3F4A124-C14B-4052-8B99-DF4CA30B22CC}"/>
    <cellStyle name="20% - Accent3 3 5 4" xfId="9979" xr:uid="{6B112AC1-FC4B-4F59-A151-1BAE2778A4D3}"/>
    <cellStyle name="20% - Accent3 3 6" xfId="1873" xr:uid="{00000000-0005-0000-0000-0000B3010000}"/>
    <cellStyle name="20% - Accent3 3 6 2" xfId="4102" xr:uid="{00000000-0005-0000-0000-0000B4010000}"/>
    <cellStyle name="20% - Accent3 3 6 2 2" xfId="8326" xr:uid="{00000000-0005-0000-0000-0000B5010000}"/>
    <cellStyle name="20% - Accent3 3 6 2 2 2" xfId="16755" xr:uid="{8BD73C3E-20D8-484C-B4EB-398AAE701507}"/>
    <cellStyle name="20% - Accent3 3 6 2 3" xfId="12537" xr:uid="{B9573A3D-7A51-4E77-B5DA-05306869D1DD}"/>
    <cellStyle name="20% - Accent3 3 6 3" xfId="6181" xr:uid="{00000000-0005-0000-0000-0000B6010000}"/>
    <cellStyle name="20% - Accent3 3 6 3 2" xfId="14610" xr:uid="{13F8B64C-FAB1-4FB8-9FC1-73F0C0070240}"/>
    <cellStyle name="20% - Accent3 3 6 4" xfId="10392" xr:uid="{600AEBD8-7397-4157-8324-F18AB3102171}"/>
    <cellStyle name="20% - Accent3 3 7" xfId="2286" xr:uid="{00000000-0005-0000-0000-0000B7010000}"/>
    <cellStyle name="20% - Accent3 3 7 2" xfId="6594" xr:uid="{00000000-0005-0000-0000-0000B8010000}"/>
    <cellStyle name="20% - Accent3 3 7 2 2" xfId="15023" xr:uid="{7D7962AE-F704-42A5-B8FB-802C6ED45BB2}"/>
    <cellStyle name="20% - Accent3 3 7 3" xfId="10805" xr:uid="{E4B1E99C-2CAD-4D32-9A12-C0F7A3252E07}"/>
    <cellStyle name="20% - Accent3 3 8" xfId="4528" xr:uid="{00000000-0005-0000-0000-0000B9010000}"/>
    <cellStyle name="20% - Accent3 3 8 2" xfId="12957" xr:uid="{7D6D8C58-68AC-4705-BC4C-DEF2C8A7748D}"/>
    <cellStyle name="20% - Accent3 3 9" xfId="8739" xr:uid="{F2ED9DBB-E1B7-4240-94A6-00AEA1185882}"/>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2 2" xfId="15518" xr:uid="{90FD7C82-0FAC-41ED-BBBA-D6E56211B828}"/>
    <cellStyle name="20% - Accent3 4 2 2 3" xfId="11300" xr:uid="{07F8FBDF-F3CE-4620-8ACF-B3804490F47F}"/>
    <cellStyle name="20% - Accent3 4 2 3" xfId="4944" xr:uid="{00000000-0005-0000-0000-0000BE010000}"/>
    <cellStyle name="20% - Accent3 4 2 3 2" xfId="13373" xr:uid="{E6B7DE92-6D1B-48AC-B4F1-8FE9BEAE841C}"/>
    <cellStyle name="20% - Accent3 4 2 4" xfId="9155" xr:uid="{435AEDE4-016C-4625-BBB0-952EE1A7646F}"/>
    <cellStyle name="20% - Accent3 4 3" xfId="1047" xr:uid="{00000000-0005-0000-0000-0000BF010000}"/>
    <cellStyle name="20% - Accent3 4 3 2" xfId="3278" xr:uid="{00000000-0005-0000-0000-0000C0010000}"/>
    <cellStyle name="20% - Accent3 4 3 2 2" xfId="7502" xr:uid="{00000000-0005-0000-0000-0000C1010000}"/>
    <cellStyle name="20% - Accent3 4 3 2 2 2" xfId="15931" xr:uid="{C7EAAF3A-437B-40BE-A362-CD34F09C6721}"/>
    <cellStyle name="20% - Accent3 4 3 2 3" xfId="11713" xr:uid="{706F6210-8F71-4A31-813E-79F5BFE64FCB}"/>
    <cellStyle name="20% - Accent3 4 3 3" xfId="5357" xr:uid="{00000000-0005-0000-0000-0000C2010000}"/>
    <cellStyle name="20% - Accent3 4 3 3 2" xfId="13786" xr:uid="{14B84C88-656E-4196-9428-34E1D26CBC06}"/>
    <cellStyle name="20% - Accent3 4 3 4" xfId="9568" xr:uid="{F55B241B-4CE0-4BF7-960E-8D4CF3F4F11B}"/>
    <cellStyle name="20% - Accent3 4 4" xfId="1461" xr:uid="{00000000-0005-0000-0000-0000C3010000}"/>
    <cellStyle name="20% - Accent3 4 4 2" xfId="3691" xr:uid="{00000000-0005-0000-0000-0000C4010000}"/>
    <cellStyle name="20% - Accent3 4 4 2 2" xfId="7915" xr:uid="{00000000-0005-0000-0000-0000C5010000}"/>
    <cellStyle name="20% - Accent3 4 4 2 2 2" xfId="16344" xr:uid="{E12B69CE-B526-4983-8400-33F951442225}"/>
    <cellStyle name="20% - Accent3 4 4 2 3" xfId="12126" xr:uid="{923AD05F-F241-4C71-ACBD-819BE8603FF2}"/>
    <cellStyle name="20% - Accent3 4 4 3" xfId="5770" xr:uid="{00000000-0005-0000-0000-0000C6010000}"/>
    <cellStyle name="20% - Accent3 4 4 3 2" xfId="14199" xr:uid="{33A0F347-BE96-4DA3-8DF8-3D357124457B}"/>
    <cellStyle name="20% - Accent3 4 4 4" xfId="9981" xr:uid="{D3158D51-E577-45A2-9EAD-D18A63AA418C}"/>
    <cellStyle name="20% - Accent3 4 5" xfId="1875" xr:uid="{00000000-0005-0000-0000-0000C7010000}"/>
    <cellStyle name="20% - Accent3 4 5 2" xfId="4104" xr:uid="{00000000-0005-0000-0000-0000C8010000}"/>
    <cellStyle name="20% - Accent3 4 5 2 2" xfId="8328" xr:uid="{00000000-0005-0000-0000-0000C9010000}"/>
    <cellStyle name="20% - Accent3 4 5 2 2 2" xfId="16757" xr:uid="{B3DD8D28-1AE7-4208-B420-731E8A23585C}"/>
    <cellStyle name="20% - Accent3 4 5 2 3" xfId="12539" xr:uid="{29065AFF-7C32-4DC0-AF8D-CCC87700B340}"/>
    <cellStyle name="20% - Accent3 4 5 3" xfId="6183" xr:uid="{00000000-0005-0000-0000-0000CA010000}"/>
    <cellStyle name="20% - Accent3 4 5 3 2" xfId="14612" xr:uid="{7E3F92E4-D259-4ED6-BD92-C93D96976516}"/>
    <cellStyle name="20% - Accent3 4 5 4" xfId="10394" xr:uid="{0F3B0267-1D86-4CA5-A5A3-B12621288010}"/>
    <cellStyle name="20% - Accent3 4 6" xfId="2288" xr:uid="{00000000-0005-0000-0000-0000CB010000}"/>
    <cellStyle name="20% - Accent3 4 6 2" xfId="6596" xr:uid="{00000000-0005-0000-0000-0000CC010000}"/>
    <cellStyle name="20% - Accent3 4 6 2 2" xfId="15025" xr:uid="{E5C11575-9650-484A-BF17-C18F45CC3A81}"/>
    <cellStyle name="20% - Accent3 4 6 3" xfId="10807" xr:uid="{CAB2DC86-1132-4FDB-BDE5-205DD396DD79}"/>
    <cellStyle name="20% - Accent3 4 7" xfId="4530" xr:uid="{00000000-0005-0000-0000-0000CD010000}"/>
    <cellStyle name="20% - Accent3 4 7 2" xfId="12959" xr:uid="{380C712A-14D3-4A4E-87CC-64352F155E83}"/>
    <cellStyle name="20% - Accent3 4 8" xfId="8741" xr:uid="{2D245971-4F8B-475F-82C4-1C3EF02CCFBD}"/>
    <cellStyle name="20% - Accent3 5" xfId="587" xr:uid="{00000000-0005-0000-0000-0000CE010000}"/>
    <cellStyle name="20% - Accent3 5 2" xfId="2858" xr:uid="{00000000-0005-0000-0000-0000CF010000}"/>
    <cellStyle name="20% - Accent3 5 2 2" xfId="7082" xr:uid="{00000000-0005-0000-0000-0000D0010000}"/>
    <cellStyle name="20% - Accent3 5 2 2 2" xfId="15511" xr:uid="{205F51A5-A5D9-4250-B4B8-23A6173DE9B6}"/>
    <cellStyle name="20% - Accent3 5 2 3" xfId="11293" xr:uid="{18E845EF-F193-409A-9B79-058D32EC690E}"/>
    <cellStyle name="20% - Accent3 5 3" xfId="4937" xr:uid="{00000000-0005-0000-0000-0000D1010000}"/>
    <cellStyle name="20% - Accent3 5 3 2" xfId="13366" xr:uid="{470B9FE4-7C11-4EC1-B230-29357C24F16B}"/>
    <cellStyle name="20% - Accent3 5 4" xfId="9148" xr:uid="{B7E89D7D-C953-475C-A5AD-7E40DFBC9BB0}"/>
    <cellStyle name="20% - Accent3 6" xfId="1040" xr:uid="{00000000-0005-0000-0000-0000D2010000}"/>
    <cellStyle name="20% - Accent3 6 2" xfId="3271" xr:uid="{00000000-0005-0000-0000-0000D3010000}"/>
    <cellStyle name="20% - Accent3 6 2 2" xfId="7495" xr:uid="{00000000-0005-0000-0000-0000D4010000}"/>
    <cellStyle name="20% - Accent3 6 2 2 2" xfId="15924" xr:uid="{B6860A70-6D79-42BD-A842-720C6480CBD9}"/>
    <cellStyle name="20% - Accent3 6 2 3" xfId="11706" xr:uid="{0DA3EF46-CA3F-4857-80C4-F698C768DED2}"/>
    <cellStyle name="20% - Accent3 6 3" xfId="5350" xr:uid="{00000000-0005-0000-0000-0000D5010000}"/>
    <cellStyle name="20% - Accent3 6 3 2" xfId="13779" xr:uid="{EDBA68D2-A3E3-4C65-9072-6FE18E33C1FE}"/>
    <cellStyle name="20% - Accent3 6 4" xfId="9561" xr:uid="{ED8FD3DE-4812-4497-AEF9-F490B55C4141}"/>
    <cellStyle name="20% - Accent3 7" xfId="1454" xr:uid="{00000000-0005-0000-0000-0000D6010000}"/>
    <cellStyle name="20% - Accent3 7 2" xfId="3684" xr:uid="{00000000-0005-0000-0000-0000D7010000}"/>
    <cellStyle name="20% - Accent3 7 2 2" xfId="7908" xr:uid="{00000000-0005-0000-0000-0000D8010000}"/>
    <cellStyle name="20% - Accent3 7 2 2 2" xfId="16337" xr:uid="{457B2FC3-5EB9-4F7D-A089-E423E11671D4}"/>
    <cellStyle name="20% - Accent3 7 2 3" xfId="12119" xr:uid="{198A3874-603B-41F9-85DA-7A29DB491286}"/>
    <cellStyle name="20% - Accent3 7 3" xfId="5763" xr:uid="{00000000-0005-0000-0000-0000D9010000}"/>
    <cellStyle name="20% - Accent3 7 3 2" xfId="14192" xr:uid="{2F05E0A7-834E-4E61-B76E-8F8EE7B5217B}"/>
    <cellStyle name="20% - Accent3 7 4" xfId="9974" xr:uid="{2C428B8D-D1EE-48E3-A7B6-F0003753434C}"/>
    <cellStyle name="20% - Accent3 8" xfId="1868" xr:uid="{00000000-0005-0000-0000-0000DA010000}"/>
    <cellStyle name="20% - Accent3 8 2" xfId="4097" xr:uid="{00000000-0005-0000-0000-0000DB010000}"/>
    <cellStyle name="20% - Accent3 8 2 2" xfId="8321" xr:uid="{00000000-0005-0000-0000-0000DC010000}"/>
    <cellStyle name="20% - Accent3 8 2 2 2" xfId="16750" xr:uid="{A94DBF1A-6230-40CE-B669-C6E32FCBEC7B}"/>
    <cellStyle name="20% - Accent3 8 2 3" xfId="12532" xr:uid="{86F0F8F4-31FD-4BAB-9134-FBD9055EB6F3}"/>
    <cellStyle name="20% - Accent3 8 3" xfId="6176" xr:uid="{00000000-0005-0000-0000-0000DD010000}"/>
    <cellStyle name="20% - Accent3 8 3 2" xfId="14605" xr:uid="{F70AACD8-F4EC-4837-AEA5-0B05DFD5A73B}"/>
    <cellStyle name="20% - Accent3 8 4" xfId="10387" xr:uid="{F9655145-9F3F-4405-992F-C86C37B7C986}"/>
    <cellStyle name="20% - Accent3 9" xfId="2281" xr:uid="{00000000-0005-0000-0000-0000DE010000}"/>
    <cellStyle name="20% - Accent3 9 2" xfId="6589" xr:uid="{00000000-0005-0000-0000-0000DF010000}"/>
    <cellStyle name="20% - Accent3 9 2 2" xfId="15018" xr:uid="{EF9BFA13-0FB2-489B-BE42-E0BAD46CAE55}"/>
    <cellStyle name="20% - Accent3 9 3" xfId="10800" xr:uid="{25281BA3-C484-4079-8ABC-5CDD0F8A7A53}"/>
    <cellStyle name="20% - Accent4" xfId="25" builtinId="42" customBuiltin="1"/>
    <cellStyle name="20% - Accent4 10" xfId="4531" xr:uid="{00000000-0005-0000-0000-0000E1010000}"/>
    <cellStyle name="20% - Accent4 10 2" xfId="12960" xr:uid="{984E1A1D-CCDB-4566-B036-F86E8F96E85B}"/>
    <cellStyle name="20% - Accent4 11" xfId="8742" xr:uid="{191BF10D-FB8C-4490-9922-A07CD7464EDE}"/>
    <cellStyle name="20% - Accent4 2" xfId="26" xr:uid="{00000000-0005-0000-0000-0000E2010000}"/>
    <cellStyle name="20% - Accent4 2 10" xfId="8743" xr:uid="{C5E2FCC3-0A46-44E3-874C-32D8D4559E3E}"/>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2 2" xfId="15522" xr:uid="{4A5291F1-5599-4C12-8CB2-CFC46B7D74F9}"/>
    <cellStyle name="20% - Accent4 2 2 2 2 2 3" xfId="11304" xr:uid="{C27CCACE-5D6B-4727-8245-EB3576413AA9}"/>
    <cellStyle name="20% - Accent4 2 2 2 2 3" xfId="4948" xr:uid="{00000000-0005-0000-0000-0000E8010000}"/>
    <cellStyle name="20% - Accent4 2 2 2 2 3 2" xfId="13377" xr:uid="{76204E74-3DF7-470C-8A6D-1C77B0D120FC}"/>
    <cellStyle name="20% - Accent4 2 2 2 2 4" xfId="9159" xr:uid="{3C87FBAB-BD0D-44EB-AB62-F8DFD26DE474}"/>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2 2" xfId="15935" xr:uid="{C46841DD-FD87-4314-95AD-0C9F90C6C8F6}"/>
    <cellStyle name="20% - Accent4 2 2 2 3 2 3" xfId="11717" xr:uid="{40E7C8E0-7A4D-43EE-9112-174950FED718}"/>
    <cellStyle name="20% - Accent4 2 2 2 3 3" xfId="5361" xr:uid="{00000000-0005-0000-0000-0000EC010000}"/>
    <cellStyle name="20% - Accent4 2 2 2 3 3 2" xfId="13790" xr:uid="{7ABDF4C2-7C8F-4F7B-8AF0-D04F49E4193E}"/>
    <cellStyle name="20% - Accent4 2 2 2 3 4" xfId="9572" xr:uid="{513B7CF6-6EB5-40A4-8CCE-B9880DBA1EC3}"/>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2 2" xfId="16348" xr:uid="{F29F5313-7FA9-4D6E-9BF4-1C57197E81B0}"/>
    <cellStyle name="20% - Accent4 2 2 2 4 2 3" xfId="12130" xr:uid="{58A6EB55-6789-4C9A-9042-AD49618D15E6}"/>
    <cellStyle name="20% - Accent4 2 2 2 4 3" xfId="5774" xr:uid="{00000000-0005-0000-0000-0000F0010000}"/>
    <cellStyle name="20% - Accent4 2 2 2 4 3 2" xfId="14203" xr:uid="{7DD9241B-66B2-4DFB-83EE-6504E904BEC3}"/>
    <cellStyle name="20% - Accent4 2 2 2 4 4" xfId="9985" xr:uid="{33254D20-B9D0-4AF1-B893-6425B2D1E5A5}"/>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2 2" xfId="16761" xr:uid="{0E1CE6BC-61D8-4E40-83EC-2CD4259B1CA3}"/>
    <cellStyle name="20% - Accent4 2 2 2 5 2 3" xfId="12543" xr:uid="{6B6306B6-9CE8-442E-A840-DAC82EDDA982}"/>
    <cellStyle name="20% - Accent4 2 2 2 5 3" xfId="6187" xr:uid="{00000000-0005-0000-0000-0000F4010000}"/>
    <cellStyle name="20% - Accent4 2 2 2 5 3 2" xfId="14616" xr:uid="{D1CA8390-0EA7-43ED-8205-3F48EAE48069}"/>
    <cellStyle name="20% - Accent4 2 2 2 5 4" xfId="10398" xr:uid="{6C4DD73F-1C4D-4FD4-9B20-81B73056006F}"/>
    <cellStyle name="20% - Accent4 2 2 2 6" xfId="2292" xr:uid="{00000000-0005-0000-0000-0000F5010000}"/>
    <cellStyle name="20% - Accent4 2 2 2 6 2" xfId="6600" xr:uid="{00000000-0005-0000-0000-0000F6010000}"/>
    <cellStyle name="20% - Accent4 2 2 2 6 2 2" xfId="15029" xr:uid="{562B66AF-9A29-46C7-A280-20C79684C45D}"/>
    <cellStyle name="20% - Accent4 2 2 2 6 3" xfId="10811" xr:uid="{9C8869AA-4B27-4D8C-8AAC-686AF6414845}"/>
    <cellStyle name="20% - Accent4 2 2 2 7" xfId="4534" xr:uid="{00000000-0005-0000-0000-0000F7010000}"/>
    <cellStyle name="20% - Accent4 2 2 2 7 2" xfId="12963" xr:uid="{E720A2F5-9D98-4A0D-A41D-E09295C3B119}"/>
    <cellStyle name="20% - Accent4 2 2 2 8" xfId="8745" xr:uid="{707FAAD5-1FD7-4D37-AF3C-FE014EED152F}"/>
    <cellStyle name="20% - Accent4 2 2 3" xfId="597" xr:uid="{00000000-0005-0000-0000-0000F8010000}"/>
    <cellStyle name="20% - Accent4 2 2 3 2" xfId="2868" xr:uid="{00000000-0005-0000-0000-0000F9010000}"/>
    <cellStyle name="20% - Accent4 2 2 3 2 2" xfId="7092" xr:uid="{00000000-0005-0000-0000-0000FA010000}"/>
    <cellStyle name="20% - Accent4 2 2 3 2 2 2" xfId="15521" xr:uid="{AC315BC2-E1D7-4FCA-BC11-9EAAD8C51C93}"/>
    <cellStyle name="20% - Accent4 2 2 3 2 3" xfId="11303" xr:uid="{58BB0764-970D-4029-9D6E-E1BB20E43128}"/>
    <cellStyle name="20% - Accent4 2 2 3 3" xfId="4947" xr:uid="{00000000-0005-0000-0000-0000FB010000}"/>
    <cellStyle name="20% - Accent4 2 2 3 3 2" xfId="13376" xr:uid="{F0A826C1-D21F-46EC-BFEC-CBC9DFEA82EB}"/>
    <cellStyle name="20% - Accent4 2 2 3 4" xfId="9158" xr:uid="{4CFABDEE-D68B-4A23-84C4-8BF64D888EDD}"/>
    <cellStyle name="20% - Accent4 2 2 4" xfId="1050" xr:uid="{00000000-0005-0000-0000-0000FC010000}"/>
    <cellStyle name="20% - Accent4 2 2 4 2" xfId="3281" xr:uid="{00000000-0005-0000-0000-0000FD010000}"/>
    <cellStyle name="20% - Accent4 2 2 4 2 2" xfId="7505" xr:uid="{00000000-0005-0000-0000-0000FE010000}"/>
    <cellStyle name="20% - Accent4 2 2 4 2 2 2" xfId="15934" xr:uid="{93EE9AC8-5027-4A0E-A06B-CF569F10EE48}"/>
    <cellStyle name="20% - Accent4 2 2 4 2 3" xfId="11716" xr:uid="{DD45746D-23D2-482A-B9F8-E470694D0711}"/>
    <cellStyle name="20% - Accent4 2 2 4 3" xfId="5360" xr:uid="{00000000-0005-0000-0000-0000FF010000}"/>
    <cellStyle name="20% - Accent4 2 2 4 3 2" xfId="13789" xr:uid="{43357E2F-296A-45E9-B64A-5A5389D1F5A8}"/>
    <cellStyle name="20% - Accent4 2 2 4 4" xfId="9571" xr:uid="{1824E782-E3F8-434D-A973-D1727039128B}"/>
    <cellStyle name="20% - Accent4 2 2 5" xfId="1464" xr:uid="{00000000-0005-0000-0000-000000020000}"/>
    <cellStyle name="20% - Accent4 2 2 5 2" xfId="3694" xr:uid="{00000000-0005-0000-0000-000001020000}"/>
    <cellStyle name="20% - Accent4 2 2 5 2 2" xfId="7918" xr:uid="{00000000-0005-0000-0000-000002020000}"/>
    <cellStyle name="20% - Accent4 2 2 5 2 2 2" xfId="16347" xr:uid="{A87E6D18-A83E-440D-9258-9D4E335DE530}"/>
    <cellStyle name="20% - Accent4 2 2 5 2 3" xfId="12129" xr:uid="{D39BC1F8-37A6-4AE0-9A86-ACCFEF0DE813}"/>
    <cellStyle name="20% - Accent4 2 2 5 3" xfId="5773" xr:uid="{00000000-0005-0000-0000-000003020000}"/>
    <cellStyle name="20% - Accent4 2 2 5 3 2" xfId="14202" xr:uid="{AFF0B6C5-956B-48C6-BC22-DE0DD5C9FA4F}"/>
    <cellStyle name="20% - Accent4 2 2 5 4" xfId="9984" xr:uid="{7343B60C-E818-4B67-B195-EC7C712F6AE9}"/>
    <cellStyle name="20% - Accent4 2 2 6" xfId="1878" xr:uid="{00000000-0005-0000-0000-000004020000}"/>
    <cellStyle name="20% - Accent4 2 2 6 2" xfId="4107" xr:uid="{00000000-0005-0000-0000-000005020000}"/>
    <cellStyle name="20% - Accent4 2 2 6 2 2" xfId="8331" xr:uid="{00000000-0005-0000-0000-000006020000}"/>
    <cellStyle name="20% - Accent4 2 2 6 2 2 2" xfId="16760" xr:uid="{20EC2F85-213D-4D29-8CB1-AF5DFDB3199B}"/>
    <cellStyle name="20% - Accent4 2 2 6 2 3" xfId="12542" xr:uid="{946C6470-0588-49D0-96D0-26690D37A6B2}"/>
    <cellStyle name="20% - Accent4 2 2 6 3" xfId="6186" xr:uid="{00000000-0005-0000-0000-000007020000}"/>
    <cellStyle name="20% - Accent4 2 2 6 3 2" xfId="14615" xr:uid="{1940B6BF-472A-4AD5-82A4-8A67EC885DF7}"/>
    <cellStyle name="20% - Accent4 2 2 6 4" xfId="10397" xr:uid="{4BFB4ED9-35E4-4C33-A2B5-37EFAD2CEB4E}"/>
    <cellStyle name="20% - Accent4 2 2 7" xfId="2291" xr:uid="{00000000-0005-0000-0000-000008020000}"/>
    <cellStyle name="20% - Accent4 2 2 7 2" xfId="6599" xr:uid="{00000000-0005-0000-0000-000009020000}"/>
    <cellStyle name="20% - Accent4 2 2 7 2 2" xfId="15028" xr:uid="{4CA2336B-5CFC-4A32-91F8-BB51679E0180}"/>
    <cellStyle name="20% - Accent4 2 2 7 3" xfId="10810" xr:uid="{31510172-563F-4982-998B-4CE97D73749D}"/>
    <cellStyle name="20% - Accent4 2 2 8" xfId="4533" xr:uid="{00000000-0005-0000-0000-00000A020000}"/>
    <cellStyle name="20% - Accent4 2 2 8 2" xfId="12962" xr:uid="{FA805BCC-E887-4695-BFBC-3D78F95A422C}"/>
    <cellStyle name="20% - Accent4 2 2 9" xfId="8744" xr:uid="{0DCAD965-EA4C-4F3C-8442-92C9D8226B56}"/>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2 2" xfId="15523" xr:uid="{D9E0C0A9-9AE0-4DA1-86E6-2FBF241137C8}"/>
    <cellStyle name="20% - Accent4 2 3 2 2 3" xfId="11305" xr:uid="{A43BA0B3-82C0-4F97-8536-4161A2A49217}"/>
    <cellStyle name="20% - Accent4 2 3 2 3" xfId="4949" xr:uid="{00000000-0005-0000-0000-00000F020000}"/>
    <cellStyle name="20% - Accent4 2 3 2 3 2" xfId="13378" xr:uid="{09C6D819-3E7D-4558-A25D-C03231FA3A01}"/>
    <cellStyle name="20% - Accent4 2 3 2 4" xfId="9160" xr:uid="{53EFF402-2A4F-406E-9430-457DE1AFA875}"/>
    <cellStyle name="20% - Accent4 2 3 3" xfId="1052" xr:uid="{00000000-0005-0000-0000-000010020000}"/>
    <cellStyle name="20% - Accent4 2 3 3 2" xfId="3283" xr:uid="{00000000-0005-0000-0000-000011020000}"/>
    <cellStyle name="20% - Accent4 2 3 3 2 2" xfId="7507" xr:uid="{00000000-0005-0000-0000-000012020000}"/>
    <cellStyle name="20% - Accent4 2 3 3 2 2 2" xfId="15936" xr:uid="{57A5476D-B9E5-4089-B911-10069BCCEC69}"/>
    <cellStyle name="20% - Accent4 2 3 3 2 3" xfId="11718" xr:uid="{BBA7DB9C-BA33-461A-B3EB-BBDC1F6C86CC}"/>
    <cellStyle name="20% - Accent4 2 3 3 3" xfId="5362" xr:uid="{00000000-0005-0000-0000-000013020000}"/>
    <cellStyle name="20% - Accent4 2 3 3 3 2" xfId="13791" xr:uid="{48DF7C9C-D822-464C-B5E5-53983888AFAC}"/>
    <cellStyle name="20% - Accent4 2 3 3 4" xfId="9573" xr:uid="{D57EECD4-B9E3-44B4-B9D4-C5D54A108896}"/>
    <cellStyle name="20% - Accent4 2 3 4" xfId="1466" xr:uid="{00000000-0005-0000-0000-000014020000}"/>
    <cellStyle name="20% - Accent4 2 3 4 2" xfId="3696" xr:uid="{00000000-0005-0000-0000-000015020000}"/>
    <cellStyle name="20% - Accent4 2 3 4 2 2" xfId="7920" xr:uid="{00000000-0005-0000-0000-000016020000}"/>
    <cellStyle name="20% - Accent4 2 3 4 2 2 2" xfId="16349" xr:uid="{E237ACD2-A18F-48BA-989B-38D27A9E00AE}"/>
    <cellStyle name="20% - Accent4 2 3 4 2 3" xfId="12131" xr:uid="{3FFEDC3F-FE3A-4F7C-844A-A3497E942B12}"/>
    <cellStyle name="20% - Accent4 2 3 4 3" xfId="5775" xr:uid="{00000000-0005-0000-0000-000017020000}"/>
    <cellStyle name="20% - Accent4 2 3 4 3 2" xfId="14204" xr:uid="{395A0E7B-48ED-41C0-9CD7-866BCE7338B3}"/>
    <cellStyle name="20% - Accent4 2 3 4 4" xfId="9986" xr:uid="{223B9E44-79DB-483C-A5E2-FFB543DD0FDB}"/>
    <cellStyle name="20% - Accent4 2 3 5" xfId="1880" xr:uid="{00000000-0005-0000-0000-000018020000}"/>
    <cellStyle name="20% - Accent4 2 3 5 2" xfId="4109" xr:uid="{00000000-0005-0000-0000-000019020000}"/>
    <cellStyle name="20% - Accent4 2 3 5 2 2" xfId="8333" xr:uid="{00000000-0005-0000-0000-00001A020000}"/>
    <cellStyle name="20% - Accent4 2 3 5 2 2 2" xfId="16762" xr:uid="{F4DB9F50-D10F-43CF-BF55-AE98C56511E7}"/>
    <cellStyle name="20% - Accent4 2 3 5 2 3" xfId="12544" xr:uid="{00A8E0D3-6B67-4E07-ABBB-590076E80C9F}"/>
    <cellStyle name="20% - Accent4 2 3 5 3" xfId="6188" xr:uid="{00000000-0005-0000-0000-00001B020000}"/>
    <cellStyle name="20% - Accent4 2 3 5 3 2" xfId="14617" xr:uid="{D9B1F68D-41CC-42C2-8E10-B1FAB25B572B}"/>
    <cellStyle name="20% - Accent4 2 3 5 4" xfId="10399" xr:uid="{8A87E16A-55BF-4E57-AEB9-38EEE025B8F5}"/>
    <cellStyle name="20% - Accent4 2 3 6" xfId="2293" xr:uid="{00000000-0005-0000-0000-00001C020000}"/>
    <cellStyle name="20% - Accent4 2 3 6 2" xfId="6601" xr:uid="{00000000-0005-0000-0000-00001D020000}"/>
    <cellStyle name="20% - Accent4 2 3 6 2 2" xfId="15030" xr:uid="{62EC514F-1948-4823-A93B-FD6E54F9888D}"/>
    <cellStyle name="20% - Accent4 2 3 6 3" xfId="10812" xr:uid="{EA363907-B361-4818-86B4-6C2A28ADFD87}"/>
    <cellStyle name="20% - Accent4 2 3 7" xfId="4535" xr:uid="{00000000-0005-0000-0000-00001E020000}"/>
    <cellStyle name="20% - Accent4 2 3 7 2" xfId="12964" xr:uid="{7F4D121A-F0F5-428B-91B2-A1E823F8F7B2}"/>
    <cellStyle name="20% - Accent4 2 3 8" xfId="8746" xr:uid="{40FCF4DE-961B-4214-91B1-C8BE9B6AED79}"/>
    <cellStyle name="20% - Accent4 2 4" xfId="596" xr:uid="{00000000-0005-0000-0000-00001F020000}"/>
    <cellStyle name="20% - Accent4 2 4 2" xfId="2867" xr:uid="{00000000-0005-0000-0000-000020020000}"/>
    <cellStyle name="20% - Accent4 2 4 2 2" xfId="7091" xr:uid="{00000000-0005-0000-0000-000021020000}"/>
    <cellStyle name="20% - Accent4 2 4 2 2 2" xfId="15520" xr:uid="{1613EAF1-EEFD-4057-B5E3-698BB6C10566}"/>
    <cellStyle name="20% - Accent4 2 4 2 3" xfId="11302" xr:uid="{EBB5CAC6-B457-4915-97F9-31C79456F060}"/>
    <cellStyle name="20% - Accent4 2 4 3" xfId="4946" xr:uid="{00000000-0005-0000-0000-000022020000}"/>
    <cellStyle name="20% - Accent4 2 4 3 2" xfId="13375" xr:uid="{9A530359-AEAB-4BC2-A399-84132759AED8}"/>
    <cellStyle name="20% - Accent4 2 4 4" xfId="9157" xr:uid="{7CAE93A7-F326-4300-98E9-06916DD22715}"/>
    <cellStyle name="20% - Accent4 2 5" xfId="1049" xr:uid="{00000000-0005-0000-0000-000023020000}"/>
    <cellStyle name="20% - Accent4 2 5 2" xfId="3280" xr:uid="{00000000-0005-0000-0000-000024020000}"/>
    <cellStyle name="20% - Accent4 2 5 2 2" xfId="7504" xr:uid="{00000000-0005-0000-0000-000025020000}"/>
    <cellStyle name="20% - Accent4 2 5 2 2 2" xfId="15933" xr:uid="{65E4F52A-DBB3-4533-B0E8-89D7B9AEC60C}"/>
    <cellStyle name="20% - Accent4 2 5 2 3" xfId="11715" xr:uid="{55FC98E1-2F1F-4028-B6AC-0B33BC45BE9A}"/>
    <cellStyle name="20% - Accent4 2 5 3" xfId="5359" xr:uid="{00000000-0005-0000-0000-000026020000}"/>
    <cellStyle name="20% - Accent4 2 5 3 2" xfId="13788" xr:uid="{CEE650DA-04CF-4A75-AAC6-A90B224C161F}"/>
    <cellStyle name="20% - Accent4 2 5 4" xfId="9570" xr:uid="{6F51718D-CCA1-472B-93FE-8E9BE2F8F9FC}"/>
    <cellStyle name="20% - Accent4 2 6" xfId="1463" xr:uid="{00000000-0005-0000-0000-000027020000}"/>
    <cellStyle name="20% - Accent4 2 6 2" xfId="3693" xr:uid="{00000000-0005-0000-0000-000028020000}"/>
    <cellStyle name="20% - Accent4 2 6 2 2" xfId="7917" xr:uid="{00000000-0005-0000-0000-000029020000}"/>
    <cellStyle name="20% - Accent4 2 6 2 2 2" xfId="16346" xr:uid="{4F147991-FE8D-42B9-A02A-EA512C3B05D2}"/>
    <cellStyle name="20% - Accent4 2 6 2 3" xfId="12128" xr:uid="{C7B05756-0046-45E8-8F0F-C11FBBD49DE4}"/>
    <cellStyle name="20% - Accent4 2 6 3" xfId="5772" xr:uid="{00000000-0005-0000-0000-00002A020000}"/>
    <cellStyle name="20% - Accent4 2 6 3 2" xfId="14201" xr:uid="{66A989BD-809E-40C5-BFAA-F3AFDE0053DD}"/>
    <cellStyle name="20% - Accent4 2 6 4" xfId="9983" xr:uid="{606AE104-DF75-45B0-B477-0612DEECA90C}"/>
    <cellStyle name="20% - Accent4 2 7" xfId="1877" xr:uid="{00000000-0005-0000-0000-00002B020000}"/>
    <cellStyle name="20% - Accent4 2 7 2" xfId="4106" xr:uid="{00000000-0005-0000-0000-00002C020000}"/>
    <cellStyle name="20% - Accent4 2 7 2 2" xfId="8330" xr:uid="{00000000-0005-0000-0000-00002D020000}"/>
    <cellStyle name="20% - Accent4 2 7 2 2 2" xfId="16759" xr:uid="{AAA3DCA4-04CC-43D4-8205-0C963DA89273}"/>
    <cellStyle name="20% - Accent4 2 7 2 3" xfId="12541" xr:uid="{A18688E4-A063-4AAD-B949-111252A709C5}"/>
    <cellStyle name="20% - Accent4 2 7 3" xfId="6185" xr:uid="{00000000-0005-0000-0000-00002E020000}"/>
    <cellStyle name="20% - Accent4 2 7 3 2" xfId="14614" xr:uid="{8164E7EC-09E0-4795-B885-494471074E92}"/>
    <cellStyle name="20% - Accent4 2 7 4" xfId="10396" xr:uid="{4FD0070F-F480-46AA-B7E8-C206608FF7D5}"/>
    <cellStyle name="20% - Accent4 2 8" xfId="2290" xr:uid="{00000000-0005-0000-0000-00002F020000}"/>
    <cellStyle name="20% - Accent4 2 8 2" xfId="6598" xr:uid="{00000000-0005-0000-0000-000030020000}"/>
    <cellStyle name="20% - Accent4 2 8 2 2" xfId="15027" xr:uid="{1B557F9C-2DE3-478E-AFE8-C712725E7A03}"/>
    <cellStyle name="20% - Accent4 2 8 3" xfId="10809" xr:uid="{77683A73-17B0-46B7-862A-BDFE9D2E2475}"/>
    <cellStyle name="20% - Accent4 2 9" xfId="4532" xr:uid="{00000000-0005-0000-0000-000031020000}"/>
    <cellStyle name="20% - Accent4 2 9 2" xfId="12961" xr:uid="{D4A2C1A2-B294-45C0-864D-1D9757F02E93}"/>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2 2" xfId="15525" xr:uid="{97C0D9BD-0548-4BB3-A4C7-3CF26D97BBF9}"/>
    <cellStyle name="20% - Accent4 3 2 2 2 3" xfId="11307" xr:uid="{8C0BE63B-CA6A-4634-9A4E-A4831DD00BC1}"/>
    <cellStyle name="20% - Accent4 3 2 2 3" xfId="4951" xr:uid="{00000000-0005-0000-0000-000037020000}"/>
    <cellStyle name="20% - Accent4 3 2 2 3 2" xfId="13380" xr:uid="{978BA272-B020-4FF3-9E91-0FB983D65261}"/>
    <cellStyle name="20% - Accent4 3 2 2 4" xfId="9162" xr:uid="{CEDC1805-6387-4A58-B087-D589E9F9038D}"/>
    <cellStyle name="20% - Accent4 3 2 3" xfId="1054" xr:uid="{00000000-0005-0000-0000-000038020000}"/>
    <cellStyle name="20% - Accent4 3 2 3 2" xfId="3285" xr:uid="{00000000-0005-0000-0000-000039020000}"/>
    <cellStyle name="20% - Accent4 3 2 3 2 2" xfId="7509" xr:uid="{00000000-0005-0000-0000-00003A020000}"/>
    <cellStyle name="20% - Accent4 3 2 3 2 2 2" xfId="15938" xr:uid="{3289218D-41F9-4CEE-A266-FEEB27BB9942}"/>
    <cellStyle name="20% - Accent4 3 2 3 2 3" xfId="11720" xr:uid="{F1736A0F-CD3F-4B43-9CB1-1DE1FCD1A94F}"/>
    <cellStyle name="20% - Accent4 3 2 3 3" xfId="5364" xr:uid="{00000000-0005-0000-0000-00003B020000}"/>
    <cellStyle name="20% - Accent4 3 2 3 3 2" xfId="13793" xr:uid="{25A624CB-3114-4F82-A8A3-FBD1A5AD4138}"/>
    <cellStyle name="20% - Accent4 3 2 3 4" xfId="9575" xr:uid="{5F4B707C-DFD1-4BAE-896A-344BA496F45D}"/>
    <cellStyle name="20% - Accent4 3 2 4" xfId="1468" xr:uid="{00000000-0005-0000-0000-00003C020000}"/>
    <cellStyle name="20% - Accent4 3 2 4 2" xfId="3698" xr:uid="{00000000-0005-0000-0000-00003D020000}"/>
    <cellStyle name="20% - Accent4 3 2 4 2 2" xfId="7922" xr:uid="{00000000-0005-0000-0000-00003E020000}"/>
    <cellStyle name="20% - Accent4 3 2 4 2 2 2" xfId="16351" xr:uid="{A7ACFA87-8761-4744-9EEB-C206370248DF}"/>
    <cellStyle name="20% - Accent4 3 2 4 2 3" xfId="12133" xr:uid="{92C3C6F6-266C-4435-A235-526BA6FB952C}"/>
    <cellStyle name="20% - Accent4 3 2 4 3" xfId="5777" xr:uid="{00000000-0005-0000-0000-00003F020000}"/>
    <cellStyle name="20% - Accent4 3 2 4 3 2" xfId="14206" xr:uid="{66964DB4-E759-401B-9C97-EE17306AF4EE}"/>
    <cellStyle name="20% - Accent4 3 2 4 4" xfId="9988" xr:uid="{F6568676-2601-4792-B77D-E3ADEB444114}"/>
    <cellStyle name="20% - Accent4 3 2 5" xfId="1882" xr:uid="{00000000-0005-0000-0000-000040020000}"/>
    <cellStyle name="20% - Accent4 3 2 5 2" xfId="4111" xr:uid="{00000000-0005-0000-0000-000041020000}"/>
    <cellStyle name="20% - Accent4 3 2 5 2 2" xfId="8335" xr:uid="{00000000-0005-0000-0000-000042020000}"/>
    <cellStyle name="20% - Accent4 3 2 5 2 2 2" xfId="16764" xr:uid="{34417DFA-7BFE-4D16-A59A-B87FF1150DFA}"/>
    <cellStyle name="20% - Accent4 3 2 5 2 3" xfId="12546" xr:uid="{A884D981-6D41-4D1A-8BB4-92F206540448}"/>
    <cellStyle name="20% - Accent4 3 2 5 3" xfId="6190" xr:uid="{00000000-0005-0000-0000-000043020000}"/>
    <cellStyle name="20% - Accent4 3 2 5 3 2" xfId="14619" xr:uid="{3066D80C-B9E4-45AD-B2E4-475F78014745}"/>
    <cellStyle name="20% - Accent4 3 2 5 4" xfId="10401" xr:uid="{99F1D875-EFEC-4ED5-9276-2432B7957077}"/>
    <cellStyle name="20% - Accent4 3 2 6" xfId="2295" xr:uid="{00000000-0005-0000-0000-000044020000}"/>
    <cellStyle name="20% - Accent4 3 2 6 2" xfId="6603" xr:uid="{00000000-0005-0000-0000-000045020000}"/>
    <cellStyle name="20% - Accent4 3 2 6 2 2" xfId="15032" xr:uid="{D8838046-1217-4B9A-B25A-C7BC94413577}"/>
    <cellStyle name="20% - Accent4 3 2 6 3" xfId="10814" xr:uid="{812067A8-AC54-4B05-AC3E-737B580CCF74}"/>
    <cellStyle name="20% - Accent4 3 2 7" xfId="4537" xr:uid="{00000000-0005-0000-0000-000046020000}"/>
    <cellStyle name="20% - Accent4 3 2 7 2" xfId="12966" xr:uid="{B12C4B9D-62F1-4D31-B6EA-E54118D60734}"/>
    <cellStyle name="20% - Accent4 3 2 8" xfId="8748" xr:uid="{09173AA7-62D6-4008-8DA1-C533A96B66BF}"/>
    <cellStyle name="20% - Accent4 3 3" xfId="600" xr:uid="{00000000-0005-0000-0000-000047020000}"/>
    <cellStyle name="20% - Accent4 3 3 2" xfId="2871" xr:uid="{00000000-0005-0000-0000-000048020000}"/>
    <cellStyle name="20% - Accent4 3 3 2 2" xfId="7095" xr:uid="{00000000-0005-0000-0000-000049020000}"/>
    <cellStyle name="20% - Accent4 3 3 2 2 2" xfId="15524" xr:uid="{8B8282EE-CC93-4CBD-BAF3-89D1FD04F61E}"/>
    <cellStyle name="20% - Accent4 3 3 2 3" xfId="11306" xr:uid="{97C9B92C-BA96-48CD-A0D7-6BA7D21E39C6}"/>
    <cellStyle name="20% - Accent4 3 3 3" xfId="4950" xr:uid="{00000000-0005-0000-0000-00004A020000}"/>
    <cellStyle name="20% - Accent4 3 3 3 2" xfId="13379" xr:uid="{C0F3E432-EF91-44B9-B04C-7ECBC01C7068}"/>
    <cellStyle name="20% - Accent4 3 3 4" xfId="9161" xr:uid="{BA47C54C-BE6A-4F83-ABB9-E1A637027E69}"/>
    <cellStyle name="20% - Accent4 3 4" xfId="1053" xr:uid="{00000000-0005-0000-0000-00004B020000}"/>
    <cellStyle name="20% - Accent4 3 4 2" xfId="3284" xr:uid="{00000000-0005-0000-0000-00004C020000}"/>
    <cellStyle name="20% - Accent4 3 4 2 2" xfId="7508" xr:uid="{00000000-0005-0000-0000-00004D020000}"/>
    <cellStyle name="20% - Accent4 3 4 2 2 2" xfId="15937" xr:uid="{587A2D42-4FC9-4637-B7B3-C306E6FA7BD1}"/>
    <cellStyle name="20% - Accent4 3 4 2 3" xfId="11719" xr:uid="{C5D32928-90FC-4EDE-847B-4AF5EFBC0F89}"/>
    <cellStyle name="20% - Accent4 3 4 3" xfId="5363" xr:uid="{00000000-0005-0000-0000-00004E020000}"/>
    <cellStyle name="20% - Accent4 3 4 3 2" xfId="13792" xr:uid="{9A2433DF-2C4B-49A9-B514-9254402B0E78}"/>
    <cellStyle name="20% - Accent4 3 4 4" xfId="9574" xr:uid="{78096378-E5A7-4E30-87AB-941D43969B1F}"/>
    <cellStyle name="20% - Accent4 3 5" xfId="1467" xr:uid="{00000000-0005-0000-0000-00004F020000}"/>
    <cellStyle name="20% - Accent4 3 5 2" xfId="3697" xr:uid="{00000000-0005-0000-0000-000050020000}"/>
    <cellStyle name="20% - Accent4 3 5 2 2" xfId="7921" xr:uid="{00000000-0005-0000-0000-000051020000}"/>
    <cellStyle name="20% - Accent4 3 5 2 2 2" xfId="16350" xr:uid="{760341C3-8568-4908-A046-05F527B327A3}"/>
    <cellStyle name="20% - Accent4 3 5 2 3" xfId="12132" xr:uid="{8F4D4C66-22AA-44E9-8C0A-30F2F6B14286}"/>
    <cellStyle name="20% - Accent4 3 5 3" xfId="5776" xr:uid="{00000000-0005-0000-0000-000052020000}"/>
    <cellStyle name="20% - Accent4 3 5 3 2" xfId="14205" xr:uid="{AAA0F144-B62A-4494-96DF-7B1582CA9BDC}"/>
    <cellStyle name="20% - Accent4 3 5 4" xfId="9987" xr:uid="{2205E62E-D457-484E-BBE4-4BAA49880285}"/>
    <cellStyle name="20% - Accent4 3 6" xfId="1881" xr:uid="{00000000-0005-0000-0000-000053020000}"/>
    <cellStyle name="20% - Accent4 3 6 2" xfId="4110" xr:uid="{00000000-0005-0000-0000-000054020000}"/>
    <cellStyle name="20% - Accent4 3 6 2 2" xfId="8334" xr:uid="{00000000-0005-0000-0000-000055020000}"/>
    <cellStyle name="20% - Accent4 3 6 2 2 2" xfId="16763" xr:uid="{939E4E3C-C938-4511-B11E-AE829B744CD4}"/>
    <cellStyle name="20% - Accent4 3 6 2 3" xfId="12545" xr:uid="{62FC383B-61BF-4082-A9EF-94EB140FD18E}"/>
    <cellStyle name="20% - Accent4 3 6 3" xfId="6189" xr:uid="{00000000-0005-0000-0000-000056020000}"/>
    <cellStyle name="20% - Accent4 3 6 3 2" xfId="14618" xr:uid="{F4088FAB-D07F-4169-9043-F3582F9F743A}"/>
    <cellStyle name="20% - Accent4 3 6 4" xfId="10400" xr:uid="{CEA5AE24-4890-4AAF-BAF9-76341E8F81A9}"/>
    <cellStyle name="20% - Accent4 3 7" xfId="2294" xr:uid="{00000000-0005-0000-0000-000057020000}"/>
    <cellStyle name="20% - Accent4 3 7 2" xfId="6602" xr:uid="{00000000-0005-0000-0000-000058020000}"/>
    <cellStyle name="20% - Accent4 3 7 2 2" xfId="15031" xr:uid="{BEDC79EE-1445-4AFA-9DA5-0A440C1CF1E7}"/>
    <cellStyle name="20% - Accent4 3 7 3" xfId="10813" xr:uid="{BCC8BCBE-2AF8-4723-8BC7-28872DF359AF}"/>
    <cellStyle name="20% - Accent4 3 8" xfId="4536" xr:uid="{00000000-0005-0000-0000-000059020000}"/>
    <cellStyle name="20% - Accent4 3 8 2" xfId="12965" xr:uid="{80F298FB-7108-404B-9CD8-9FADD6B8C114}"/>
    <cellStyle name="20% - Accent4 3 9" xfId="8747" xr:uid="{F48C60E9-1AFC-43D0-8A57-07FFCF14E565}"/>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2 2" xfId="15526" xr:uid="{28C1ED69-B39B-49B2-B00C-C6D495341151}"/>
    <cellStyle name="20% - Accent4 4 2 2 3" xfId="11308" xr:uid="{0ED5C5CA-8464-4CFF-8554-EAF24E07EAED}"/>
    <cellStyle name="20% - Accent4 4 2 3" xfId="4952" xr:uid="{00000000-0005-0000-0000-00005E020000}"/>
    <cellStyle name="20% - Accent4 4 2 3 2" xfId="13381" xr:uid="{4E893E1D-7473-445E-8329-25E5B4DCEDA9}"/>
    <cellStyle name="20% - Accent4 4 2 4" xfId="9163" xr:uid="{B57861C5-EE49-4535-A7EA-2CEF39A33885}"/>
    <cellStyle name="20% - Accent4 4 3" xfId="1055" xr:uid="{00000000-0005-0000-0000-00005F020000}"/>
    <cellStyle name="20% - Accent4 4 3 2" xfId="3286" xr:uid="{00000000-0005-0000-0000-000060020000}"/>
    <cellStyle name="20% - Accent4 4 3 2 2" xfId="7510" xr:uid="{00000000-0005-0000-0000-000061020000}"/>
    <cellStyle name="20% - Accent4 4 3 2 2 2" xfId="15939" xr:uid="{260EA4E1-BF82-4D00-A36C-2E9E8C0291D4}"/>
    <cellStyle name="20% - Accent4 4 3 2 3" xfId="11721" xr:uid="{3854CD9E-1A69-46AA-81AA-900C9EBB04FE}"/>
    <cellStyle name="20% - Accent4 4 3 3" xfId="5365" xr:uid="{00000000-0005-0000-0000-000062020000}"/>
    <cellStyle name="20% - Accent4 4 3 3 2" xfId="13794" xr:uid="{3908F3A9-2252-4AEF-9877-22C23F999924}"/>
    <cellStyle name="20% - Accent4 4 3 4" xfId="9576" xr:uid="{3BA32DA0-D271-440B-BBF7-E19E23D53B27}"/>
    <cellStyle name="20% - Accent4 4 4" xfId="1469" xr:uid="{00000000-0005-0000-0000-000063020000}"/>
    <cellStyle name="20% - Accent4 4 4 2" xfId="3699" xr:uid="{00000000-0005-0000-0000-000064020000}"/>
    <cellStyle name="20% - Accent4 4 4 2 2" xfId="7923" xr:uid="{00000000-0005-0000-0000-000065020000}"/>
    <cellStyle name="20% - Accent4 4 4 2 2 2" xfId="16352" xr:uid="{B170549A-0484-4C6E-9165-371A11D1995A}"/>
    <cellStyle name="20% - Accent4 4 4 2 3" xfId="12134" xr:uid="{46B5430C-1F29-4B66-912B-D140FD146F94}"/>
    <cellStyle name="20% - Accent4 4 4 3" xfId="5778" xr:uid="{00000000-0005-0000-0000-000066020000}"/>
    <cellStyle name="20% - Accent4 4 4 3 2" xfId="14207" xr:uid="{BBD922E2-6740-485E-89AB-7B68E89A06BC}"/>
    <cellStyle name="20% - Accent4 4 4 4" xfId="9989" xr:uid="{56B118C9-8A38-408E-A644-4BD1DC5BCEF6}"/>
    <cellStyle name="20% - Accent4 4 5" xfId="1883" xr:uid="{00000000-0005-0000-0000-000067020000}"/>
    <cellStyle name="20% - Accent4 4 5 2" xfId="4112" xr:uid="{00000000-0005-0000-0000-000068020000}"/>
    <cellStyle name="20% - Accent4 4 5 2 2" xfId="8336" xr:uid="{00000000-0005-0000-0000-000069020000}"/>
    <cellStyle name="20% - Accent4 4 5 2 2 2" xfId="16765" xr:uid="{EF81AF25-A9DB-4FE0-B2C3-81AC848DCE64}"/>
    <cellStyle name="20% - Accent4 4 5 2 3" xfId="12547" xr:uid="{C9B08C9B-3BD9-482D-9DDC-697C7BCCC520}"/>
    <cellStyle name="20% - Accent4 4 5 3" xfId="6191" xr:uid="{00000000-0005-0000-0000-00006A020000}"/>
    <cellStyle name="20% - Accent4 4 5 3 2" xfId="14620" xr:uid="{EF85B8F9-5072-4C1D-9C9A-CFB21B92C173}"/>
    <cellStyle name="20% - Accent4 4 5 4" xfId="10402" xr:uid="{531D7CA5-5FE1-4A3B-9057-7FECB40FAF70}"/>
    <cellStyle name="20% - Accent4 4 6" xfId="2296" xr:uid="{00000000-0005-0000-0000-00006B020000}"/>
    <cellStyle name="20% - Accent4 4 6 2" xfId="6604" xr:uid="{00000000-0005-0000-0000-00006C020000}"/>
    <cellStyle name="20% - Accent4 4 6 2 2" xfId="15033" xr:uid="{81CD542B-C9AB-4376-A5BD-7055B6EAAC45}"/>
    <cellStyle name="20% - Accent4 4 6 3" xfId="10815" xr:uid="{C2F92231-81E3-4FA5-B3C1-4D1B3C23A353}"/>
    <cellStyle name="20% - Accent4 4 7" xfId="4538" xr:uid="{00000000-0005-0000-0000-00006D020000}"/>
    <cellStyle name="20% - Accent4 4 7 2" xfId="12967" xr:uid="{5C108AD6-E110-4DA5-B7E6-B74213C62872}"/>
    <cellStyle name="20% - Accent4 4 8" xfId="8749" xr:uid="{3100B794-535D-46E0-9DE3-77F68B212FEE}"/>
    <cellStyle name="20% - Accent4 5" xfId="595" xr:uid="{00000000-0005-0000-0000-00006E020000}"/>
    <cellStyle name="20% - Accent4 5 2" xfId="2866" xr:uid="{00000000-0005-0000-0000-00006F020000}"/>
    <cellStyle name="20% - Accent4 5 2 2" xfId="7090" xr:uid="{00000000-0005-0000-0000-000070020000}"/>
    <cellStyle name="20% - Accent4 5 2 2 2" xfId="15519" xr:uid="{E5C89B77-3787-43DA-AC89-8DB9489EFE6A}"/>
    <cellStyle name="20% - Accent4 5 2 3" xfId="11301" xr:uid="{7013DB11-C417-4D19-9617-E73CC2EC7B3E}"/>
    <cellStyle name="20% - Accent4 5 3" xfId="4945" xr:uid="{00000000-0005-0000-0000-000071020000}"/>
    <cellStyle name="20% - Accent4 5 3 2" xfId="13374" xr:uid="{59E06528-E11E-4445-A100-C14D593E6B82}"/>
    <cellStyle name="20% - Accent4 5 4" xfId="9156" xr:uid="{B66E94D8-5267-4535-9A71-A25D2682163C}"/>
    <cellStyle name="20% - Accent4 6" xfId="1048" xr:uid="{00000000-0005-0000-0000-000072020000}"/>
    <cellStyle name="20% - Accent4 6 2" xfId="3279" xr:uid="{00000000-0005-0000-0000-000073020000}"/>
    <cellStyle name="20% - Accent4 6 2 2" xfId="7503" xr:uid="{00000000-0005-0000-0000-000074020000}"/>
    <cellStyle name="20% - Accent4 6 2 2 2" xfId="15932" xr:uid="{B2DDC8C7-8402-4F1D-A3A3-91E2259DEE27}"/>
    <cellStyle name="20% - Accent4 6 2 3" xfId="11714" xr:uid="{51C3D665-0F1D-4627-88CF-9ACA1878784B}"/>
    <cellStyle name="20% - Accent4 6 3" xfId="5358" xr:uid="{00000000-0005-0000-0000-000075020000}"/>
    <cellStyle name="20% - Accent4 6 3 2" xfId="13787" xr:uid="{E5427BD1-8EB2-4D4C-A349-A7FCBEADE050}"/>
    <cellStyle name="20% - Accent4 6 4" xfId="9569" xr:uid="{C33C421F-0595-4E40-B7E1-96C62CF14D69}"/>
    <cellStyle name="20% - Accent4 7" xfId="1462" xr:uid="{00000000-0005-0000-0000-000076020000}"/>
    <cellStyle name="20% - Accent4 7 2" xfId="3692" xr:uid="{00000000-0005-0000-0000-000077020000}"/>
    <cellStyle name="20% - Accent4 7 2 2" xfId="7916" xr:uid="{00000000-0005-0000-0000-000078020000}"/>
    <cellStyle name="20% - Accent4 7 2 2 2" xfId="16345" xr:uid="{D7B0CCE6-2542-44FD-A04E-F5CB19E18EF5}"/>
    <cellStyle name="20% - Accent4 7 2 3" xfId="12127" xr:uid="{10DDFF88-DDA6-4597-8B73-198F960085C8}"/>
    <cellStyle name="20% - Accent4 7 3" xfId="5771" xr:uid="{00000000-0005-0000-0000-000079020000}"/>
    <cellStyle name="20% - Accent4 7 3 2" xfId="14200" xr:uid="{55747BD4-8BFB-4A78-A179-F2536380B98A}"/>
    <cellStyle name="20% - Accent4 7 4" xfId="9982" xr:uid="{CC37FE0D-4BE3-458B-9158-BD0A0DA9C73A}"/>
    <cellStyle name="20% - Accent4 8" xfId="1876" xr:uid="{00000000-0005-0000-0000-00007A020000}"/>
    <cellStyle name="20% - Accent4 8 2" xfId="4105" xr:uid="{00000000-0005-0000-0000-00007B020000}"/>
    <cellStyle name="20% - Accent4 8 2 2" xfId="8329" xr:uid="{00000000-0005-0000-0000-00007C020000}"/>
    <cellStyle name="20% - Accent4 8 2 2 2" xfId="16758" xr:uid="{E0D94E3F-1063-4991-8ADF-02FA8B2FC760}"/>
    <cellStyle name="20% - Accent4 8 2 3" xfId="12540" xr:uid="{1E18F2C7-263E-45D5-BE8D-1F87797F4E02}"/>
    <cellStyle name="20% - Accent4 8 3" xfId="6184" xr:uid="{00000000-0005-0000-0000-00007D020000}"/>
    <cellStyle name="20% - Accent4 8 3 2" xfId="14613" xr:uid="{B9472351-5A98-474D-825B-7734CDBC3624}"/>
    <cellStyle name="20% - Accent4 8 4" xfId="10395" xr:uid="{F3A803C7-EFD7-437F-B92D-C23B0417B0BE}"/>
    <cellStyle name="20% - Accent4 9" xfId="2289" xr:uid="{00000000-0005-0000-0000-00007E020000}"/>
    <cellStyle name="20% - Accent4 9 2" xfId="6597" xr:uid="{00000000-0005-0000-0000-00007F020000}"/>
    <cellStyle name="20% - Accent4 9 2 2" xfId="15026" xr:uid="{13C86DC3-E277-4CF3-9DEB-A7071A422F5A}"/>
    <cellStyle name="20% - Accent4 9 3" xfId="10808" xr:uid="{CE9B9CF5-0C79-4BCA-8921-117A24DCF3D2}"/>
    <cellStyle name="20% - Accent5" xfId="33" builtinId="46" customBuiltin="1"/>
    <cellStyle name="20% - Accent5 10" xfId="4539" xr:uid="{00000000-0005-0000-0000-000081020000}"/>
    <cellStyle name="20% - Accent5 10 2" xfId="12968" xr:uid="{A9C44139-FF4E-414B-9EBC-DDED59224446}"/>
    <cellStyle name="20% - Accent5 11" xfId="8750" xr:uid="{48166AED-C06D-4621-87DF-A67979D40248}"/>
    <cellStyle name="20% - Accent5 2" xfId="34" xr:uid="{00000000-0005-0000-0000-000082020000}"/>
    <cellStyle name="20% - Accent5 2 10" xfId="8751" xr:uid="{99B9312D-FD6E-4C4F-8E10-3FC8C697F8E1}"/>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2 2" xfId="15530" xr:uid="{7FC608F2-99DE-4018-8CB8-E9969158D33E}"/>
    <cellStyle name="20% - Accent5 2 2 2 2 2 3" xfId="11312" xr:uid="{BE5624C6-CE32-4BC9-8443-C48BC8D96F66}"/>
    <cellStyle name="20% - Accent5 2 2 2 2 3" xfId="4956" xr:uid="{00000000-0005-0000-0000-000088020000}"/>
    <cellStyle name="20% - Accent5 2 2 2 2 3 2" xfId="13385" xr:uid="{2253C40D-4E4E-4A30-BD99-9EB86B751097}"/>
    <cellStyle name="20% - Accent5 2 2 2 2 4" xfId="9167" xr:uid="{7F374B93-013F-44FA-80AE-27C3600B7A46}"/>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2 2" xfId="15943" xr:uid="{3A42663F-5E72-4739-9A7E-06B8A00E38BC}"/>
    <cellStyle name="20% - Accent5 2 2 2 3 2 3" xfId="11725" xr:uid="{AB517E0D-B55C-47C6-8432-B46E3FCFE30B}"/>
    <cellStyle name="20% - Accent5 2 2 2 3 3" xfId="5369" xr:uid="{00000000-0005-0000-0000-00008C020000}"/>
    <cellStyle name="20% - Accent5 2 2 2 3 3 2" xfId="13798" xr:uid="{9CCAC40B-93DD-4CB6-ACA8-F5171A79DE48}"/>
    <cellStyle name="20% - Accent5 2 2 2 3 4" xfId="9580" xr:uid="{666EF28C-F085-4209-BB3C-D7A31A48BDAB}"/>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2 2" xfId="16356" xr:uid="{BA776AC8-2C1B-43AE-80A5-C836F20A0530}"/>
    <cellStyle name="20% - Accent5 2 2 2 4 2 3" xfId="12138" xr:uid="{274EFB22-87AC-4C8B-9552-EBA9BE171928}"/>
    <cellStyle name="20% - Accent5 2 2 2 4 3" xfId="5782" xr:uid="{00000000-0005-0000-0000-000090020000}"/>
    <cellStyle name="20% - Accent5 2 2 2 4 3 2" xfId="14211" xr:uid="{700B2553-EB1F-45B5-8AD9-35EFC080EB91}"/>
    <cellStyle name="20% - Accent5 2 2 2 4 4" xfId="9993" xr:uid="{D984B86F-6241-4C1E-808C-87A75CE2021F}"/>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2 2" xfId="16769" xr:uid="{AE3A78A7-AEA3-4C91-84D4-3E4D555F86D4}"/>
    <cellStyle name="20% - Accent5 2 2 2 5 2 3" xfId="12551" xr:uid="{C976D54C-C3BC-46A8-B6F6-71B204EEDF32}"/>
    <cellStyle name="20% - Accent5 2 2 2 5 3" xfId="6195" xr:uid="{00000000-0005-0000-0000-000094020000}"/>
    <cellStyle name="20% - Accent5 2 2 2 5 3 2" xfId="14624" xr:uid="{6B119EA2-022F-482A-9C46-BB2A070C5B97}"/>
    <cellStyle name="20% - Accent5 2 2 2 5 4" xfId="10406" xr:uid="{3E186F85-E861-412E-A2A7-A76834C6319D}"/>
    <cellStyle name="20% - Accent5 2 2 2 6" xfId="2300" xr:uid="{00000000-0005-0000-0000-000095020000}"/>
    <cellStyle name="20% - Accent5 2 2 2 6 2" xfId="6608" xr:uid="{00000000-0005-0000-0000-000096020000}"/>
    <cellStyle name="20% - Accent5 2 2 2 6 2 2" xfId="15037" xr:uid="{C265A723-78A7-4F26-9E7F-F5D902209977}"/>
    <cellStyle name="20% - Accent5 2 2 2 6 3" xfId="10819" xr:uid="{4AD083C6-FD6D-4082-8AAE-93EB7B204C2D}"/>
    <cellStyle name="20% - Accent5 2 2 2 7" xfId="4542" xr:uid="{00000000-0005-0000-0000-000097020000}"/>
    <cellStyle name="20% - Accent5 2 2 2 7 2" xfId="12971" xr:uid="{5B917BC9-03FF-4556-8626-4CBFE227F209}"/>
    <cellStyle name="20% - Accent5 2 2 2 8" xfId="8753" xr:uid="{677CD6CF-D038-432F-AAA9-C0DB68D85DF2}"/>
    <cellStyle name="20% - Accent5 2 2 3" xfId="605" xr:uid="{00000000-0005-0000-0000-000098020000}"/>
    <cellStyle name="20% - Accent5 2 2 3 2" xfId="2876" xr:uid="{00000000-0005-0000-0000-000099020000}"/>
    <cellStyle name="20% - Accent5 2 2 3 2 2" xfId="7100" xr:uid="{00000000-0005-0000-0000-00009A020000}"/>
    <cellStyle name="20% - Accent5 2 2 3 2 2 2" xfId="15529" xr:uid="{4A68304B-F645-40C6-A3A4-2EA215C7120B}"/>
    <cellStyle name="20% - Accent5 2 2 3 2 3" xfId="11311" xr:uid="{9EE31597-2840-413A-9589-6BCD562EA3C8}"/>
    <cellStyle name="20% - Accent5 2 2 3 3" xfId="4955" xr:uid="{00000000-0005-0000-0000-00009B020000}"/>
    <cellStyle name="20% - Accent5 2 2 3 3 2" xfId="13384" xr:uid="{AFEABB4B-B1C1-4417-8D95-3D2117017749}"/>
    <cellStyle name="20% - Accent5 2 2 3 4" xfId="9166" xr:uid="{D1BEEF75-E0E9-49C8-BD06-50CE143081F6}"/>
    <cellStyle name="20% - Accent5 2 2 4" xfId="1058" xr:uid="{00000000-0005-0000-0000-00009C020000}"/>
    <cellStyle name="20% - Accent5 2 2 4 2" xfId="3289" xr:uid="{00000000-0005-0000-0000-00009D020000}"/>
    <cellStyle name="20% - Accent5 2 2 4 2 2" xfId="7513" xr:uid="{00000000-0005-0000-0000-00009E020000}"/>
    <cellStyle name="20% - Accent5 2 2 4 2 2 2" xfId="15942" xr:uid="{0E339ED1-D4DA-43FF-9405-8F671509F92A}"/>
    <cellStyle name="20% - Accent5 2 2 4 2 3" xfId="11724" xr:uid="{C845A733-DA78-4A3B-82CB-0A705C92C11F}"/>
    <cellStyle name="20% - Accent5 2 2 4 3" xfId="5368" xr:uid="{00000000-0005-0000-0000-00009F020000}"/>
    <cellStyle name="20% - Accent5 2 2 4 3 2" xfId="13797" xr:uid="{3C5E926B-C671-4C10-AFBC-0EDDC4202A20}"/>
    <cellStyle name="20% - Accent5 2 2 4 4" xfId="9579" xr:uid="{01764557-2322-4B44-A8F2-384DB7A59CD1}"/>
    <cellStyle name="20% - Accent5 2 2 5" xfId="1472" xr:uid="{00000000-0005-0000-0000-0000A0020000}"/>
    <cellStyle name="20% - Accent5 2 2 5 2" xfId="3702" xr:uid="{00000000-0005-0000-0000-0000A1020000}"/>
    <cellStyle name="20% - Accent5 2 2 5 2 2" xfId="7926" xr:uid="{00000000-0005-0000-0000-0000A2020000}"/>
    <cellStyle name="20% - Accent5 2 2 5 2 2 2" xfId="16355" xr:uid="{99177C0D-F1F4-4AE5-987A-4F7C5116031C}"/>
    <cellStyle name="20% - Accent5 2 2 5 2 3" xfId="12137" xr:uid="{F920E172-FB52-45BE-AF22-7BCAEA920643}"/>
    <cellStyle name="20% - Accent5 2 2 5 3" xfId="5781" xr:uid="{00000000-0005-0000-0000-0000A3020000}"/>
    <cellStyle name="20% - Accent5 2 2 5 3 2" xfId="14210" xr:uid="{9B98E521-D0DA-4FB2-8E92-373BB4A3AF2D}"/>
    <cellStyle name="20% - Accent5 2 2 5 4" xfId="9992" xr:uid="{7515141C-0E22-4C91-9B37-6A1B29B274C9}"/>
    <cellStyle name="20% - Accent5 2 2 6" xfId="1886" xr:uid="{00000000-0005-0000-0000-0000A4020000}"/>
    <cellStyle name="20% - Accent5 2 2 6 2" xfId="4115" xr:uid="{00000000-0005-0000-0000-0000A5020000}"/>
    <cellStyle name="20% - Accent5 2 2 6 2 2" xfId="8339" xr:uid="{00000000-0005-0000-0000-0000A6020000}"/>
    <cellStyle name="20% - Accent5 2 2 6 2 2 2" xfId="16768" xr:uid="{7242EEA4-E378-417D-8FD3-DAE50A871EB2}"/>
    <cellStyle name="20% - Accent5 2 2 6 2 3" xfId="12550" xr:uid="{3F266057-1462-46E0-9E69-8A0DD771C2B2}"/>
    <cellStyle name="20% - Accent5 2 2 6 3" xfId="6194" xr:uid="{00000000-0005-0000-0000-0000A7020000}"/>
    <cellStyle name="20% - Accent5 2 2 6 3 2" xfId="14623" xr:uid="{BEE1CD4C-E8D5-4920-9DBD-17BAC6D519A6}"/>
    <cellStyle name="20% - Accent5 2 2 6 4" xfId="10405" xr:uid="{1229BCF9-CD5F-46B9-A1C6-04D0A6E8073D}"/>
    <cellStyle name="20% - Accent5 2 2 7" xfId="2299" xr:uid="{00000000-0005-0000-0000-0000A8020000}"/>
    <cellStyle name="20% - Accent5 2 2 7 2" xfId="6607" xr:uid="{00000000-0005-0000-0000-0000A9020000}"/>
    <cellStyle name="20% - Accent5 2 2 7 2 2" xfId="15036" xr:uid="{224306A1-E419-4E2E-B4BE-3591B61CE748}"/>
    <cellStyle name="20% - Accent5 2 2 7 3" xfId="10818" xr:uid="{F355E65C-487D-4AA6-B0FF-757BE125A673}"/>
    <cellStyle name="20% - Accent5 2 2 8" xfId="4541" xr:uid="{00000000-0005-0000-0000-0000AA020000}"/>
    <cellStyle name="20% - Accent5 2 2 8 2" xfId="12970" xr:uid="{2B10E24E-E9D3-4F1F-B385-4F4A481BF39B}"/>
    <cellStyle name="20% - Accent5 2 2 9" xfId="8752" xr:uid="{00511C6E-C95B-4EB0-A43D-29F01BA10717}"/>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2 2" xfId="15531" xr:uid="{4142357E-8811-4618-BDB5-9AE9A014AD67}"/>
    <cellStyle name="20% - Accent5 2 3 2 2 3" xfId="11313" xr:uid="{25F92CEC-B237-4222-98A5-135588DC7857}"/>
    <cellStyle name="20% - Accent5 2 3 2 3" xfId="4957" xr:uid="{00000000-0005-0000-0000-0000AF020000}"/>
    <cellStyle name="20% - Accent5 2 3 2 3 2" xfId="13386" xr:uid="{9C0A641A-5BE3-40D7-A97A-15C8A798BEEC}"/>
    <cellStyle name="20% - Accent5 2 3 2 4" xfId="9168" xr:uid="{8ED0B5C1-5936-4F44-93E1-9A78336D6A00}"/>
    <cellStyle name="20% - Accent5 2 3 3" xfId="1060" xr:uid="{00000000-0005-0000-0000-0000B0020000}"/>
    <cellStyle name="20% - Accent5 2 3 3 2" xfId="3291" xr:uid="{00000000-0005-0000-0000-0000B1020000}"/>
    <cellStyle name="20% - Accent5 2 3 3 2 2" xfId="7515" xr:uid="{00000000-0005-0000-0000-0000B2020000}"/>
    <cellStyle name="20% - Accent5 2 3 3 2 2 2" xfId="15944" xr:uid="{09739FCD-8904-4526-B92C-64AC7E672252}"/>
    <cellStyle name="20% - Accent5 2 3 3 2 3" xfId="11726" xr:uid="{48AD7FC7-AF16-42BD-84C5-BEFBC69FF75D}"/>
    <cellStyle name="20% - Accent5 2 3 3 3" xfId="5370" xr:uid="{00000000-0005-0000-0000-0000B3020000}"/>
    <cellStyle name="20% - Accent5 2 3 3 3 2" xfId="13799" xr:uid="{91F332BF-2E6E-4F42-A34C-B78E1442A620}"/>
    <cellStyle name="20% - Accent5 2 3 3 4" xfId="9581" xr:uid="{9ADD4608-E121-467F-BE12-2D51FE7541AC}"/>
    <cellStyle name="20% - Accent5 2 3 4" xfId="1474" xr:uid="{00000000-0005-0000-0000-0000B4020000}"/>
    <cellStyle name="20% - Accent5 2 3 4 2" xfId="3704" xr:uid="{00000000-0005-0000-0000-0000B5020000}"/>
    <cellStyle name="20% - Accent5 2 3 4 2 2" xfId="7928" xr:uid="{00000000-0005-0000-0000-0000B6020000}"/>
    <cellStyle name="20% - Accent5 2 3 4 2 2 2" xfId="16357" xr:uid="{EC712CC4-7657-4FC2-9B44-6BF753001360}"/>
    <cellStyle name="20% - Accent5 2 3 4 2 3" xfId="12139" xr:uid="{BBBA7F29-D866-4775-A591-18CCFD2E33D0}"/>
    <cellStyle name="20% - Accent5 2 3 4 3" xfId="5783" xr:uid="{00000000-0005-0000-0000-0000B7020000}"/>
    <cellStyle name="20% - Accent5 2 3 4 3 2" xfId="14212" xr:uid="{B860DABA-0AEF-49DA-91B8-A8958D5E4656}"/>
    <cellStyle name="20% - Accent5 2 3 4 4" xfId="9994" xr:uid="{01952ADC-40FE-4A76-981F-84DB660795DA}"/>
    <cellStyle name="20% - Accent5 2 3 5" xfId="1888" xr:uid="{00000000-0005-0000-0000-0000B8020000}"/>
    <cellStyle name="20% - Accent5 2 3 5 2" xfId="4117" xr:uid="{00000000-0005-0000-0000-0000B9020000}"/>
    <cellStyle name="20% - Accent5 2 3 5 2 2" xfId="8341" xr:uid="{00000000-0005-0000-0000-0000BA020000}"/>
    <cellStyle name="20% - Accent5 2 3 5 2 2 2" xfId="16770" xr:uid="{7677844D-4F73-4BB0-8D9A-F169C19DD503}"/>
    <cellStyle name="20% - Accent5 2 3 5 2 3" xfId="12552" xr:uid="{521383A0-E320-45DE-9C11-4C3AD965F566}"/>
    <cellStyle name="20% - Accent5 2 3 5 3" xfId="6196" xr:uid="{00000000-0005-0000-0000-0000BB020000}"/>
    <cellStyle name="20% - Accent5 2 3 5 3 2" xfId="14625" xr:uid="{6AE725AD-931A-4B8C-8A0C-B75EE8766F56}"/>
    <cellStyle name="20% - Accent5 2 3 5 4" xfId="10407" xr:uid="{AE5236EF-85E5-4607-AA17-2F3E05915431}"/>
    <cellStyle name="20% - Accent5 2 3 6" xfId="2301" xr:uid="{00000000-0005-0000-0000-0000BC020000}"/>
    <cellStyle name="20% - Accent5 2 3 6 2" xfId="6609" xr:uid="{00000000-0005-0000-0000-0000BD020000}"/>
    <cellStyle name="20% - Accent5 2 3 6 2 2" xfId="15038" xr:uid="{78E0F3D0-082C-4C59-AB89-6A305165C13A}"/>
    <cellStyle name="20% - Accent5 2 3 6 3" xfId="10820" xr:uid="{A21F09FD-0088-4219-B991-08ABBFE09009}"/>
    <cellStyle name="20% - Accent5 2 3 7" xfId="4543" xr:uid="{00000000-0005-0000-0000-0000BE020000}"/>
    <cellStyle name="20% - Accent5 2 3 7 2" xfId="12972" xr:uid="{F7FCB882-0C55-40FE-A448-49B64FD80DA4}"/>
    <cellStyle name="20% - Accent5 2 3 8" xfId="8754" xr:uid="{CBA056C8-73E4-4FC3-A19A-118F044DCBFB}"/>
    <cellStyle name="20% - Accent5 2 4" xfId="604" xr:uid="{00000000-0005-0000-0000-0000BF020000}"/>
    <cellStyle name="20% - Accent5 2 4 2" xfId="2875" xr:uid="{00000000-0005-0000-0000-0000C0020000}"/>
    <cellStyle name="20% - Accent5 2 4 2 2" xfId="7099" xr:uid="{00000000-0005-0000-0000-0000C1020000}"/>
    <cellStyle name="20% - Accent5 2 4 2 2 2" xfId="15528" xr:uid="{82D5EEF0-0DE3-463C-B49F-D54B5EADA3EC}"/>
    <cellStyle name="20% - Accent5 2 4 2 3" xfId="11310" xr:uid="{3BBF2D9C-BCE8-4E20-9C8B-3E3F76670A2B}"/>
    <cellStyle name="20% - Accent5 2 4 3" xfId="4954" xr:uid="{00000000-0005-0000-0000-0000C2020000}"/>
    <cellStyle name="20% - Accent5 2 4 3 2" xfId="13383" xr:uid="{429C087C-8EBF-4251-A02C-DF1BECAB6C91}"/>
    <cellStyle name="20% - Accent5 2 4 4" xfId="9165" xr:uid="{A81248F6-AB4A-44B8-A9EF-379722CCDED4}"/>
    <cellStyle name="20% - Accent5 2 5" xfId="1057" xr:uid="{00000000-0005-0000-0000-0000C3020000}"/>
    <cellStyle name="20% - Accent5 2 5 2" xfId="3288" xr:uid="{00000000-0005-0000-0000-0000C4020000}"/>
    <cellStyle name="20% - Accent5 2 5 2 2" xfId="7512" xr:uid="{00000000-0005-0000-0000-0000C5020000}"/>
    <cellStyle name="20% - Accent5 2 5 2 2 2" xfId="15941" xr:uid="{0B5C0077-6EE7-4623-8E35-80861CC93F1C}"/>
    <cellStyle name="20% - Accent5 2 5 2 3" xfId="11723" xr:uid="{724CB03C-44E6-420E-BFC2-E9F969B5ADC5}"/>
    <cellStyle name="20% - Accent5 2 5 3" xfId="5367" xr:uid="{00000000-0005-0000-0000-0000C6020000}"/>
    <cellStyle name="20% - Accent5 2 5 3 2" xfId="13796" xr:uid="{10AA4171-DE15-4670-AF58-386996351D6A}"/>
    <cellStyle name="20% - Accent5 2 5 4" xfId="9578" xr:uid="{157C819C-321A-4C7F-8730-199CDBFC507A}"/>
    <cellStyle name="20% - Accent5 2 6" xfId="1471" xr:uid="{00000000-0005-0000-0000-0000C7020000}"/>
    <cellStyle name="20% - Accent5 2 6 2" xfId="3701" xr:uid="{00000000-0005-0000-0000-0000C8020000}"/>
    <cellStyle name="20% - Accent5 2 6 2 2" xfId="7925" xr:uid="{00000000-0005-0000-0000-0000C9020000}"/>
    <cellStyle name="20% - Accent5 2 6 2 2 2" xfId="16354" xr:uid="{308DB998-AFAD-49A3-86B6-BB4784856258}"/>
    <cellStyle name="20% - Accent5 2 6 2 3" xfId="12136" xr:uid="{6F5D431A-36A2-49A4-AAAC-55E7CC841880}"/>
    <cellStyle name="20% - Accent5 2 6 3" xfId="5780" xr:uid="{00000000-0005-0000-0000-0000CA020000}"/>
    <cellStyle name="20% - Accent5 2 6 3 2" xfId="14209" xr:uid="{C67FB9E1-F60D-4E5C-8B76-F96D27404BF7}"/>
    <cellStyle name="20% - Accent5 2 6 4" xfId="9991" xr:uid="{7EB7BE83-07DE-43E5-AC5C-A34CD2DF9A93}"/>
    <cellStyle name="20% - Accent5 2 7" xfId="1885" xr:uid="{00000000-0005-0000-0000-0000CB020000}"/>
    <cellStyle name="20% - Accent5 2 7 2" xfId="4114" xr:uid="{00000000-0005-0000-0000-0000CC020000}"/>
    <cellStyle name="20% - Accent5 2 7 2 2" xfId="8338" xr:uid="{00000000-0005-0000-0000-0000CD020000}"/>
    <cellStyle name="20% - Accent5 2 7 2 2 2" xfId="16767" xr:uid="{44694BFF-31B1-43F6-8B39-54CB4AB1702F}"/>
    <cellStyle name="20% - Accent5 2 7 2 3" xfId="12549" xr:uid="{371F923C-9EA8-442C-86F2-3C9DB0802A28}"/>
    <cellStyle name="20% - Accent5 2 7 3" xfId="6193" xr:uid="{00000000-0005-0000-0000-0000CE020000}"/>
    <cellStyle name="20% - Accent5 2 7 3 2" xfId="14622" xr:uid="{12589411-5110-4DEF-947C-7F8F09948928}"/>
    <cellStyle name="20% - Accent5 2 7 4" xfId="10404" xr:uid="{DE2140FE-7A13-47B7-9B0A-E055C5773FAA}"/>
    <cellStyle name="20% - Accent5 2 8" xfId="2298" xr:uid="{00000000-0005-0000-0000-0000CF020000}"/>
    <cellStyle name="20% - Accent5 2 8 2" xfId="6606" xr:uid="{00000000-0005-0000-0000-0000D0020000}"/>
    <cellStyle name="20% - Accent5 2 8 2 2" xfId="15035" xr:uid="{E7221D93-A88C-48CA-86BF-8FF1E21E4905}"/>
    <cellStyle name="20% - Accent5 2 8 3" xfId="10817" xr:uid="{232E9E6B-69AD-47B3-B6F4-603606AA1DCF}"/>
    <cellStyle name="20% - Accent5 2 9" xfId="4540" xr:uid="{00000000-0005-0000-0000-0000D1020000}"/>
    <cellStyle name="20% - Accent5 2 9 2" xfId="12969" xr:uid="{C4DE4259-4894-4861-A5E2-200253A65477}"/>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2 2" xfId="15533" xr:uid="{4402C9D2-4624-4486-B476-DF1E016BF393}"/>
    <cellStyle name="20% - Accent5 3 2 2 2 3" xfId="11315" xr:uid="{3779C8F0-AB5B-45A7-AC75-76F4332E0EAD}"/>
    <cellStyle name="20% - Accent5 3 2 2 3" xfId="4959" xr:uid="{00000000-0005-0000-0000-0000D7020000}"/>
    <cellStyle name="20% - Accent5 3 2 2 3 2" xfId="13388" xr:uid="{3AE7D5D9-0003-4F79-BCE3-F28B167B1E75}"/>
    <cellStyle name="20% - Accent5 3 2 2 4" xfId="9170" xr:uid="{1FA8A386-1025-4B61-930E-E3887501E520}"/>
    <cellStyle name="20% - Accent5 3 2 3" xfId="1062" xr:uid="{00000000-0005-0000-0000-0000D8020000}"/>
    <cellStyle name="20% - Accent5 3 2 3 2" xfId="3293" xr:uid="{00000000-0005-0000-0000-0000D9020000}"/>
    <cellStyle name="20% - Accent5 3 2 3 2 2" xfId="7517" xr:uid="{00000000-0005-0000-0000-0000DA020000}"/>
    <cellStyle name="20% - Accent5 3 2 3 2 2 2" xfId="15946" xr:uid="{590E4ECC-D7D9-4AF3-9E96-DD919D1558E7}"/>
    <cellStyle name="20% - Accent5 3 2 3 2 3" xfId="11728" xr:uid="{132A6771-E658-43CB-BE68-263AABBD16A9}"/>
    <cellStyle name="20% - Accent5 3 2 3 3" xfId="5372" xr:uid="{00000000-0005-0000-0000-0000DB020000}"/>
    <cellStyle name="20% - Accent5 3 2 3 3 2" xfId="13801" xr:uid="{F5005694-7203-4A3A-88E5-6E335318504C}"/>
    <cellStyle name="20% - Accent5 3 2 3 4" xfId="9583" xr:uid="{413340FF-DD44-4D6B-9DB9-369CE219C404}"/>
    <cellStyle name="20% - Accent5 3 2 4" xfId="1476" xr:uid="{00000000-0005-0000-0000-0000DC020000}"/>
    <cellStyle name="20% - Accent5 3 2 4 2" xfId="3706" xr:uid="{00000000-0005-0000-0000-0000DD020000}"/>
    <cellStyle name="20% - Accent5 3 2 4 2 2" xfId="7930" xr:uid="{00000000-0005-0000-0000-0000DE020000}"/>
    <cellStyle name="20% - Accent5 3 2 4 2 2 2" xfId="16359" xr:uid="{B6E824E2-05B1-4B53-9020-B28957157F74}"/>
    <cellStyle name="20% - Accent5 3 2 4 2 3" xfId="12141" xr:uid="{D8EF2D1C-3C13-41FC-B893-C2785186345B}"/>
    <cellStyle name="20% - Accent5 3 2 4 3" xfId="5785" xr:uid="{00000000-0005-0000-0000-0000DF020000}"/>
    <cellStyle name="20% - Accent5 3 2 4 3 2" xfId="14214" xr:uid="{A80D00F7-5126-4E47-AAA1-EE358250B306}"/>
    <cellStyle name="20% - Accent5 3 2 4 4" xfId="9996" xr:uid="{D93F1E95-4BE8-4435-B683-82B26F4BA39D}"/>
    <cellStyle name="20% - Accent5 3 2 5" xfId="1890" xr:uid="{00000000-0005-0000-0000-0000E0020000}"/>
    <cellStyle name="20% - Accent5 3 2 5 2" xfId="4119" xr:uid="{00000000-0005-0000-0000-0000E1020000}"/>
    <cellStyle name="20% - Accent5 3 2 5 2 2" xfId="8343" xr:uid="{00000000-0005-0000-0000-0000E2020000}"/>
    <cellStyle name="20% - Accent5 3 2 5 2 2 2" xfId="16772" xr:uid="{289AA3DF-6AD2-49F9-8EB5-101DC4A8A5E7}"/>
    <cellStyle name="20% - Accent5 3 2 5 2 3" xfId="12554" xr:uid="{26E1BD5E-64B0-44D9-A917-B5136EB7C444}"/>
    <cellStyle name="20% - Accent5 3 2 5 3" xfId="6198" xr:uid="{00000000-0005-0000-0000-0000E3020000}"/>
    <cellStyle name="20% - Accent5 3 2 5 3 2" xfId="14627" xr:uid="{037B9BE6-91D6-4B36-938B-BD41E9EB0012}"/>
    <cellStyle name="20% - Accent5 3 2 5 4" xfId="10409" xr:uid="{EDA8CB0E-2212-4948-BF3B-928EB224D3EA}"/>
    <cellStyle name="20% - Accent5 3 2 6" xfId="2303" xr:uid="{00000000-0005-0000-0000-0000E4020000}"/>
    <cellStyle name="20% - Accent5 3 2 6 2" xfId="6611" xr:uid="{00000000-0005-0000-0000-0000E5020000}"/>
    <cellStyle name="20% - Accent5 3 2 6 2 2" xfId="15040" xr:uid="{F5A38F86-F9F4-476F-A3D4-35A59B41F1AB}"/>
    <cellStyle name="20% - Accent5 3 2 6 3" xfId="10822" xr:uid="{8900285C-4BFD-4DBE-A413-45738928DDE6}"/>
    <cellStyle name="20% - Accent5 3 2 7" xfId="4545" xr:uid="{00000000-0005-0000-0000-0000E6020000}"/>
    <cellStyle name="20% - Accent5 3 2 7 2" xfId="12974" xr:uid="{2D04F382-5C01-4D7F-8356-4452243A1164}"/>
    <cellStyle name="20% - Accent5 3 2 8" xfId="8756" xr:uid="{82076D46-F7B6-42D2-AA23-065C494CFE89}"/>
    <cellStyle name="20% - Accent5 3 3" xfId="608" xr:uid="{00000000-0005-0000-0000-0000E7020000}"/>
    <cellStyle name="20% - Accent5 3 3 2" xfId="2879" xr:uid="{00000000-0005-0000-0000-0000E8020000}"/>
    <cellStyle name="20% - Accent5 3 3 2 2" xfId="7103" xr:uid="{00000000-0005-0000-0000-0000E9020000}"/>
    <cellStyle name="20% - Accent5 3 3 2 2 2" xfId="15532" xr:uid="{8C7E96C5-5224-4701-A267-8544208A329F}"/>
    <cellStyle name="20% - Accent5 3 3 2 3" xfId="11314" xr:uid="{31FEF585-8241-493C-A300-2B2436E80383}"/>
    <cellStyle name="20% - Accent5 3 3 3" xfId="4958" xr:uid="{00000000-0005-0000-0000-0000EA020000}"/>
    <cellStyle name="20% - Accent5 3 3 3 2" xfId="13387" xr:uid="{AFE7542E-4B7B-4601-8085-D45E92789676}"/>
    <cellStyle name="20% - Accent5 3 3 4" xfId="9169" xr:uid="{BDEF9E44-9C22-47C3-BD12-B8F489247DD9}"/>
    <cellStyle name="20% - Accent5 3 4" xfId="1061" xr:uid="{00000000-0005-0000-0000-0000EB020000}"/>
    <cellStyle name="20% - Accent5 3 4 2" xfId="3292" xr:uid="{00000000-0005-0000-0000-0000EC020000}"/>
    <cellStyle name="20% - Accent5 3 4 2 2" xfId="7516" xr:uid="{00000000-0005-0000-0000-0000ED020000}"/>
    <cellStyle name="20% - Accent5 3 4 2 2 2" xfId="15945" xr:uid="{FAFAB89C-8785-4ADB-8D16-F38C84D26127}"/>
    <cellStyle name="20% - Accent5 3 4 2 3" xfId="11727" xr:uid="{A0582D51-FB0C-4343-898C-F98E24A71538}"/>
    <cellStyle name="20% - Accent5 3 4 3" xfId="5371" xr:uid="{00000000-0005-0000-0000-0000EE020000}"/>
    <cellStyle name="20% - Accent5 3 4 3 2" xfId="13800" xr:uid="{8C47A57E-0112-4AE5-BEF6-5C56C601EC1A}"/>
    <cellStyle name="20% - Accent5 3 4 4" xfId="9582" xr:uid="{61A9C1AD-8740-4228-AE4E-91820F8A0818}"/>
    <cellStyle name="20% - Accent5 3 5" xfId="1475" xr:uid="{00000000-0005-0000-0000-0000EF020000}"/>
    <cellStyle name="20% - Accent5 3 5 2" xfId="3705" xr:uid="{00000000-0005-0000-0000-0000F0020000}"/>
    <cellStyle name="20% - Accent5 3 5 2 2" xfId="7929" xr:uid="{00000000-0005-0000-0000-0000F1020000}"/>
    <cellStyle name="20% - Accent5 3 5 2 2 2" xfId="16358" xr:uid="{06233253-E808-452B-9A5D-C0A711C8A737}"/>
    <cellStyle name="20% - Accent5 3 5 2 3" xfId="12140" xr:uid="{EC273E80-9B12-467E-9608-4F52BFD3F00F}"/>
    <cellStyle name="20% - Accent5 3 5 3" xfId="5784" xr:uid="{00000000-0005-0000-0000-0000F2020000}"/>
    <cellStyle name="20% - Accent5 3 5 3 2" xfId="14213" xr:uid="{6EEDD254-F658-40C9-A75B-6968252C72B8}"/>
    <cellStyle name="20% - Accent5 3 5 4" xfId="9995" xr:uid="{846782B0-49F9-48C6-A3FF-82D7A7B79A48}"/>
    <cellStyle name="20% - Accent5 3 6" xfId="1889" xr:uid="{00000000-0005-0000-0000-0000F3020000}"/>
    <cellStyle name="20% - Accent5 3 6 2" xfId="4118" xr:uid="{00000000-0005-0000-0000-0000F4020000}"/>
    <cellStyle name="20% - Accent5 3 6 2 2" xfId="8342" xr:uid="{00000000-0005-0000-0000-0000F5020000}"/>
    <cellStyle name="20% - Accent5 3 6 2 2 2" xfId="16771" xr:uid="{408E0DD4-AC00-4CB9-AAA5-4990290923E0}"/>
    <cellStyle name="20% - Accent5 3 6 2 3" xfId="12553" xr:uid="{1A1E01F6-5696-43AA-8721-BC00CADFB2D4}"/>
    <cellStyle name="20% - Accent5 3 6 3" xfId="6197" xr:uid="{00000000-0005-0000-0000-0000F6020000}"/>
    <cellStyle name="20% - Accent5 3 6 3 2" xfId="14626" xr:uid="{305ACFCB-2F7E-4D75-A13F-1E24AF013C44}"/>
    <cellStyle name="20% - Accent5 3 6 4" xfId="10408" xr:uid="{157221F0-78EF-45CC-A439-F984DECEE9FF}"/>
    <cellStyle name="20% - Accent5 3 7" xfId="2302" xr:uid="{00000000-0005-0000-0000-0000F7020000}"/>
    <cellStyle name="20% - Accent5 3 7 2" xfId="6610" xr:uid="{00000000-0005-0000-0000-0000F8020000}"/>
    <cellStyle name="20% - Accent5 3 7 2 2" xfId="15039" xr:uid="{54150DFB-3953-485D-84C2-9C8C6E45DD34}"/>
    <cellStyle name="20% - Accent5 3 7 3" xfId="10821" xr:uid="{7562EDCA-3737-4FAD-BB84-8FEF07BE640D}"/>
    <cellStyle name="20% - Accent5 3 8" xfId="4544" xr:uid="{00000000-0005-0000-0000-0000F9020000}"/>
    <cellStyle name="20% - Accent5 3 8 2" xfId="12973" xr:uid="{6FC70433-DCDA-4DCD-A9E9-20464C1AF7CE}"/>
    <cellStyle name="20% - Accent5 3 9" xfId="8755" xr:uid="{16DECEA0-3710-409F-A400-D3993E8ADA7F}"/>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2 2" xfId="15534" xr:uid="{F5265D5B-BC75-4BE3-BDDE-60DD7D33AF05}"/>
    <cellStyle name="20% - Accent5 4 2 2 3" xfId="11316" xr:uid="{0150A3A8-7DF8-4390-9C54-7FBACC6E574D}"/>
    <cellStyle name="20% - Accent5 4 2 3" xfId="4960" xr:uid="{00000000-0005-0000-0000-0000FE020000}"/>
    <cellStyle name="20% - Accent5 4 2 3 2" xfId="13389" xr:uid="{FA49F268-B243-45C1-9C0C-7E726BE1A60B}"/>
    <cellStyle name="20% - Accent5 4 2 4" xfId="9171" xr:uid="{9CE0408A-9A66-4043-9EA2-F942D0328E24}"/>
    <cellStyle name="20% - Accent5 4 3" xfId="1063" xr:uid="{00000000-0005-0000-0000-0000FF020000}"/>
    <cellStyle name="20% - Accent5 4 3 2" xfId="3294" xr:uid="{00000000-0005-0000-0000-000000030000}"/>
    <cellStyle name="20% - Accent5 4 3 2 2" xfId="7518" xr:uid="{00000000-0005-0000-0000-000001030000}"/>
    <cellStyle name="20% - Accent5 4 3 2 2 2" xfId="15947" xr:uid="{7B8D8316-ABF9-4F42-ADC5-05E6277E0F85}"/>
    <cellStyle name="20% - Accent5 4 3 2 3" xfId="11729" xr:uid="{FCB01A5D-90B8-4EB2-98B2-38EC3980DE64}"/>
    <cellStyle name="20% - Accent5 4 3 3" xfId="5373" xr:uid="{00000000-0005-0000-0000-000002030000}"/>
    <cellStyle name="20% - Accent5 4 3 3 2" xfId="13802" xr:uid="{822EFD4C-452C-4A0D-B2C8-75886955B6D5}"/>
    <cellStyle name="20% - Accent5 4 3 4" xfId="9584" xr:uid="{0B4B2CD1-6D83-46DA-90A5-5790425D8CA0}"/>
    <cellStyle name="20% - Accent5 4 4" xfId="1477" xr:uid="{00000000-0005-0000-0000-000003030000}"/>
    <cellStyle name="20% - Accent5 4 4 2" xfId="3707" xr:uid="{00000000-0005-0000-0000-000004030000}"/>
    <cellStyle name="20% - Accent5 4 4 2 2" xfId="7931" xr:uid="{00000000-0005-0000-0000-000005030000}"/>
    <cellStyle name="20% - Accent5 4 4 2 2 2" xfId="16360" xr:uid="{461AEA6C-17B9-43A8-A678-ED981BAE80AD}"/>
    <cellStyle name="20% - Accent5 4 4 2 3" xfId="12142" xr:uid="{45B94A86-AF35-48F9-BFE0-1C9F03A494D7}"/>
    <cellStyle name="20% - Accent5 4 4 3" xfId="5786" xr:uid="{00000000-0005-0000-0000-000006030000}"/>
    <cellStyle name="20% - Accent5 4 4 3 2" xfId="14215" xr:uid="{F08033FD-D55E-4273-960B-2D1A5A22D8B1}"/>
    <cellStyle name="20% - Accent5 4 4 4" xfId="9997" xr:uid="{51FF4DCF-D4FA-455C-A7F9-12ED69BCA3B5}"/>
    <cellStyle name="20% - Accent5 4 5" xfId="1891" xr:uid="{00000000-0005-0000-0000-000007030000}"/>
    <cellStyle name="20% - Accent5 4 5 2" xfId="4120" xr:uid="{00000000-0005-0000-0000-000008030000}"/>
    <cellStyle name="20% - Accent5 4 5 2 2" xfId="8344" xr:uid="{00000000-0005-0000-0000-000009030000}"/>
    <cellStyle name="20% - Accent5 4 5 2 2 2" xfId="16773" xr:uid="{3B5A3471-D1F8-449B-98AD-E8A0A580AC62}"/>
    <cellStyle name="20% - Accent5 4 5 2 3" xfId="12555" xr:uid="{A4170C44-B75A-415C-8BB5-AAF38B7F6158}"/>
    <cellStyle name="20% - Accent5 4 5 3" xfId="6199" xr:uid="{00000000-0005-0000-0000-00000A030000}"/>
    <cellStyle name="20% - Accent5 4 5 3 2" xfId="14628" xr:uid="{B87B29BD-150E-4B0A-AE7A-0DE69B93AFED}"/>
    <cellStyle name="20% - Accent5 4 5 4" xfId="10410" xr:uid="{A521575C-C7BD-4D35-B960-260ED5275A2A}"/>
    <cellStyle name="20% - Accent5 4 6" xfId="2304" xr:uid="{00000000-0005-0000-0000-00000B030000}"/>
    <cellStyle name="20% - Accent5 4 6 2" xfId="6612" xr:uid="{00000000-0005-0000-0000-00000C030000}"/>
    <cellStyle name="20% - Accent5 4 6 2 2" xfId="15041" xr:uid="{6A151179-D712-4198-9FD1-6F63615F904D}"/>
    <cellStyle name="20% - Accent5 4 6 3" xfId="10823" xr:uid="{B8C111ED-D095-409E-AE0D-11E1C8AE44F2}"/>
    <cellStyle name="20% - Accent5 4 7" xfId="4546" xr:uid="{00000000-0005-0000-0000-00000D030000}"/>
    <cellStyle name="20% - Accent5 4 7 2" xfId="12975" xr:uid="{BACCE7EF-5E6A-4596-BD46-37DB0D8DC298}"/>
    <cellStyle name="20% - Accent5 4 8" xfId="8757" xr:uid="{C90C7D58-D4F0-4D70-9BDD-1AC54F9BEF79}"/>
    <cellStyle name="20% - Accent5 5" xfId="603" xr:uid="{00000000-0005-0000-0000-00000E030000}"/>
    <cellStyle name="20% - Accent5 5 2" xfId="2874" xr:uid="{00000000-0005-0000-0000-00000F030000}"/>
    <cellStyle name="20% - Accent5 5 2 2" xfId="7098" xr:uid="{00000000-0005-0000-0000-000010030000}"/>
    <cellStyle name="20% - Accent5 5 2 2 2" xfId="15527" xr:uid="{091921AF-83C6-4001-BCB7-227B9C3A5559}"/>
    <cellStyle name="20% - Accent5 5 2 3" xfId="11309" xr:uid="{68764C6C-6CF5-4CC9-B67A-0453F67A7AC3}"/>
    <cellStyle name="20% - Accent5 5 3" xfId="4953" xr:uid="{00000000-0005-0000-0000-000011030000}"/>
    <cellStyle name="20% - Accent5 5 3 2" xfId="13382" xr:uid="{B8BC6E1B-9BAD-4DCB-B705-0696CAC088D7}"/>
    <cellStyle name="20% - Accent5 5 4" xfId="9164" xr:uid="{A8BEEDB1-CB45-4E0D-9898-1A5F66160672}"/>
    <cellStyle name="20% - Accent5 6" xfId="1056" xr:uid="{00000000-0005-0000-0000-000012030000}"/>
    <cellStyle name="20% - Accent5 6 2" xfId="3287" xr:uid="{00000000-0005-0000-0000-000013030000}"/>
    <cellStyle name="20% - Accent5 6 2 2" xfId="7511" xr:uid="{00000000-0005-0000-0000-000014030000}"/>
    <cellStyle name="20% - Accent5 6 2 2 2" xfId="15940" xr:uid="{557BB455-8D9C-4366-B386-7F21B1B1A199}"/>
    <cellStyle name="20% - Accent5 6 2 3" xfId="11722" xr:uid="{C9B54826-3783-4BAD-87EB-0503650C4B62}"/>
    <cellStyle name="20% - Accent5 6 3" xfId="5366" xr:uid="{00000000-0005-0000-0000-000015030000}"/>
    <cellStyle name="20% - Accent5 6 3 2" xfId="13795" xr:uid="{80FA463E-1169-45D1-927E-35E76D571405}"/>
    <cellStyle name="20% - Accent5 6 4" xfId="9577" xr:uid="{ADCA3E4E-9B8F-4086-9DF3-F9CC74A43914}"/>
    <cellStyle name="20% - Accent5 7" xfId="1470" xr:uid="{00000000-0005-0000-0000-000016030000}"/>
    <cellStyle name="20% - Accent5 7 2" xfId="3700" xr:uid="{00000000-0005-0000-0000-000017030000}"/>
    <cellStyle name="20% - Accent5 7 2 2" xfId="7924" xr:uid="{00000000-0005-0000-0000-000018030000}"/>
    <cellStyle name="20% - Accent5 7 2 2 2" xfId="16353" xr:uid="{0E36C80A-609C-4E30-82CE-78302E62ABB8}"/>
    <cellStyle name="20% - Accent5 7 2 3" xfId="12135" xr:uid="{0DB0715D-45F0-4B61-824B-3C4D0948EAB4}"/>
    <cellStyle name="20% - Accent5 7 3" xfId="5779" xr:uid="{00000000-0005-0000-0000-000019030000}"/>
    <cellStyle name="20% - Accent5 7 3 2" xfId="14208" xr:uid="{E5CB96E9-96C4-42ED-8CB0-1C30D1681E8B}"/>
    <cellStyle name="20% - Accent5 7 4" xfId="9990" xr:uid="{B31780FA-8ABA-422E-B4C6-59EFEFB87B4D}"/>
    <cellStyle name="20% - Accent5 8" xfId="1884" xr:uid="{00000000-0005-0000-0000-00001A030000}"/>
    <cellStyle name="20% - Accent5 8 2" xfId="4113" xr:uid="{00000000-0005-0000-0000-00001B030000}"/>
    <cellStyle name="20% - Accent5 8 2 2" xfId="8337" xr:uid="{00000000-0005-0000-0000-00001C030000}"/>
    <cellStyle name="20% - Accent5 8 2 2 2" xfId="16766" xr:uid="{F38D068E-1AA3-4B16-B975-4424032022C6}"/>
    <cellStyle name="20% - Accent5 8 2 3" xfId="12548" xr:uid="{A5A9A85D-BCBF-47B6-B879-5A5AB1158697}"/>
    <cellStyle name="20% - Accent5 8 3" xfId="6192" xr:uid="{00000000-0005-0000-0000-00001D030000}"/>
    <cellStyle name="20% - Accent5 8 3 2" xfId="14621" xr:uid="{A6DB5DC0-F946-47D0-8081-05095FB6594A}"/>
    <cellStyle name="20% - Accent5 8 4" xfId="10403" xr:uid="{636A174A-B823-4CE6-81EA-E1556EF0F2E1}"/>
    <cellStyle name="20% - Accent5 9" xfId="2297" xr:uid="{00000000-0005-0000-0000-00001E030000}"/>
    <cellStyle name="20% - Accent5 9 2" xfId="6605" xr:uid="{00000000-0005-0000-0000-00001F030000}"/>
    <cellStyle name="20% - Accent5 9 2 2" xfId="15034" xr:uid="{4CC577A3-995B-4883-BB82-8E7D9B6E4C5B}"/>
    <cellStyle name="20% - Accent5 9 3" xfId="10816" xr:uid="{D1588E9E-BDA9-4155-89AB-442C1D22ADCE}"/>
    <cellStyle name="20% - Accent6" xfId="41" builtinId="50" customBuiltin="1"/>
    <cellStyle name="20% - Accent6 10" xfId="4547" xr:uid="{00000000-0005-0000-0000-000021030000}"/>
    <cellStyle name="20% - Accent6 10 2" xfId="12976" xr:uid="{1933A4E4-6407-4A0A-B588-3F209E9D4A3D}"/>
    <cellStyle name="20% - Accent6 11" xfId="8758" xr:uid="{321046D0-E25C-4686-88C7-54A1E2B7E97B}"/>
    <cellStyle name="20% - Accent6 2" xfId="42" xr:uid="{00000000-0005-0000-0000-000022030000}"/>
    <cellStyle name="20% - Accent6 2 10" xfId="8759" xr:uid="{7B05BCDA-5E12-4389-AC5E-9CD179F2BC5E}"/>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2 2" xfId="15538" xr:uid="{6E8032EA-7768-41E4-ACD7-E407D4160BB5}"/>
    <cellStyle name="20% - Accent6 2 2 2 2 2 3" xfId="11320" xr:uid="{97D1AFFC-C70C-40FA-AD9D-D704B15C41F6}"/>
    <cellStyle name="20% - Accent6 2 2 2 2 3" xfId="4964" xr:uid="{00000000-0005-0000-0000-000028030000}"/>
    <cellStyle name="20% - Accent6 2 2 2 2 3 2" xfId="13393" xr:uid="{D9BB078A-AD1B-4A28-89A9-6988B812337D}"/>
    <cellStyle name="20% - Accent6 2 2 2 2 4" xfId="9175" xr:uid="{F7807F67-DB22-4C20-8839-AF0FC1B75B83}"/>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2 2" xfId="15951" xr:uid="{36747893-D793-40C7-84B5-DD56E9EA2D8A}"/>
    <cellStyle name="20% - Accent6 2 2 2 3 2 3" xfId="11733" xr:uid="{3AE50805-13A4-49CC-A9F0-1C8EC1C8D581}"/>
    <cellStyle name="20% - Accent6 2 2 2 3 3" xfId="5377" xr:uid="{00000000-0005-0000-0000-00002C030000}"/>
    <cellStyle name="20% - Accent6 2 2 2 3 3 2" xfId="13806" xr:uid="{78EB27CA-98A1-4C99-95AC-7B071D8EEED4}"/>
    <cellStyle name="20% - Accent6 2 2 2 3 4" xfId="9588" xr:uid="{B2CE311F-E2CF-4DCA-A2FD-9D6332347F9F}"/>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2 2" xfId="16364" xr:uid="{1B1C72AA-49A8-4BFF-A209-2639476A56A9}"/>
    <cellStyle name="20% - Accent6 2 2 2 4 2 3" xfId="12146" xr:uid="{57353061-A276-436C-93D1-9EBBD6AAFE97}"/>
    <cellStyle name="20% - Accent6 2 2 2 4 3" xfId="5790" xr:uid="{00000000-0005-0000-0000-000030030000}"/>
    <cellStyle name="20% - Accent6 2 2 2 4 3 2" xfId="14219" xr:uid="{F6D48633-A90F-46DB-9E50-B5015BA0188C}"/>
    <cellStyle name="20% - Accent6 2 2 2 4 4" xfId="10001" xr:uid="{E1C64F7C-DED4-4764-9165-3C5BE160FA47}"/>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2 2" xfId="16777" xr:uid="{70D03C2E-8C43-4D8E-AC7F-81B849878F8B}"/>
    <cellStyle name="20% - Accent6 2 2 2 5 2 3" xfId="12559" xr:uid="{842B8A47-BCBE-43EF-8B65-F66321DF0743}"/>
    <cellStyle name="20% - Accent6 2 2 2 5 3" xfId="6203" xr:uid="{00000000-0005-0000-0000-000034030000}"/>
    <cellStyle name="20% - Accent6 2 2 2 5 3 2" xfId="14632" xr:uid="{0E970E60-FB96-4504-9101-A5031E3742E8}"/>
    <cellStyle name="20% - Accent6 2 2 2 5 4" xfId="10414" xr:uid="{4848E68D-89DA-43AF-BDA3-C663CE13B811}"/>
    <cellStyle name="20% - Accent6 2 2 2 6" xfId="2308" xr:uid="{00000000-0005-0000-0000-000035030000}"/>
    <cellStyle name="20% - Accent6 2 2 2 6 2" xfId="6616" xr:uid="{00000000-0005-0000-0000-000036030000}"/>
    <cellStyle name="20% - Accent6 2 2 2 6 2 2" xfId="15045" xr:uid="{5097BAC9-C839-44F9-A7CD-FBBA5A43CA85}"/>
    <cellStyle name="20% - Accent6 2 2 2 6 3" xfId="10827" xr:uid="{9B9D768C-35C8-410C-BC6B-46A090446A06}"/>
    <cellStyle name="20% - Accent6 2 2 2 7" xfId="4550" xr:uid="{00000000-0005-0000-0000-000037030000}"/>
    <cellStyle name="20% - Accent6 2 2 2 7 2" xfId="12979" xr:uid="{B8403FCB-C743-4231-A963-8F1B1F57209E}"/>
    <cellStyle name="20% - Accent6 2 2 2 8" xfId="8761" xr:uid="{A38CB28D-5D80-4909-8EDC-398172C5B224}"/>
    <cellStyle name="20% - Accent6 2 2 3" xfId="613" xr:uid="{00000000-0005-0000-0000-000038030000}"/>
    <cellStyle name="20% - Accent6 2 2 3 2" xfId="2884" xr:uid="{00000000-0005-0000-0000-000039030000}"/>
    <cellStyle name="20% - Accent6 2 2 3 2 2" xfId="7108" xr:uid="{00000000-0005-0000-0000-00003A030000}"/>
    <cellStyle name="20% - Accent6 2 2 3 2 2 2" xfId="15537" xr:uid="{F40E5D2A-FDF6-44A9-BA8F-EF299AC875DD}"/>
    <cellStyle name="20% - Accent6 2 2 3 2 3" xfId="11319" xr:uid="{9DD003B8-3F08-4326-8B58-52C7FB07229E}"/>
    <cellStyle name="20% - Accent6 2 2 3 3" xfId="4963" xr:uid="{00000000-0005-0000-0000-00003B030000}"/>
    <cellStyle name="20% - Accent6 2 2 3 3 2" xfId="13392" xr:uid="{4B446236-C2A6-4153-AD6E-8CAB3E83DB8C}"/>
    <cellStyle name="20% - Accent6 2 2 3 4" xfId="9174" xr:uid="{F7AEBDE6-80E3-4BFE-9C6A-10E890B805F7}"/>
    <cellStyle name="20% - Accent6 2 2 4" xfId="1066" xr:uid="{00000000-0005-0000-0000-00003C030000}"/>
    <cellStyle name="20% - Accent6 2 2 4 2" xfId="3297" xr:uid="{00000000-0005-0000-0000-00003D030000}"/>
    <cellStyle name="20% - Accent6 2 2 4 2 2" xfId="7521" xr:uid="{00000000-0005-0000-0000-00003E030000}"/>
    <cellStyle name="20% - Accent6 2 2 4 2 2 2" xfId="15950" xr:uid="{9F324324-D4EF-4D27-98B0-CE5D3223DA74}"/>
    <cellStyle name="20% - Accent6 2 2 4 2 3" xfId="11732" xr:uid="{41D76083-F977-4114-B00B-C8385DAE4FED}"/>
    <cellStyle name="20% - Accent6 2 2 4 3" xfId="5376" xr:uid="{00000000-0005-0000-0000-00003F030000}"/>
    <cellStyle name="20% - Accent6 2 2 4 3 2" xfId="13805" xr:uid="{8DE619CB-7FF2-4C18-8C55-83505F59FA99}"/>
    <cellStyle name="20% - Accent6 2 2 4 4" xfId="9587" xr:uid="{F34853F0-7DD0-4694-BA9B-029635D98C37}"/>
    <cellStyle name="20% - Accent6 2 2 5" xfId="1480" xr:uid="{00000000-0005-0000-0000-000040030000}"/>
    <cellStyle name="20% - Accent6 2 2 5 2" xfId="3710" xr:uid="{00000000-0005-0000-0000-000041030000}"/>
    <cellStyle name="20% - Accent6 2 2 5 2 2" xfId="7934" xr:uid="{00000000-0005-0000-0000-000042030000}"/>
    <cellStyle name="20% - Accent6 2 2 5 2 2 2" xfId="16363" xr:uid="{029D1859-3A22-4A42-83FA-41D74D8C8013}"/>
    <cellStyle name="20% - Accent6 2 2 5 2 3" xfId="12145" xr:uid="{62222870-6575-4CF3-9BD6-74CF73F4F074}"/>
    <cellStyle name="20% - Accent6 2 2 5 3" xfId="5789" xr:uid="{00000000-0005-0000-0000-000043030000}"/>
    <cellStyle name="20% - Accent6 2 2 5 3 2" xfId="14218" xr:uid="{8885C303-4307-43F1-9E14-5F32D9FE7973}"/>
    <cellStyle name="20% - Accent6 2 2 5 4" xfId="10000" xr:uid="{4F782464-B695-4536-899A-9025CA2847D8}"/>
    <cellStyle name="20% - Accent6 2 2 6" xfId="1894" xr:uid="{00000000-0005-0000-0000-000044030000}"/>
    <cellStyle name="20% - Accent6 2 2 6 2" xfId="4123" xr:uid="{00000000-0005-0000-0000-000045030000}"/>
    <cellStyle name="20% - Accent6 2 2 6 2 2" xfId="8347" xr:uid="{00000000-0005-0000-0000-000046030000}"/>
    <cellStyle name="20% - Accent6 2 2 6 2 2 2" xfId="16776" xr:uid="{F4B40F31-161F-40FB-8239-06100DAAA117}"/>
    <cellStyle name="20% - Accent6 2 2 6 2 3" xfId="12558" xr:uid="{A0D015AF-EEF2-4FFF-8C13-712F2A43B603}"/>
    <cellStyle name="20% - Accent6 2 2 6 3" xfId="6202" xr:uid="{00000000-0005-0000-0000-000047030000}"/>
    <cellStyle name="20% - Accent6 2 2 6 3 2" xfId="14631" xr:uid="{3F91EECF-5E5B-4E15-B820-3D3D292E26E0}"/>
    <cellStyle name="20% - Accent6 2 2 6 4" xfId="10413" xr:uid="{D210FD56-B6CD-4B93-9985-AE006674D93A}"/>
    <cellStyle name="20% - Accent6 2 2 7" xfId="2307" xr:uid="{00000000-0005-0000-0000-000048030000}"/>
    <cellStyle name="20% - Accent6 2 2 7 2" xfId="6615" xr:uid="{00000000-0005-0000-0000-000049030000}"/>
    <cellStyle name="20% - Accent6 2 2 7 2 2" xfId="15044" xr:uid="{8FFB1537-28DA-4026-9251-280C7FC23BB4}"/>
    <cellStyle name="20% - Accent6 2 2 7 3" xfId="10826" xr:uid="{9B9DC7F0-B7EF-4798-96D7-4AF8B67F48E4}"/>
    <cellStyle name="20% - Accent6 2 2 8" xfId="4549" xr:uid="{00000000-0005-0000-0000-00004A030000}"/>
    <cellStyle name="20% - Accent6 2 2 8 2" xfId="12978" xr:uid="{D34C6A5C-B413-4225-B1B2-59348F1D72A7}"/>
    <cellStyle name="20% - Accent6 2 2 9" xfId="8760" xr:uid="{82031732-53D1-4EF0-8F5E-B4AE15975535}"/>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2 2" xfId="15539" xr:uid="{51AF0309-F3DD-49D1-979A-44452555CE36}"/>
    <cellStyle name="20% - Accent6 2 3 2 2 3" xfId="11321" xr:uid="{7CB91BBF-4DB1-4362-808C-4E712B56F4B0}"/>
    <cellStyle name="20% - Accent6 2 3 2 3" xfId="4965" xr:uid="{00000000-0005-0000-0000-00004F030000}"/>
    <cellStyle name="20% - Accent6 2 3 2 3 2" xfId="13394" xr:uid="{E70E5CF2-8AF3-4B18-948C-F2837A2A584A}"/>
    <cellStyle name="20% - Accent6 2 3 2 4" xfId="9176" xr:uid="{F48C08A6-7100-4879-AD0D-A3DBB44068E3}"/>
    <cellStyle name="20% - Accent6 2 3 3" xfId="1068" xr:uid="{00000000-0005-0000-0000-000050030000}"/>
    <cellStyle name="20% - Accent6 2 3 3 2" xfId="3299" xr:uid="{00000000-0005-0000-0000-000051030000}"/>
    <cellStyle name="20% - Accent6 2 3 3 2 2" xfId="7523" xr:uid="{00000000-0005-0000-0000-000052030000}"/>
    <cellStyle name="20% - Accent6 2 3 3 2 2 2" xfId="15952" xr:uid="{51806192-2F8C-462B-8CB3-881C99FF1DE9}"/>
    <cellStyle name="20% - Accent6 2 3 3 2 3" xfId="11734" xr:uid="{9A6843F8-D856-43C8-80B4-A09DEF551FAD}"/>
    <cellStyle name="20% - Accent6 2 3 3 3" xfId="5378" xr:uid="{00000000-0005-0000-0000-000053030000}"/>
    <cellStyle name="20% - Accent6 2 3 3 3 2" xfId="13807" xr:uid="{8BEC3A2C-9B7D-451E-ABE8-0C46A4395CE9}"/>
    <cellStyle name="20% - Accent6 2 3 3 4" xfId="9589" xr:uid="{22B86878-EF5B-42CF-A58B-AC9A6DC854AA}"/>
    <cellStyle name="20% - Accent6 2 3 4" xfId="1482" xr:uid="{00000000-0005-0000-0000-000054030000}"/>
    <cellStyle name="20% - Accent6 2 3 4 2" xfId="3712" xr:uid="{00000000-0005-0000-0000-000055030000}"/>
    <cellStyle name="20% - Accent6 2 3 4 2 2" xfId="7936" xr:uid="{00000000-0005-0000-0000-000056030000}"/>
    <cellStyle name="20% - Accent6 2 3 4 2 2 2" xfId="16365" xr:uid="{F5E5D70B-1701-4323-ACBB-838552FEF842}"/>
    <cellStyle name="20% - Accent6 2 3 4 2 3" xfId="12147" xr:uid="{66344630-5385-440C-9DB1-BEBB6BA584CB}"/>
    <cellStyle name="20% - Accent6 2 3 4 3" xfId="5791" xr:uid="{00000000-0005-0000-0000-000057030000}"/>
    <cellStyle name="20% - Accent6 2 3 4 3 2" xfId="14220" xr:uid="{4D826D63-EEA0-47A1-AC30-22477756F49D}"/>
    <cellStyle name="20% - Accent6 2 3 4 4" xfId="10002" xr:uid="{A8371D8C-A16A-4741-A900-E2EC9EDFC51B}"/>
    <cellStyle name="20% - Accent6 2 3 5" xfId="1896" xr:uid="{00000000-0005-0000-0000-000058030000}"/>
    <cellStyle name="20% - Accent6 2 3 5 2" xfId="4125" xr:uid="{00000000-0005-0000-0000-000059030000}"/>
    <cellStyle name="20% - Accent6 2 3 5 2 2" xfId="8349" xr:uid="{00000000-0005-0000-0000-00005A030000}"/>
    <cellStyle name="20% - Accent6 2 3 5 2 2 2" xfId="16778" xr:uid="{54CD5702-215E-4FD5-8CDB-15CC51BA1814}"/>
    <cellStyle name="20% - Accent6 2 3 5 2 3" xfId="12560" xr:uid="{3434FD83-C07B-46DC-9D5F-D0368EE8480E}"/>
    <cellStyle name="20% - Accent6 2 3 5 3" xfId="6204" xr:uid="{00000000-0005-0000-0000-00005B030000}"/>
    <cellStyle name="20% - Accent6 2 3 5 3 2" xfId="14633" xr:uid="{C9B8ACCE-F913-45EA-8B4E-4ACE47497767}"/>
    <cellStyle name="20% - Accent6 2 3 5 4" xfId="10415" xr:uid="{256F5816-DF62-466C-B22C-BD4F1BBBF86B}"/>
    <cellStyle name="20% - Accent6 2 3 6" xfId="2309" xr:uid="{00000000-0005-0000-0000-00005C030000}"/>
    <cellStyle name="20% - Accent6 2 3 6 2" xfId="6617" xr:uid="{00000000-0005-0000-0000-00005D030000}"/>
    <cellStyle name="20% - Accent6 2 3 6 2 2" xfId="15046" xr:uid="{C294963C-FEFD-41D0-80CF-59DD5FA39999}"/>
    <cellStyle name="20% - Accent6 2 3 6 3" xfId="10828" xr:uid="{DB8CFDA9-AB3F-4740-98FF-6A86A2E3A39B}"/>
    <cellStyle name="20% - Accent6 2 3 7" xfId="4551" xr:uid="{00000000-0005-0000-0000-00005E030000}"/>
    <cellStyle name="20% - Accent6 2 3 7 2" xfId="12980" xr:uid="{35CAE660-167C-4157-9DD7-F14FAF7B8E32}"/>
    <cellStyle name="20% - Accent6 2 3 8" xfId="8762" xr:uid="{9B0F945B-8D88-4E6C-A4E3-BE61F4E19B5A}"/>
    <cellStyle name="20% - Accent6 2 4" xfId="612" xr:uid="{00000000-0005-0000-0000-00005F030000}"/>
    <cellStyle name="20% - Accent6 2 4 2" xfId="2883" xr:uid="{00000000-0005-0000-0000-000060030000}"/>
    <cellStyle name="20% - Accent6 2 4 2 2" xfId="7107" xr:uid="{00000000-0005-0000-0000-000061030000}"/>
    <cellStyle name="20% - Accent6 2 4 2 2 2" xfId="15536" xr:uid="{F9457844-DBCC-40C1-90CB-AD49DF6336B9}"/>
    <cellStyle name="20% - Accent6 2 4 2 3" xfId="11318" xr:uid="{5BFA17AA-8B06-4618-A809-1668ED68DC1C}"/>
    <cellStyle name="20% - Accent6 2 4 3" xfId="4962" xr:uid="{00000000-0005-0000-0000-000062030000}"/>
    <cellStyle name="20% - Accent6 2 4 3 2" xfId="13391" xr:uid="{FDA4990E-A231-4AA1-9DF5-779F80B0A715}"/>
    <cellStyle name="20% - Accent6 2 4 4" xfId="9173" xr:uid="{046017F8-81AA-4172-BCE5-0ABE0E147D66}"/>
    <cellStyle name="20% - Accent6 2 5" xfId="1065" xr:uid="{00000000-0005-0000-0000-000063030000}"/>
    <cellStyle name="20% - Accent6 2 5 2" xfId="3296" xr:uid="{00000000-0005-0000-0000-000064030000}"/>
    <cellStyle name="20% - Accent6 2 5 2 2" xfId="7520" xr:uid="{00000000-0005-0000-0000-000065030000}"/>
    <cellStyle name="20% - Accent6 2 5 2 2 2" xfId="15949" xr:uid="{D40709AF-8860-4372-8D6F-EFBDEF80DA16}"/>
    <cellStyle name="20% - Accent6 2 5 2 3" xfId="11731" xr:uid="{5E6D39BB-4AF0-4E25-88AA-277F3DAA2A94}"/>
    <cellStyle name="20% - Accent6 2 5 3" xfId="5375" xr:uid="{00000000-0005-0000-0000-000066030000}"/>
    <cellStyle name="20% - Accent6 2 5 3 2" xfId="13804" xr:uid="{649781C9-8A74-402D-9CA8-EEF7DB5C1D95}"/>
    <cellStyle name="20% - Accent6 2 5 4" xfId="9586" xr:uid="{A31B5240-4262-4870-9154-E4D6B8D07D15}"/>
    <cellStyle name="20% - Accent6 2 6" xfId="1479" xr:uid="{00000000-0005-0000-0000-000067030000}"/>
    <cellStyle name="20% - Accent6 2 6 2" xfId="3709" xr:uid="{00000000-0005-0000-0000-000068030000}"/>
    <cellStyle name="20% - Accent6 2 6 2 2" xfId="7933" xr:uid="{00000000-0005-0000-0000-000069030000}"/>
    <cellStyle name="20% - Accent6 2 6 2 2 2" xfId="16362" xr:uid="{1D8485C8-546B-4C11-9D3C-0D9B7091A7BC}"/>
    <cellStyle name="20% - Accent6 2 6 2 3" xfId="12144" xr:uid="{DE9DF448-BB0D-4578-82E4-C5BE06E641AD}"/>
    <cellStyle name="20% - Accent6 2 6 3" xfId="5788" xr:uid="{00000000-0005-0000-0000-00006A030000}"/>
    <cellStyle name="20% - Accent6 2 6 3 2" xfId="14217" xr:uid="{5588D341-641C-4231-BF52-BE29FA09D572}"/>
    <cellStyle name="20% - Accent6 2 6 4" xfId="9999" xr:uid="{9BAF27C7-C39F-4FAF-9095-DB9368E4EA0D}"/>
    <cellStyle name="20% - Accent6 2 7" xfId="1893" xr:uid="{00000000-0005-0000-0000-00006B030000}"/>
    <cellStyle name="20% - Accent6 2 7 2" xfId="4122" xr:uid="{00000000-0005-0000-0000-00006C030000}"/>
    <cellStyle name="20% - Accent6 2 7 2 2" xfId="8346" xr:uid="{00000000-0005-0000-0000-00006D030000}"/>
    <cellStyle name="20% - Accent6 2 7 2 2 2" xfId="16775" xr:uid="{F7059EDE-4D29-406C-8D84-12F8BAE6AF9E}"/>
    <cellStyle name="20% - Accent6 2 7 2 3" xfId="12557" xr:uid="{B6003821-30AD-4FE1-9B79-E1B9C2277198}"/>
    <cellStyle name="20% - Accent6 2 7 3" xfId="6201" xr:uid="{00000000-0005-0000-0000-00006E030000}"/>
    <cellStyle name="20% - Accent6 2 7 3 2" xfId="14630" xr:uid="{AACF042D-292E-4111-9792-FCA306B06A7B}"/>
    <cellStyle name="20% - Accent6 2 7 4" xfId="10412" xr:uid="{46DFE66C-CACF-4A40-82E3-DEEAE756815B}"/>
    <cellStyle name="20% - Accent6 2 8" xfId="2306" xr:uid="{00000000-0005-0000-0000-00006F030000}"/>
    <cellStyle name="20% - Accent6 2 8 2" xfId="6614" xr:uid="{00000000-0005-0000-0000-000070030000}"/>
    <cellStyle name="20% - Accent6 2 8 2 2" xfId="15043" xr:uid="{0F00D9A3-BC9A-4769-B7A8-50EB7013BE77}"/>
    <cellStyle name="20% - Accent6 2 8 3" xfId="10825" xr:uid="{93D167F3-145B-4AA9-991A-258D893AFB9B}"/>
    <cellStyle name="20% - Accent6 2 9" xfId="4548" xr:uid="{00000000-0005-0000-0000-000071030000}"/>
    <cellStyle name="20% - Accent6 2 9 2" xfId="12977" xr:uid="{0322E6B2-C93F-468A-8F35-010E67D48A2B}"/>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2 2" xfId="15541" xr:uid="{4B5453E5-FA83-4D2A-9756-B2D9BC63A0C9}"/>
    <cellStyle name="20% - Accent6 3 2 2 2 3" xfId="11323" xr:uid="{1D8A2BA5-20A9-4331-8551-845875B8B2FF}"/>
    <cellStyle name="20% - Accent6 3 2 2 3" xfId="4967" xr:uid="{00000000-0005-0000-0000-000077030000}"/>
    <cellStyle name="20% - Accent6 3 2 2 3 2" xfId="13396" xr:uid="{67D251EF-18BB-4B78-BFBA-FCD77B9629E9}"/>
    <cellStyle name="20% - Accent6 3 2 2 4" xfId="9178" xr:uid="{30103D90-D564-4BBF-8AED-126ACFC101EF}"/>
    <cellStyle name="20% - Accent6 3 2 3" xfId="1070" xr:uid="{00000000-0005-0000-0000-000078030000}"/>
    <cellStyle name="20% - Accent6 3 2 3 2" xfId="3301" xr:uid="{00000000-0005-0000-0000-000079030000}"/>
    <cellStyle name="20% - Accent6 3 2 3 2 2" xfId="7525" xr:uid="{00000000-0005-0000-0000-00007A030000}"/>
    <cellStyle name="20% - Accent6 3 2 3 2 2 2" xfId="15954" xr:uid="{7C62ADC0-7623-4CDD-A33E-011997438497}"/>
    <cellStyle name="20% - Accent6 3 2 3 2 3" xfId="11736" xr:uid="{BE40F0E9-B069-4494-A96E-ED248025CD0A}"/>
    <cellStyle name="20% - Accent6 3 2 3 3" xfId="5380" xr:uid="{00000000-0005-0000-0000-00007B030000}"/>
    <cellStyle name="20% - Accent6 3 2 3 3 2" xfId="13809" xr:uid="{888A0983-5EC9-4E43-8567-022865B0D6A4}"/>
    <cellStyle name="20% - Accent6 3 2 3 4" xfId="9591" xr:uid="{15E4AFE4-4D9C-4977-BB54-978C5520EE07}"/>
    <cellStyle name="20% - Accent6 3 2 4" xfId="1484" xr:uid="{00000000-0005-0000-0000-00007C030000}"/>
    <cellStyle name="20% - Accent6 3 2 4 2" xfId="3714" xr:uid="{00000000-0005-0000-0000-00007D030000}"/>
    <cellStyle name="20% - Accent6 3 2 4 2 2" xfId="7938" xr:uid="{00000000-0005-0000-0000-00007E030000}"/>
    <cellStyle name="20% - Accent6 3 2 4 2 2 2" xfId="16367" xr:uid="{62C87902-1BB0-4F20-8087-BB48732D6EF3}"/>
    <cellStyle name="20% - Accent6 3 2 4 2 3" xfId="12149" xr:uid="{6DF4A190-2512-488E-BBC9-C921FDC738FF}"/>
    <cellStyle name="20% - Accent6 3 2 4 3" xfId="5793" xr:uid="{00000000-0005-0000-0000-00007F030000}"/>
    <cellStyle name="20% - Accent6 3 2 4 3 2" xfId="14222" xr:uid="{2D78BAF7-1E9C-482C-BC96-74285CE11822}"/>
    <cellStyle name="20% - Accent6 3 2 4 4" xfId="10004" xr:uid="{FB3396C3-78E5-40C6-AE77-D10C581C5178}"/>
    <cellStyle name="20% - Accent6 3 2 5" xfId="1898" xr:uid="{00000000-0005-0000-0000-000080030000}"/>
    <cellStyle name="20% - Accent6 3 2 5 2" xfId="4127" xr:uid="{00000000-0005-0000-0000-000081030000}"/>
    <cellStyle name="20% - Accent6 3 2 5 2 2" xfId="8351" xr:uid="{00000000-0005-0000-0000-000082030000}"/>
    <cellStyle name="20% - Accent6 3 2 5 2 2 2" xfId="16780" xr:uid="{B290ED7F-C5F5-49A7-A438-29F1BBE0CED2}"/>
    <cellStyle name="20% - Accent6 3 2 5 2 3" xfId="12562" xr:uid="{2D355D77-CB35-41E3-AC56-3759DCBCB2D6}"/>
    <cellStyle name="20% - Accent6 3 2 5 3" xfId="6206" xr:uid="{00000000-0005-0000-0000-000083030000}"/>
    <cellStyle name="20% - Accent6 3 2 5 3 2" xfId="14635" xr:uid="{92377867-1A89-49BE-833E-7712A9A1A3DE}"/>
    <cellStyle name="20% - Accent6 3 2 5 4" xfId="10417" xr:uid="{D35D61C0-7DBD-4955-A54A-4A2CA0153D6E}"/>
    <cellStyle name="20% - Accent6 3 2 6" xfId="2311" xr:uid="{00000000-0005-0000-0000-000084030000}"/>
    <cellStyle name="20% - Accent6 3 2 6 2" xfId="6619" xr:uid="{00000000-0005-0000-0000-000085030000}"/>
    <cellStyle name="20% - Accent6 3 2 6 2 2" xfId="15048" xr:uid="{01E72E48-B88A-4D87-A027-AFD523454C7F}"/>
    <cellStyle name="20% - Accent6 3 2 6 3" xfId="10830" xr:uid="{DB21A637-1016-4E01-B573-A5B48E9881F0}"/>
    <cellStyle name="20% - Accent6 3 2 7" xfId="4553" xr:uid="{00000000-0005-0000-0000-000086030000}"/>
    <cellStyle name="20% - Accent6 3 2 7 2" xfId="12982" xr:uid="{E94A105B-BAE0-4EBC-8E67-D489908447BB}"/>
    <cellStyle name="20% - Accent6 3 2 8" xfId="8764" xr:uid="{FE999124-EFB7-4D2D-8278-87CFB84744CE}"/>
    <cellStyle name="20% - Accent6 3 3" xfId="616" xr:uid="{00000000-0005-0000-0000-000087030000}"/>
    <cellStyle name="20% - Accent6 3 3 2" xfId="2887" xr:uid="{00000000-0005-0000-0000-000088030000}"/>
    <cellStyle name="20% - Accent6 3 3 2 2" xfId="7111" xr:uid="{00000000-0005-0000-0000-000089030000}"/>
    <cellStyle name="20% - Accent6 3 3 2 2 2" xfId="15540" xr:uid="{F21CF94C-A03A-400E-8A02-F6A5AB132A98}"/>
    <cellStyle name="20% - Accent6 3 3 2 3" xfId="11322" xr:uid="{4DFD8C23-B14B-4152-ABA1-49B3948DF62E}"/>
    <cellStyle name="20% - Accent6 3 3 3" xfId="4966" xr:uid="{00000000-0005-0000-0000-00008A030000}"/>
    <cellStyle name="20% - Accent6 3 3 3 2" xfId="13395" xr:uid="{EDF38BE9-717B-4FBC-A5B3-2186842A23A0}"/>
    <cellStyle name="20% - Accent6 3 3 4" xfId="9177" xr:uid="{A94FD886-22BC-4179-8997-D0ABE8B2ADC4}"/>
    <cellStyle name="20% - Accent6 3 4" xfId="1069" xr:uid="{00000000-0005-0000-0000-00008B030000}"/>
    <cellStyle name="20% - Accent6 3 4 2" xfId="3300" xr:uid="{00000000-0005-0000-0000-00008C030000}"/>
    <cellStyle name="20% - Accent6 3 4 2 2" xfId="7524" xr:uid="{00000000-0005-0000-0000-00008D030000}"/>
    <cellStyle name="20% - Accent6 3 4 2 2 2" xfId="15953" xr:uid="{C74CDEF5-A5BD-468A-B382-2F2BAB280004}"/>
    <cellStyle name="20% - Accent6 3 4 2 3" xfId="11735" xr:uid="{5264289D-BB95-44C5-B55E-949349434C52}"/>
    <cellStyle name="20% - Accent6 3 4 3" xfId="5379" xr:uid="{00000000-0005-0000-0000-00008E030000}"/>
    <cellStyle name="20% - Accent6 3 4 3 2" xfId="13808" xr:uid="{6C510BA2-AE3D-4EB3-9F85-EE025DE8A740}"/>
    <cellStyle name="20% - Accent6 3 4 4" xfId="9590" xr:uid="{9C192991-03C7-4C6D-B656-A6700CF6A56F}"/>
    <cellStyle name="20% - Accent6 3 5" xfId="1483" xr:uid="{00000000-0005-0000-0000-00008F030000}"/>
    <cellStyle name="20% - Accent6 3 5 2" xfId="3713" xr:uid="{00000000-0005-0000-0000-000090030000}"/>
    <cellStyle name="20% - Accent6 3 5 2 2" xfId="7937" xr:uid="{00000000-0005-0000-0000-000091030000}"/>
    <cellStyle name="20% - Accent6 3 5 2 2 2" xfId="16366" xr:uid="{26403788-E674-4ACD-AABB-FA91C391CAB5}"/>
    <cellStyle name="20% - Accent6 3 5 2 3" xfId="12148" xr:uid="{FFFF4339-A41F-49E9-8D79-1BE68DA6B940}"/>
    <cellStyle name="20% - Accent6 3 5 3" xfId="5792" xr:uid="{00000000-0005-0000-0000-000092030000}"/>
    <cellStyle name="20% - Accent6 3 5 3 2" xfId="14221" xr:uid="{D5B84E90-B339-4425-86BF-53B05CF8ED52}"/>
    <cellStyle name="20% - Accent6 3 5 4" xfId="10003" xr:uid="{41F17AB5-7695-4B57-9535-395657D79D23}"/>
    <cellStyle name="20% - Accent6 3 6" xfId="1897" xr:uid="{00000000-0005-0000-0000-000093030000}"/>
    <cellStyle name="20% - Accent6 3 6 2" xfId="4126" xr:uid="{00000000-0005-0000-0000-000094030000}"/>
    <cellStyle name="20% - Accent6 3 6 2 2" xfId="8350" xr:uid="{00000000-0005-0000-0000-000095030000}"/>
    <cellStyle name="20% - Accent6 3 6 2 2 2" xfId="16779" xr:uid="{22D2C9D1-BCD3-45EA-9A4A-A823D09B7F45}"/>
    <cellStyle name="20% - Accent6 3 6 2 3" xfId="12561" xr:uid="{9387D437-9FFF-47EB-8E69-37A056A28953}"/>
    <cellStyle name="20% - Accent6 3 6 3" xfId="6205" xr:uid="{00000000-0005-0000-0000-000096030000}"/>
    <cellStyle name="20% - Accent6 3 6 3 2" xfId="14634" xr:uid="{A4BB50EC-D9AB-4480-A28B-17A5656FF453}"/>
    <cellStyle name="20% - Accent6 3 6 4" xfId="10416" xr:uid="{5DF89FF8-7F79-4E82-9E5E-4B83B9C70A9F}"/>
    <cellStyle name="20% - Accent6 3 7" xfId="2310" xr:uid="{00000000-0005-0000-0000-000097030000}"/>
    <cellStyle name="20% - Accent6 3 7 2" xfId="6618" xr:uid="{00000000-0005-0000-0000-000098030000}"/>
    <cellStyle name="20% - Accent6 3 7 2 2" xfId="15047" xr:uid="{4594A30D-D851-4E1B-AF6D-3C2910077BED}"/>
    <cellStyle name="20% - Accent6 3 7 3" xfId="10829" xr:uid="{D464E359-362B-4F9F-B74B-4A04A5E0F15D}"/>
    <cellStyle name="20% - Accent6 3 8" xfId="4552" xr:uid="{00000000-0005-0000-0000-000099030000}"/>
    <cellStyle name="20% - Accent6 3 8 2" xfId="12981" xr:uid="{530A4928-B2FB-4363-AA3B-8708D551A794}"/>
    <cellStyle name="20% - Accent6 3 9" xfId="8763" xr:uid="{1B7B8F97-517E-42E9-8CBE-54EA12CE282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2 2" xfId="15542" xr:uid="{92FD6C1C-0C21-4A09-9C48-3A5103A3BDB1}"/>
    <cellStyle name="20% - Accent6 4 2 2 3" xfId="11324" xr:uid="{026E835E-758D-49AB-8CCA-0F90B065E297}"/>
    <cellStyle name="20% - Accent6 4 2 3" xfId="4968" xr:uid="{00000000-0005-0000-0000-00009E030000}"/>
    <cellStyle name="20% - Accent6 4 2 3 2" xfId="13397" xr:uid="{54FFAB26-7BD9-4241-833C-96A92EF5D898}"/>
    <cellStyle name="20% - Accent6 4 2 4" xfId="9179" xr:uid="{2E92ADC4-6DB6-4D18-BE99-1BAD5173A83F}"/>
    <cellStyle name="20% - Accent6 4 3" xfId="1071" xr:uid="{00000000-0005-0000-0000-00009F030000}"/>
    <cellStyle name="20% - Accent6 4 3 2" xfId="3302" xr:uid="{00000000-0005-0000-0000-0000A0030000}"/>
    <cellStyle name="20% - Accent6 4 3 2 2" xfId="7526" xr:uid="{00000000-0005-0000-0000-0000A1030000}"/>
    <cellStyle name="20% - Accent6 4 3 2 2 2" xfId="15955" xr:uid="{D52B8DC2-B786-41C4-9007-CA381C2AAA55}"/>
    <cellStyle name="20% - Accent6 4 3 2 3" xfId="11737" xr:uid="{86D14ED9-4A7B-4B8A-9547-B8EC1F89CC0E}"/>
    <cellStyle name="20% - Accent6 4 3 3" xfId="5381" xr:uid="{00000000-0005-0000-0000-0000A2030000}"/>
    <cellStyle name="20% - Accent6 4 3 3 2" xfId="13810" xr:uid="{09F1E02D-DB96-4D2F-B5D1-03108BAF4178}"/>
    <cellStyle name="20% - Accent6 4 3 4" xfId="9592" xr:uid="{5B9D9481-C7F2-4A6D-B2A7-022A1FC67EC5}"/>
    <cellStyle name="20% - Accent6 4 4" xfId="1485" xr:uid="{00000000-0005-0000-0000-0000A3030000}"/>
    <cellStyle name="20% - Accent6 4 4 2" xfId="3715" xr:uid="{00000000-0005-0000-0000-0000A4030000}"/>
    <cellStyle name="20% - Accent6 4 4 2 2" xfId="7939" xr:uid="{00000000-0005-0000-0000-0000A5030000}"/>
    <cellStyle name="20% - Accent6 4 4 2 2 2" xfId="16368" xr:uid="{C65EA04E-0C64-4DB9-997B-3AC711A7F49D}"/>
    <cellStyle name="20% - Accent6 4 4 2 3" xfId="12150" xr:uid="{875FA5B4-851E-4E21-9802-DE1235C33E52}"/>
    <cellStyle name="20% - Accent6 4 4 3" xfId="5794" xr:uid="{00000000-0005-0000-0000-0000A6030000}"/>
    <cellStyle name="20% - Accent6 4 4 3 2" xfId="14223" xr:uid="{398362E4-17D9-40AC-B463-62F8C3BB9372}"/>
    <cellStyle name="20% - Accent6 4 4 4" xfId="10005" xr:uid="{ED853554-1927-4698-A875-861C830416B5}"/>
    <cellStyle name="20% - Accent6 4 5" xfId="1899" xr:uid="{00000000-0005-0000-0000-0000A7030000}"/>
    <cellStyle name="20% - Accent6 4 5 2" xfId="4128" xr:uid="{00000000-0005-0000-0000-0000A8030000}"/>
    <cellStyle name="20% - Accent6 4 5 2 2" xfId="8352" xr:uid="{00000000-0005-0000-0000-0000A9030000}"/>
    <cellStyle name="20% - Accent6 4 5 2 2 2" xfId="16781" xr:uid="{D75F9A6B-D7D5-43BF-9554-01FB184AC65E}"/>
    <cellStyle name="20% - Accent6 4 5 2 3" xfId="12563" xr:uid="{CDA04415-F678-42EE-ABFB-C172A327273B}"/>
    <cellStyle name="20% - Accent6 4 5 3" xfId="6207" xr:uid="{00000000-0005-0000-0000-0000AA030000}"/>
    <cellStyle name="20% - Accent6 4 5 3 2" xfId="14636" xr:uid="{38C16868-AAA0-4CA7-8E19-4424AAC8C326}"/>
    <cellStyle name="20% - Accent6 4 5 4" xfId="10418" xr:uid="{E09FA992-BCAB-4D0E-9305-B0891AE6C329}"/>
    <cellStyle name="20% - Accent6 4 6" xfId="2312" xr:uid="{00000000-0005-0000-0000-0000AB030000}"/>
    <cellStyle name="20% - Accent6 4 6 2" xfId="6620" xr:uid="{00000000-0005-0000-0000-0000AC030000}"/>
    <cellStyle name="20% - Accent6 4 6 2 2" xfId="15049" xr:uid="{8FA81296-2FBA-4552-B993-C16C97BB801A}"/>
    <cellStyle name="20% - Accent6 4 6 3" xfId="10831" xr:uid="{6389C85D-1E46-4E4D-99A6-58EBC0E5E815}"/>
    <cellStyle name="20% - Accent6 4 7" xfId="4554" xr:uid="{00000000-0005-0000-0000-0000AD030000}"/>
    <cellStyle name="20% - Accent6 4 7 2" xfId="12983" xr:uid="{64795B82-C7FB-4DDE-A1D9-7A78FBA60777}"/>
    <cellStyle name="20% - Accent6 4 8" xfId="8765" xr:uid="{A15DB1FB-F1CF-415C-9C6D-CF103B9763BD}"/>
    <cellStyle name="20% - Accent6 5" xfId="611" xr:uid="{00000000-0005-0000-0000-0000AE030000}"/>
    <cellStyle name="20% - Accent6 5 2" xfId="2882" xr:uid="{00000000-0005-0000-0000-0000AF030000}"/>
    <cellStyle name="20% - Accent6 5 2 2" xfId="7106" xr:uid="{00000000-0005-0000-0000-0000B0030000}"/>
    <cellStyle name="20% - Accent6 5 2 2 2" xfId="15535" xr:uid="{EE7A9D87-9593-4E96-8501-62BB8528DD52}"/>
    <cellStyle name="20% - Accent6 5 2 3" xfId="11317" xr:uid="{A5D8B54C-EC7D-4B07-AB80-282F6CDBF0E6}"/>
    <cellStyle name="20% - Accent6 5 3" xfId="4961" xr:uid="{00000000-0005-0000-0000-0000B1030000}"/>
    <cellStyle name="20% - Accent6 5 3 2" xfId="13390" xr:uid="{335C3888-C5BE-489A-9F1C-616F13AAEF97}"/>
    <cellStyle name="20% - Accent6 5 4" xfId="9172" xr:uid="{7B035BB5-33FE-4A33-97B5-6CB13DA2848B}"/>
    <cellStyle name="20% - Accent6 6" xfId="1064" xr:uid="{00000000-0005-0000-0000-0000B2030000}"/>
    <cellStyle name="20% - Accent6 6 2" xfId="3295" xr:uid="{00000000-0005-0000-0000-0000B3030000}"/>
    <cellStyle name="20% - Accent6 6 2 2" xfId="7519" xr:uid="{00000000-0005-0000-0000-0000B4030000}"/>
    <cellStyle name="20% - Accent6 6 2 2 2" xfId="15948" xr:uid="{B4F4EF7D-F365-4DA5-8028-18E6957FDE25}"/>
    <cellStyle name="20% - Accent6 6 2 3" xfId="11730" xr:uid="{848C3E35-475E-4057-9BD6-356E7277329C}"/>
    <cellStyle name="20% - Accent6 6 3" xfId="5374" xr:uid="{00000000-0005-0000-0000-0000B5030000}"/>
    <cellStyle name="20% - Accent6 6 3 2" xfId="13803" xr:uid="{53866283-8171-4EF3-9E96-5DBFA14F121D}"/>
    <cellStyle name="20% - Accent6 6 4" xfId="9585" xr:uid="{56204926-CA69-4CDB-9A42-A07A71B920E2}"/>
    <cellStyle name="20% - Accent6 7" xfId="1478" xr:uid="{00000000-0005-0000-0000-0000B6030000}"/>
    <cellStyle name="20% - Accent6 7 2" xfId="3708" xr:uid="{00000000-0005-0000-0000-0000B7030000}"/>
    <cellStyle name="20% - Accent6 7 2 2" xfId="7932" xr:uid="{00000000-0005-0000-0000-0000B8030000}"/>
    <cellStyle name="20% - Accent6 7 2 2 2" xfId="16361" xr:uid="{2C3DA71B-18FF-4178-A5DA-2A861F954C09}"/>
    <cellStyle name="20% - Accent6 7 2 3" xfId="12143" xr:uid="{06413DEE-418A-445F-BADC-379FF57953CE}"/>
    <cellStyle name="20% - Accent6 7 3" xfId="5787" xr:uid="{00000000-0005-0000-0000-0000B9030000}"/>
    <cellStyle name="20% - Accent6 7 3 2" xfId="14216" xr:uid="{CC7E5AB2-DE08-4ACA-B6AF-778FC1EE04F6}"/>
    <cellStyle name="20% - Accent6 7 4" xfId="9998" xr:uid="{543F82E2-4280-4D1B-96FB-C860DB6B4883}"/>
    <cellStyle name="20% - Accent6 8" xfId="1892" xr:uid="{00000000-0005-0000-0000-0000BA030000}"/>
    <cellStyle name="20% - Accent6 8 2" xfId="4121" xr:uid="{00000000-0005-0000-0000-0000BB030000}"/>
    <cellStyle name="20% - Accent6 8 2 2" xfId="8345" xr:uid="{00000000-0005-0000-0000-0000BC030000}"/>
    <cellStyle name="20% - Accent6 8 2 2 2" xfId="16774" xr:uid="{2BB64590-9F43-43E7-8B86-C14069E4A5D6}"/>
    <cellStyle name="20% - Accent6 8 2 3" xfId="12556" xr:uid="{E3B5C59D-0F93-4E91-A735-22E366AA2494}"/>
    <cellStyle name="20% - Accent6 8 3" xfId="6200" xr:uid="{00000000-0005-0000-0000-0000BD030000}"/>
    <cellStyle name="20% - Accent6 8 3 2" xfId="14629" xr:uid="{00A683EC-CA9A-4C97-AB48-840A821B168D}"/>
    <cellStyle name="20% - Accent6 8 4" xfId="10411" xr:uid="{33DF7EC6-CED4-42DA-8435-1BA4CAF42C98}"/>
    <cellStyle name="20% - Accent6 9" xfId="2305" xr:uid="{00000000-0005-0000-0000-0000BE030000}"/>
    <cellStyle name="20% - Accent6 9 2" xfId="6613" xr:uid="{00000000-0005-0000-0000-0000BF030000}"/>
    <cellStyle name="20% - Accent6 9 2 2" xfId="15042" xr:uid="{262D314E-283A-49A9-9212-56F5BE4CA987}"/>
    <cellStyle name="20% - Accent6 9 3" xfId="10824" xr:uid="{71729DC6-2A5C-44D3-971A-336DEA513A86}"/>
    <cellStyle name="40% - Accent1" xfId="49" builtinId="31" customBuiltin="1"/>
    <cellStyle name="40% - Accent1 10" xfId="4555" xr:uid="{00000000-0005-0000-0000-0000C1030000}"/>
    <cellStyle name="40% - Accent1 10 2" xfId="12984" xr:uid="{C812B6F5-E36D-42B4-91A8-604327F946F9}"/>
    <cellStyle name="40% - Accent1 11" xfId="8766" xr:uid="{BFC1A1FC-0F0E-4D50-A464-7DF87CD9167D}"/>
    <cellStyle name="40% - Accent1 2" xfId="50" xr:uid="{00000000-0005-0000-0000-0000C2030000}"/>
    <cellStyle name="40% - Accent1 2 10" xfId="8767" xr:uid="{A40CB6B2-9C35-4DF8-B353-18DEDDC53355}"/>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2 2" xfId="15546" xr:uid="{7C2EF746-2170-4988-868B-D35365064AFF}"/>
    <cellStyle name="40% - Accent1 2 2 2 2 2 3" xfId="11328" xr:uid="{AB6F4FCA-92FB-47A3-9D7A-FD2B35B427B5}"/>
    <cellStyle name="40% - Accent1 2 2 2 2 3" xfId="4972" xr:uid="{00000000-0005-0000-0000-0000C8030000}"/>
    <cellStyle name="40% - Accent1 2 2 2 2 3 2" xfId="13401" xr:uid="{69CF6953-6430-4750-B65E-3C0CA456F16E}"/>
    <cellStyle name="40% - Accent1 2 2 2 2 4" xfId="9183" xr:uid="{08702440-0F5C-489E-B495-5C7A467FAB3B}"/>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2 2" xfId="15959" xr:uid="{5B11B5FD-455A-4F08-BA54-6185953CF444}"/>
    <cellStyle name="40% - Accent1 2 2 2 3 2 3" xfId="11741" xr:uid="{16C8406B-D396-4305-A4AE-3062B82FCF09}"/>
    <cellStyle name="40% - Accent1 2 2 2 3 3" xfId="5385" xr:uid="{00000000-0005-0000-0000-0000CC030000}"/>
    <cellStyle name="40% - Accent1 2 2 2 3 3 2" xfId="13814" xr:uid="{2CF35A30-8EC1-4161-B88A-E3E242AAC213}"/>
    <cellStyle name="40% - Accent1 2 2 2 3 4" xfId="9596" xr:uid="{FED8740F-1A27-4BF7-8A50-06AD4BAF55BF}"/>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2 2" xfId="16372" xr:uid="{0241BF69-02E8-46D0-9C1C-412375891A34}"/>
    <cellStyle name="40% - Accent1 2 2 2 4 2 3" xfId="12154" xr:uid="{9993D216-7D52-41F8-8966-B81074BF65F8}"/>
    <cellStyle name="40% - Accent1 2 2 2 4 3" xfId="5798" xr:uid="{00000000-0005-0000-0000-0000D0030000}"/>
    <cellStyle name="40% - Accent1 2 2 2 4 3 2" xfId="14227" xr:uid="{64105AC1-53A7-4A25-9325-8A63D60ABD92}"/>
    <cellStyle name="40% - Accent1 2 2 2 4 4" xfId="10009" xr:uid="{1706A84D-BCEA-435B-8BE9-206E4A3ABFB7}"/>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2 2" xfId="16785" xr:uid="{2875BFB3-8DB5-4F6C-B78A-5D85BE07384D}"/>
    <cellStyle name="40% - Accent1 2 2 2 5 2 3" xfId="12567" xr:uid="{2200CFE5-8D94-4E68-8737-6FB80015C511}"/>
    <cellStyle name="40% - Accent1 2 2 2 5 3" xfId="6211" xr:uid="{00000000-0005-0000-0000-0000D4030000}"/>
    <cellStyle name="40% - Accent1 2 2 2 5 3 2" xfId="14640" xr:uid="{76F5CC0E-A948-4CAF-8B46-743465491FED}"/>
    <cellStyle name="40% - Accent1 2 2 2 5 4" xfId="10422" xr:uid="{76483708-9BC8-4EE1-9C63-98F7AF559EE8}"/>
    <cellStyle name="40% - Accent1 2 2 2 6" xfId="2316" xr:uid="{00000000-0005-0000-0000-0000D5030000}"/>
    <cellStyle name="40% - Accent1 2 2 2 6 2" xfId="6624" xr:uid="{00000000-0005-0000-0000-0000D6030000}"/>
    <cellStyle name="40% - Accent1 2 2 2 6 2 2" xfId="15053" xr:uid="{AE5AD964-546D-4FC6-8561-C175901C2321}"/>
    <cellStyle name="40% - Accent1 2 2 2 6 3" xfId="10835" xr:uid="{A7C4716F-6D7C-48E0-A3EF-EF3052CDE65F}"/>
    <cellStyle name="40% - Accent1 2 2 2 7" xfId="4558" xr:uid="{00000000-0005-0000-0000-0000D7030000}"/>
    <cellStyle name="40% - Accent1 2 2 2 7 2" xfId="12987" xr:uid="{33BCF327-C046-45DF-A6C4-68E5BA1F93CF}"/>
    <cellStyle name="40% - Accent1 2 2 2 8" xfId="8769" xr:uid="{CFB79DCE-B498-415B-82A7-CC2594CB184B}"/>
    <cellStyle name="40% - Accent1 2 2 3" xfId="621" xr:uid="{00000000-0005-0000-0000-0000D8030000}"/>
    <cellStyle name="40% - Accent1 2 2 3 2" xfId="2892" xr:uid="{00000000-0005-0000-0000-0000D9030000}"/>
    <cellStyle name="40% - Accent1 2 2 3 2 2" xfId="7116" xr:uid="{00000000-0005-0000-0000-0000DA030000}"/>
    <cellStyle name="40% - Accent1 2 2 3 2 2 2" xfId="15545" xr:uid="{F39FEB18-CF63-4341-A4DC-A1EBF5C8983B}"/>
    <cellStyle name="40% - Accent1 2 2 3 2 3" xfId="11327" xr:uid="{0AF8BEAE-E938-499A-BF7B-AD6F305C6C34}"/>
    <cellStyle name="40% - Accent1 2 2 3 3" xfId="4971" xr:uid="{00000000-0005-0000-0000-0000DB030000}"/>
    <cellStyle name="40% - Accent1 2 2 3 3 2" xfId="13400" xr:uid="{E5416654-DF3E-4DA0-9C6F-2636FB49CD45}"/>
    <cellStyle name="40% - Accent1 2 2 3 4" xfId="9182" xr:uid="{2AFB039D-B0DE-4954-9F60-65351674E1B8}"/>
    <cellStyle name="40% - Accent1 2 2 4" xfId="1074" xr:uid="{00000000-0005-0000-0000-0000DC030000}"/>
    <cellStyle name="40% - Accent1 2 2 4 2" xfId="3305" xr:uid="{00000000-0005-0000-0000-0000DD030000}"/>
    <cellStyle name="40% - Accent1 2 2 4 2 2" xfId="7529" xr:uid="{00000000-0005-0000-0000-0000DE030000}"/>
    <cellStyle name="40% - Accent1 2 2 4 2 2 2" xfId="15958" xr:uid="{32959F8F-1CDF-4F79-920C-E12B665722CF}"/>
    <cellStyle name="40% - Accent1 2 2 4 2 3" xfId="11740" xr:uid="{76BE702B-42A5-482A-BFCC-580A3729ADD3}"/>
    <cellStyle name="40% - Accent1 2 2 4 3" xfId="5384" xr:uid="{00000000-0005-0000-0000-0000DF030000}"/>
    <cellStyle name="40% - Accent1 2 2 4 3 2" xfId="13813" xr:uid="{F90A8C6F-32E3-4057-9FB0-16ABB665D94C}"/>
    <cellStyle name="40% - Accent1 2 2 4 4" xfId="9595" xr:uid="{3C0776D9-2032-41C7-B48D-52C3AAF4118E}"/>
    <cellStyle name="40% - Accent1 2 2 5" xfId="1488" xr:uid="{00000000-0005-0000-0000-0000E0030000}"/>
    <cellStyle name="40% - Accent1 2 2 5 2" xfId="3718" xr:uid="{00000000-0005-0000-0000-0000E1030000}"/>
    <cellStyle name="40% - Accent1 2 2 5 2 2" xfId="7942" xr:uid="{00000000-0005-0000-0000-0000E2030000}"/>
    <cellStyle name="40% - Accent1 2 2 5 2 2 2" xfId="16371" xr:uid="{4A80D17C-B230-4E18-B834-5AE54010D357}"/>
    <cellStyle name="40% - Accent1 2 2 5 2 3" xfId="12153" xr:uid="{2D4DDF2E-A9ED-4B3C-93B3-8F4B7F9B6DC2}"/>
    <cellStyle name="40% - Accent1 2 2 5 3" xfId="5797" xr:uid="{00000000-0005-0000-0000-0000E3030000}"/>
    <cellStyle name="40% - Accent1 2 2 5 3 2" xfId="14226" xr:uid="{7E515064-6B9B-45BD-9BD3-B4E7DE535A16}"/>
    <cellStyle name="40% - Accent1 2 2 5 4" xfId="10008" xr:uid="{A0528BB8-2D83-453D-9317-65D3BCEB508B}"/>
    <cellStyle name="40% - Accent1 2 2 6" xfId="1902" xr:uid="{00000000-0005-0000-0000-0000E4030000}"/>
    <cellStyle name="40% - Accent1 2 2 6 2" xfId="4131" xr:uid="{00000000-0005-0000-0000-0000E5030000}"/>
    <cellStyle name="40% - Accent1 2 2 6 2 2" xfId="8355" xr:uid="{00000000-0005-0000-0000-0000E6030000}"/>
    <cellStyle name="40% - Accent1 2 2 6 2 2 2" xfId="16784" xr:uid="{0A1BF6F3-1343-439D-BBF1-89F076DC7C30}"/>
    <cellStyle name="40% - Accent1 2 2 6 2 3" xfId="12566" xr:uid="{5C56F4DA-7D1B-4A44-975B-74038AB1C230}"/>
    <cellStyle name="40% - Accent1 2 2 6 3" xfId="6210" xr:uid="{00000000-0005-0000-0000-0000E7030000}"/>
    <cellStyle name="40% - Accent1 2 2 6 3 2" xfId="14639" xr:uid="{04AE9CD3-936D-4B96-B051-5C0F7A52A8E5}"/>
    <cellStyle name="40% - Accent1 2 2 6 4" xfId="10421" xr:uid="{763D5484-4251-4747-AF91-14673E0D5920}"/>
    <cellStyle name="40% - Accent1 2 2 7" xfId="2315" xr:uid="{00000000-0005-0000-0000-0000E8030000}"/>
    <cellStyle name="40% - Accent1 2 2 7 2" xfId="6623" xr:uid="{00000000-0005-0000-0000-0000E9030000}"/>
    <cellStyle name="40% - Accent1 2 2 7 2 2" xfId="15052" xr:uid="{427CED49-4681-4CB0-ABDF-59BCEAEBF49C}"/>
    <cellStyle name="40% - Accent1 2 2 7 3" xfId="10834" xr:uid="{1ED3A44F-2949-434A-A783-F4AAD2EC363C}"/>
    <cellStyle name="40% - Accent1 2 2 8" xfId="4557" xr:uid="{00000000-0005-0000-0000-0000EA030000}"/>
    <cellStyle name="40% - Accent1 2 2 8 2" xfId="12986" xr:uid="{3CB1C14C-404F-4730-9B28-8B1CFEE3127F}"/>
    <cellStyle name="40% - Accent1 2 2 9" xfId="8768" xr:uid="{DB4DD953-1667-4670-9725-53D6E7A5D5B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2 2" xfId="15547" xr:uid="{28F513B4-D824-472C-A050-5E8E9195E872}"/>
    <cellStyle name="40% - Accent1 2 3 2 2 3" xfId="11329" xr:uid="{7E2501E3-C73A-4BF4-BCE6-9382257220BB}"/>
    <cellStyle name="40% - Accent1 2 3 2 3" xfId="4973" xr:uid="{00000000-0005-0000-0000-0000EF030000}"/>
    <cellStyle name="40% - Accent1 2 3 2 3 2" xfId="13402" xr:uid="{74B220A1-D6C6-4D99-8BA9-87749B4B6781}"/>
    <cellStyle name="40% - Accent1 2 3 2 4" xfId="9184" xr:uid="{B9D59166-64A5-45A5-A7C3-BB682124514C}"/>
    <cellStyle name="40% - Accent1 2 3 3" xfId="1076" xr:uid="{00000000-0005-0000-0000-0000F0030000}"/>
    <cellStyle name="40% - Accent1 2 3 3 2" xfId="3307" xr:uid="{00000000-0005-0000-0000-0000F1030000}"/>
    <cellStyle name="40% - Accent1 2 3 3 2 2" xfId="7531" xr:uid="{00000000-0005-0000-0000-0000F2030000}"/>
    <cellStyle name="40% - Accent1 2 3 3 2 2 2" xfId="15960" xr:uid="{53DE08E7-0E4D-4866-9A9E-E9DDFB34F54F}"/>
    <cellStyle name="40% - Accent1 2 3 3 2 3" xfId="11742" xr:uid="{D5EAA081-4349-4BC5-8673-14C10FE0C175}"/>
    <cellStyle name="40% - Accent1 2 3 3 3" xfId="5386" xr:uid="{00000000-0005-0000-0000-0000F3030000}"/>
    <cellStyle name="40% - Accent1 2 3 3 3 2" xfId="13815" xr:uid="{104E127B-964C-49F6-80F9-EC6ECF1CDAF1}"/>
    <cellStyle name="40% - Accent1 2 3 3 4" xfId="9597" xr:uid="{4CF72635-04A5-487E-86EA-A6BB0B7F3585}"/>
    <cellStyle name="40% - Accent1 2 3 4" xfId="1490" xr:uid="{00000000-0005-0000-0000-0000F4030000}"/>
    <cellStyle name="40% - Accent1 2 3 4 2" xfId="3720" xr:uid="{00000000-0005-0000-0000-0000F5030000}"/>
    <cellStyle name="40% - Accent1 2 3 4 2 2" xfId="7944" xr:uid="{00000000-0005-0000-0000-0000F6030000}"/>
    <cellStyle name="40% - Accent1 2 3 4 2 2 2" xfId="16373" xr:uid="{8352C6FC-2D3F-4F84-B083-A601568FE4E1}"/>
    <cellStyle name="40% - Accent1 2 3 4 2 3" xfId="12155" xr:uid="{B31780BD-4D17-42F6-86CC-FD661D807F5E}"/>
    <cellStyle name="40% - Accent1 2 3 4 3" xfId="5799" xr:uid="{00000000-0005-0000-0000-0000F7030000}"/>
    <cellStyle name="40% - Accent1 2 3 4 3 2" xfId="14228" xr:uid="{33897E6C-3D7A-41CC-B9D0-162D0E073BEA}"/>
    <cellStyle name="40% - Accent1 2 3 4 4" xfId="10010" xr:uid="{67302FD2-FCC4-4E53-B67E-E3E1C820AF6E}"/>
    <cellStyle name="40% - Accent1 2 3 5" xfId="1904" xr:uid="{00000000-0005-0000-0000-0000F8030000}"/>
    <cellStyle name="40% - Accent1 2 3 5 2" xfId="4133" xr:uid="{00000000-0005-0000-0000-0000F9030000}"/>
    <cellStyle name="40% - Accent1 2 3 5 2 2" xfId="8357" xr:uid="{00000000-0005-0000-0000-0000FA030000}"/>
    <cellStyle name="40% - Accent1 2 3 5 2 2 2" xfId="16786" xr:uid="{497AF550-DC2D-46A1-95E2-CDA3A7777469}"/>
    <cellStyle name="40% - Accent1 2 3 5 2 3" xfId="12568" xr:uid="{7935A74F-3AB4-48DD-97A0-D569EE875D1A}"/>
    <cellStyle name="40% - Accent1 2 3 5 3" xfId="6212" xr:uid="{00000000-0005-0000-0000-0000FB030000}"/>
    <cellStyle name="40% - Accent1 2 3 5 3 2" xfId="14641" xr:uid="{F8120D5E-16A6-4B52-91D6-4403CB2EC26D}"/>
    <cellStyle name="40% - Accent1 2 3 5 4" xfId="10423" xr:uid="{F23F9C4F-C36B-4D0C-B6BC-40D66DBC756D}"/>
    <cellStyle name="40% - Accent1 2 3 6" xfId="2317" xr:uid="{00000000-0005-0000-0000-0000FC030000}"/>
    <cellStyle name="40% - Accent1 2 3 6 2" xfId="6625" xr:uid="{00000000-0005-0000-0000-0000FD030000}"/>
    <cellStyle name="40% - Accent1 2 3 6 2 2" xfId="15054" xr:uid="{5B5D7580-4B0F-48FA-A8D2-7AAD8E97B506}"/>
    <cellStyle name="40% - Accent1 2 3 6 3" xfId="10836" xr:uid="{255B3B2B-8CD3-4F23-B989-F0399D5293DF}"/>
    <cellStyle name="40% - Accent1 2 3 7" xfId="4559" xr:uid="{00000000-0005-0000-0000-0000FE030000}"/>
    <cellStyle name="40% - Accent1 2 3 7 2" xfId="12988" xr:uid="{4A663E81-98BF-435A-AB05-5DB352E5A14F}"/>
    <cellStyle name="40% - Accent1 2 3 8" xfId="8770" xr:uid="{D47AF3D0-D88A-4563-9CB8-9A3DFE7D743B}"/>
    <cellStyle name="40% - Accent1 2 4" xfId="620" xr:uid="{00000000-0005-0000-0000-0000FF030000}"/>
    <cellStyle name="40% - Accent1 2 4 2" xfId="2891" xr:uid="{00000000-0005-0000-0000-000000040000}"/>
    <cellStyle name="40% - Accent1 2 4 2 2" xfId="7115" xr:uid="{00000000-0005-0000-0000-000001040000}"/>
    <cellStyle name="40% - Accent1 2 4 2 2 2" xfId="15544" xr:uid="{4A338441-266E-4C51-BF9A-86BA82562B1D}"/>
    <cellStyle name="40% - Accent1 2 4 2 3" xfId="11326" xr:uid="{03F0D9E5-BE3F-4B89-9E54-F45178F30DFF}"/>
    <cellStyle name="40% - Accent1 2 4 3" xfId="4970" xr:uid="{00000000-0005-0000-0000-000002040000}"/>
    <cellStyle name="40% - Accent1 2 4 3 2" xfId="13399" xr:uid="{51C3C3C6-F86A-4F3D-A4F5-F732454CCA39}"/>
    <cellStyle name="40% - Accent1 2 4 4" xfId="9181" xr:uid="{626EACA8-E488-4700-A282-BCE409CC6484}"/>
    <cellStyle name="40% - Accent1 2 5" xfId="1073" xr:uid="{00000000-0005-0000-0000-000003040000}"/>
    <cellStyle name="40% - Accent1 2 5 2" xfId="3304" xr:uid="{00000000-0005-0000-0000-000004040000}"/>
    <cellStyle name="40% - Accent1 2 5 2 2" xfId="7528" xr:uid="{00000000-0005-0000-0000-000005040000}"/>
    <cellStyle name="40% - Accent1 2 5 2 2 2" xfId="15957" xr:uid="{161BEF14-EEB6-49B8-AA05-784C4EBAB145}"/>
    <cellStyle name="40% - Accent1 2 5 2 3" xfId="11739" xr:uid="{382F14DA-6136-41C2-AE3E-8A1976B9243C}"/>
    <cellStyle name="40% - Accent1 2 5 3" xfId="5383" xr:uid="{00000000-0005-0000-0000-000006040000}"/>
    <cellStyle name="40% - Accent1 2 5 3 2" xfId="13812" xr:uid="{8FF01D62-89AA-4BC6-BC4D-2E2AC9092233}"/>
    <cellStyle name="40% - Accent1 2 5 4" xfId="9594" xr:uid="{741CE718-4F89-449B-B237-88A0079EFBDB}"/>
    <cellStyle name="40% - Accent1 2 6" xfId="1487" xr:uid="{00000000-0005-0000-0000-000007040000}"/>
    <cellStyle name="40% - Accent1 2 6 2" xfId="3717" xr:uid="{00000000-0005-0000-0000-000008040000}"/>
    <cellStyle name="40% - Accent1 2 6 2 2" xfId="7941" xr:uid="{00000000-0005-0000-0000-000009040000}"/>
    <cellStyle name="40% - Accent1 2 6 2 2 2" xfId="16370" xr:uid="{4D27C1BA-6692-4EAA-86F3-F3DD084D2B63}"/>
    <cellStyle name="40% - Accent1 2 6 2 3" xfId="12152" xr:uid="{44B7FA76-BB95-43CF-9642-A1A2D3260DEF}"/>
    <cellStyle name="40% - Accent1 2 6 3" xfId="5796" xr:uid="{00000000-0005-0000-0000-00000A040000}"/>
    <cellStyle name="40% - Accent1 2 6 3 2" xfId="14225" xr:uid="{7D872341-6A72-48FE-A5D1-1EF87DEC50BC}"/>
    <cellStyle name="40% - Accent1 2 6 4" xfId="10007" xr:uid="{9220363D-C43F-42EE-89A3-EA4FB06C16AD}"/>
    <cellStyle name="40% - Accent1 2 7" xfId="1901" xr:uid="{00000000-0005-0000-0000-00000B040000}"/>
    <cellStyle name="40% - Accent1 2 7 2" xfId="4130" xr:uid="{00000000-0005-0000-0000-00000C040000}"/>
    <cellStyle name="40% - Accent1 2 7 2 2" xfId="8354" xr:uid="{00000000-0005-0000-0000-00000D040000}"/>
    <cellStyle name="40% - Accent1 2 7 2 2 2" xfId="16783" xr:uid="{CE44D0A1-B808-4FB1-9B26-CD9E6BDD578A}"/>
    <cellStyle name="40% - Accent1 2 7 2 3" xfId="12565" xr:uid="{1635D291-5C1F-40BA-8B8C-1A9AEFC68776}"/>
    <cellStyle name="40% - Accent1 2 7 3" xfId="6209" xr:uid="{00000000-0005-0000-0000-00000E040000}"/>
    <cellStyle name="40% - Accent1 2 7 3 2" xfId="14638" xr:uid="{C3B75805-BC4D-41A0-AB66-3474C91FDEAA}"/>
    <cellStyle name="40% - Accent1 2 7 4" xfId="10420" xr:uid="{F0335422-C052-4D8F-A9BC-909A2DDEF2BB}"/>
    <cellStyle name="40% - Accent1 2 8" xfId="2314" xr:uid="{00000000-0005-0000-0000-00000F040000}"/>
    <cellStyle name="40% - Accent1 2 8 2" xfId="6622" xr:uid="{00000000-0005-0000-0000-000010040000}"/>
    <cellStyle name="40% - Accent1 2 8 2 2" xfId="15051" xr:uid="{5B0CD061-E727-41CA-8D03-34551C40A006}"/>
    <cellStyle name="40% - Accent1 2 8 3" xfId="10833" xr:uid="{81E801D2-1B4D-4C04-A79A-A8F54A697759}"/>
    <cellStyle name="40% - Accent1 2 9" xfId="4556" xr:uid="{00000000-0005-0000-0000-000011040000}"/>
    <cellStyle name="40% - Accent1 2 9 2" xfId="12985" xr:uid="{2EEAB7A7-D8B6-49FA-B14C-A379BB02BBFC}"/>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2 2" xfId="15549" xr:uid="{F3D374A7-AAB6-4D3C-AECC-A21FAF147A0A}"/>
    <cellStyle name="40% - Accent1 3 2 2 2 3" xfId="11331" xr:uid="{7B55089C-77E2-42CE-B209-B8D3BF2709AB}"/>
    <cellStyle name="40% - Accent1 3 2 2 3" xfId="4975" xr:uid="{00000000-0005-0000-0000-000017040000}"/>
    <cellStyle name="40% - Accent1 3 2 2 3 2" xfId="13404" xr:uid="{31A421D5-7647-4AB9-B6EC-891146BC73A4}"/>
    <cellStyle name="40% - Accent1 3 2 2 4" xfId="9186" xr:uid="{3BD426AB-98D2-4F61-9074-4148A2F2CC52}"/>
    <cellStyle name="40% - Accent1 3 2 3" xfId="1078" xr:uid="{00000000-0005-0000-0000-000018040000}"/>
    <cellStyle name="40% - Accent1 3 2 3 2" xfId="3309" xr:uid="{00000000-0005-0000-0000-000019040000}"/>
    <cellStyle name="40% - Accent1 3 2 3 2 2" xfId="7533" xr:uid="{00000000-0005-0000-0000-00001A040000}"/>
    <cellStyle name="40% - Accent1 3 2 3 2 2 2" xfId="15962" xr:uid="{1440AE1B-3263-485C-88DA-02BE36E31037}"/>
    <cellStyle name="40% - Accent1 3 2 3 2 3" xfId="11744" xr:uid="{837D2F55-AC85-42C1-A4D9-8E248C8EE41C}"/>
    <cellStyle name="40% - Accent1 3 2 3 3" xfId="5388" xr:uid="{00000000-0005-0000-0000-00001B040000}"/>
    <cellStyle name="40% - Accent1 3 2 3 3 2" xfId="13817" xr:uid="{8E05D6C4-36E3-442B-B29C-96003EF94837}"/>
    <cellStyle name="40% - Accent1 3 2 3 4" xfId="9599" xr:uid="{048FFE03-EB16-44AE-82CE-D4C0D8518150}"/>
    <cellStyle name="40% - Accent1 3 2 4" xfId="1492" xr:uid="{00000000-0005-0000-0000-00001C040000}"/>
    <cellStyle name="40% - Accent1 3 2 4 2" xfId="3722" xr:uid="{00000000-0005-0000-0000-00001D040000}"/>
    <cellStyle name="40% - Accent1 3 2 4 2 2" xfId="7946" xr:uid="{00000000-0005-0000-0000-00001E040000}"/>
    <cellStyle name="40% - Accent1 3 2 4 2 2 2" xfId="16375" xr:uid="{6F3A6414-A524-42AA-8593-374115680B58}"/>
    <cellStyle name="40% - Accent1 3 2 4 2 3" xfId="12157" xr:uid="{F3D7FB4C-9C79-4DFF-8749-587B59FB91D2}"/>
    <cellStyle name="40% - Accent1 3 2 4 3" xfId="5801" xr:uid="{00000000-0005-0000-0000-00001F040000}"/>
    <cellStyle name="40% - Accent1 3 2 4 3 2" xfId="14230" xr:uid="{FE8E5860-AB6D-4E70-8380-3FAD1737BA2A}"/>
    <cellStyle name="40% - Accent1 3 2 4 4" xfId="10012" xr:uid="{3284761E-1C18-4B82-85E3-BC438EC717FF}"/>
    <cellStyle name="40% - Accent1 3 2 5" xfId="1906" xr:uid="{00000000-0005-0000-0000-000020040000}"/>
    <cellStyle name="40% - Accent1 3 2 5 2" xfId="4135" xr:uid="{00000000-0005-0000-0000-000021040000}"/>
    <cellStyle name="40% - Accent1 3 2 5 2 2" xfId="8359" xr:uid="{00000000-0005-0000-0000-000022040000}"/>
    <cellStyle name="40% - Accent1 3 2 5 2 2 2" xfId="16788" xr:uid="{6A19AFD0-88DC-4372-944E-77C99EE0068D}"/>
    <cellStyle name="40% - Accent1 3 2 5 2 3" xfId="12570" xr:uid="{4A9B53EC-BE30-49DB-99FB-756D8E36D764}"/>
    <cellStyle name="40% - Accent1 3 2 5 3" xfId="6214" xr:uid="{00000000-0005-0000-0000-000023040000}"/>
    <cellStyle name="40% - Accent1 3 2 5 3 2" xfId="14643" xr:uid="{28A839C7-045D-4E12-BADC-2D46C1AB4E0A}"/>
    <cellStyle name="40% - Accent1 3 2 5 4" xfId="10425" xr:uid="{3CAD4EFD-2522-499B-AA5E-719870EC3053}"/>
    <cellStyle name="40% - Accent1 3 2 6" xfId="2319" xr:uid="{00000000-0005-0000-0000-000024040000}"/>
    <cellStyle name="40% - Accent1 3 2 6 2" xfId="6627" xr:uid="{00000000-0005-0000-0000-000025040000}"/>
    <cellStyle name="40% - Accent1 3 2 6 2 2" xfId="15056" xr:uid="{08098E9B-4802-4D56-9002-4EE5AD9CA925}"/>
    <cellStyle name="40% - Accent1 3 2 6 3" xfId="10838" xr:uid="{4A25BDDD-9FD9-4F5E-A735-78E766E94FD2}"/>
    <cellStyle name="40% - Accent1 3 2 7" xfId="4561" xr:uid="{00000000-0005-0000-0000-000026040000}"/>
    <cellStyle name="40% - Accent1 3 2 7 2" xfId="12990" xr:uid="{FCDB9E0F-8863-4A24-B4A5-54A2BC83F15B}"/>
    <cellStyle name="40% - Accent1 3 2 8" xfId="8772" xr:uid="{855D6A89-507F-4735-BB00-E2C592349EDD}"/>
    <cellStyle name="40% - Accent1 3 3" xfId="624" xr:uid="{00000000-0005-0000-0000-000027040000}"/>
    <cellStyle name="40% - Accent1 3 3 2" xfId="2895" xr:uid="{00000000-0005-0000-0000-000028040000}"/>
    <cellStyle name="40% - Accent1 3 3 2 2" xfId="7119" xr:uid="{00000000-0005-0000-0000-000029040000}"/>
    <cellStyle name="40% - Accent1 3 3 2 2 2" xfId="15548" xr:uid="{38677BA3-C975-4139-8ECC-6F75EF1A322F}"/>
    <cellStyle name="40% - Accent1 3 3 2 3" xfId="11330" xr:uid="{B590E236-F510-46C5-9B88-266CAF019220}"/>
    <cellStyle name="40% - Accent1 3 3 3" xfId="4974" xr:uid="{00000000-0005-0000-0000-00002A040000}"/>
    <cellStyle name="40% - Accent1 3 3 3 2" xfId="13403" xr:uid="{5A08295B-0D15-4001-83C8-D6935DA1CBDD}"/>
    <cellStyle name="40% - Accent1 3 3 4" xfId="9185" xr:uid="{4CE5619A-57F1-44A9-9B7E-46B94FB52221}"/>
    <cellStyle name="40% - Accent1 3 4" xfId="1077" xr:uid="{00000000-0005-0000-0000-00002B040000}"/>
    <cellStyle name="40% - Accent1 3 4 2" xfId="3308" xr:uid="{00000000-0005-0000-0000-00002C040000}"/>
    <cellStyle name="40% - Accent1 3 4 2 2" xfId="7532" xr:uid="{00000000-0005-0000-0000-00002D040000}"/>
    <cellStyle name="40% - Accent1 3 4 2 2 2" xfId="15961" xr:uid="{FAEC3E40-EF02-42C1-8882-3CA0EB10DD0B}"/>
    <cellStyle name="40% - Accent1 3 4 2 3" xfId="11743" xr:uid="{C01BCD8B-4123-43A0-B457-8F9D570DAD5D}"/>
    <cellStyle name="40% - Accent1 3 4 3" xfId="5387" xr:uid="{00000000-0005-0000-0000-00002E040000}"/>
    <cellStyle name="40% - Accent1 3 4 3 2" xfId="13816" xr:uid="{18620944-40EC-4DDB-B470-8D9F834591F8}"/>
    <cellStyle name="40% - Accent1 3 4 4" xfId="9598" xr:uid="{0278D388-2960-47B7-A04E-84D65A732335}"/>
    <cellStyle name="40% - Accent1 3 5" xfId="1491" xr:uid="{00000000-0005-0000-0000-00002F040000}"/>
    <cellStyle name="40% - Accent1 3 5 2" xfId="3721" xr:uid="{00000000-0005-0000-0000-000030040000}"/>
    <cellStyle name="40% - Accent1 3 5 2 2" xfId="7945" xr:uid="{00000000-0005-0000-0000-000031040000}"/>
    <cellStyle name="40% - Accent1 3 5 2 2 2" xfId="16374" xr:uid="{1E5E8029-30D3-48EC-A51D-D1D778A284BB}"/>
    <cellStyle name="40% - Accent1 3 5 2 3" xfId="12156" xr:uid="{1ADC4292-029C-47A5-BFF2-AAB830BE9300}"/>
    <cellStyle name="40% - Accent1 3 5 3" xfId="5800" xr:uid="{00000000-0005-0000-0000-000032040000}"/>
    <cellStyle name="40% - Accent1 3 5 3 2" xfId="14229" xr:uid="{CFE07AE2-27E8-46D5-9511-75553A3D1873}"/>
    <cellStyle name="40% - Accent1 3 5 4" xfId="10011" xr:uid="{0B618721-3A8A-4589-9272-2FCB61818DB4}"/>
    <cellStyle name="40% - Accent1 3 6" xfId="1905" xr:uid="{00000000-0005-0000-0000-000033040000}"/>
    <cellStyle name="40% - Accent1 3 6 2" xfId="4134" xr:uid="{00000000-0005-0000-0000-000034040000}"/>
    <cellStyle name="40% - Accent1 3 6 2 2" xfId="8358" xr:uid="{00000000-0005-0000-0000-000035040000}"/>
    <cellStyle name="40% - Accent1 3 6 2 2 2" xfId="16787" xr:uid="{ACAF47CE-41AB-437F-85DB-2A59079633CF}"/>
    <cellStyle name="40% - Accent1 3 6 2 3" xfId="12569" xr:uid="{0A98F35D-4088-4AE9-8799-72934B429E3D}"/>
    <cellStyle name="40% - Accent1 3 6 3" xfId="6213" xr:uid="{00000000-0005-0000-0000-000036040000}"/>
    <cellStyle name="40% - Accent1 3 6 3 2" xfId="14642" xr:uid="{5B058D02-8DED-44C8-AB69-C8B62ABAA997}"/>
    <cellStyle name="40% - Accent1 3 6 4" xfId="10424" xr:uid="{E5F07FBD-F082-49BB-8915-BB56184CAD1A}"/>
    <cellStyle name="40% - Accent1 3 7" xfId="2318" xr:uid="{00000000-0005-0000-0000-000037040000}"/>
    <cellStyle name="40% - Accent1 3 7 2" xfId="6626" xr:uid="{00000000-0005-0000-0000-000038040000}"/>
    <cellStyle name="40% - Accent1 3 7 2 2" xfId="15055" xr:uid="{CC4EBDE3-DF43-4CA3-B977-0B99D3D0DC98}"/>
    <cellStyle name="40% - Accent1 3 7 3" xfId="10837" xr:uid="{E952F1BD-C542-42C6-94B5-FA3791E43710}"/>
    <cellStyle name="40% - Accent1 3 8" xfId="4560" xr:uid="{00000000-0005-0000-0000-000039040000}"/>
    <cellStyle name="40% - Accent1 3 8 2" xfId="12989" xr:uid="{DCA8E471-33CD-4B13-9AB1-57EA2161143F}"/>
    <cellStyle name="40% - Accent1 3 9" xfId="8771" xr:uid="{866F3067-3A2A-4920-80C3-61221DF176CA}"/>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2 2" xfId="15550" xr:uid="{8CEFF26A-E65C-45A0-A352-6EF3B1C2C5EC}"/>
    <cellStyle name="40% - Accent1 4 2 2 3" xfId="11332" xr:uid="{30E8854F-CA54-488A-9DE2-A2343DAAE2EC}"/>
    <cellStyle name="40% - Accent1 4 2 3" xfId="4976" xr:uid="{00000000-0005-0000-0000-00003E040000}"/>
    <cellStyle name="40% - Accent1 4 2 3 2" xfId="13405" xr:uid="{4DC2D486-B4D0-496D-9ADF-4553E74012C5}"/>
    <cellStyle name="40% - Accent1 4 2 4" xfId="9187" xr:uid="{D02C15F0-C6B6-4CA0-B405-8F4888E67739}"/>
    <cellStyle name="40% - Accent1 4 3" xfId="1079" xr:uid="{00000000-0005-0000-0000-00003F040000}"/>
    <cellStyle name="40% - Accent1 4 3 2" xfId="3310" xr:uid="{00000000-0005-0000-0000-000040040000}"/>
    <cellStyle name="40% - Accent1 4 3 2 2" xfId="7534" xr:uid="{00000000-0005-0000-0000-000041040000}"/>
    <cellStyle name="40% - Accent1 4 3 2 2 2" xfId="15963" xr:uid="{1EA3F92B-5732-41F2-BC2E-44F41AC0FFC1}"/>
    <cellStyle name="40% - Accent1 4 3 2 3" xfId="11745" xr:uid="{4F0F5FFF-15AB-4570-95FE-5BB12E2BD242}"/>
    <cellStyle name="40% - Accent1 4 3 3" xfId="5389" xr:uid="{00000000-0005-0000-0000-000042040000}"/>
    <cellStyle name="40% - Accent1 4 3 3 2" xfId="13818" xr:uid="{620B8062-A72F-45C1-B2B1-3E3B630AB090}"/>
    <cellStyle name="40% - Accent1 4 3 4" xfId="9600" xr:uid="{3379698C-3BE0-44D2-BD80-FA24E1C3C549}"/>
    <cellStyle name="40% - Accent1 4 4" xfId="1493" xr:uid="{00000000-0005-0000-0000-000043040000}"/>
    <cellStyle name="40% - Accent1 4 4 2" xfId="3723" xr:uid="{00000000-0005-0000-0000-000044040000}"/>
    <cellStyle name="40% - Accent1 4 4 2 2" xfId="7947" xr:uid="{00000000-0005-0000-0000-000045040000}"/>
    <cellStyle name="40% - Accent1 4 4 2 2 2" xfId="16376" xr:uid="{95E26F8F-9697-4B5F-BA2D-954A2A90BFE4}"/>
    <cellStyle name="40% - Accent1 4 4 2 3" xfId="12158" xr:uid="{32D6D997-9CF2-4004-85BC-B00048F683CD}"/>
    <cellStyle name="40% - Accent1 4 4 3" xfId="5802" xr:uid="{00000000-0005-0000-0000-000046040000}"/>
    <cellStyle name="40% - Accent1 4 4 3 2" xfId="14231" xr:uid="{C36A6EC8-D1E0-494F-BE79-96E88C052753}"/>
    <cellStyle name="40% - Accent1 4 4 4" xfId="10013" xr:uid="{B395D27E-ABC4-45B2-BCA5-3E8F577A9B2D}"/>
    <cellStyle name="40% - Accent1 4 5" xfId="1907" xr:uid="{00000000-0005-0000-0000-000047040000}"/>
    <cellStyle name="40% - Accent1 4 5 2" xfId="4136" xr:uid="{00000000-0005-0000-0000-000048040000}"/>
    <cellStyle name="40% - Accent1 4 5 2 2" xfId="8360" xr:uid="{00000000-0005-0000-0000-000049040000}"/>
    <cellStyle name="40% - Accent1 4 5 2 2 2" xfId="16789" xr:uid="{AC0C3475-2CF1-4ABE-929B-090A526ED8EC}"/>
    <cellStyle name="40% - Accent1 4 5 2 3" xfId="12571" xr:uid="{E1C8783A-E87E-4962-B993-792992390122}"/>
    <cellStyle name="40% - Accent1 4 5 3" xfId="6215" xr:uid="{00000000-0005-0000-0000-00004A040000}"/>
    <cellStyle name="40% - Accent1 4 5 3 2" xfId="14644" xr:uid="{70578F20-85B4-4EBA-BD89-265689A1D3BC}"/>
    <cellStyle name="40% - Accent1 4 5 4" xfId="10426" xr:uid="{E6C610EB-101E-48EB-B23B-AEFE8D09DEE5}"/>
    <cellStyle name="40% - Accent1 4 6" xfId="2320" xr:uid="{00000000-0005-0000-0000-00004B040000}"/>
    <cellStyle name="40% - Accent1 4 6 2" xfId="6628" xr:uid="{00000000-0005-0000-0000-00004C040000}"/>
    <cellStyle name="40% - Accent1 4 6 2 2" xfId="15057" xr:uid="{0B14219A-930F-474C-A37F-F51E5E0D993A}"/>
    <cellStyle name="40% - Accent1 4 6 3" xfId="10839" xr:uid="{55AA2C1E-3A20-408B-B412-3F92753AE837}"/>
    <cellStyle name="40% - Accent1 4 7" xfId="4562" xr:uid="{00000000-0005-0000-0000-00004D040000}"/>
    <cellStyle name="40% - Accent1 4 7 2" xfId="12991" xr:uid="{DEEF784B-8814-47A9-B106-F397DC2043C0}"/>
    <cellStyle name="40% - Accent1 4 8" xfId="8773" xr:uid="{4A63CACE-E8A6-453F-9D08-8339154DB5D8}"/>
    <cellStyle name="40% - Accent1 5" xfId="619" xr:uid="{00000000-0005-0000-0000-00004E040000}"/>
    <cellStyle name="40% - Accent1 5 2" xfId="2890" xr:uid="{00000000-0005-0000-0000-00004F040000}"/>
    <cellStyle name="40% - Accent1 5 2 2" xfId="7114" xr:uid="{00000000-0005-0000-0000-000050040000}"/>
    <cellStyle name="40% - Accent1 5 2 2 2" xfId="15543" xr:uid="{CFCACF7B-002C-4E47-9397-D6FA5A8CFE7B}"/>
    <cellStyle name="40% - Accent1 5 2 3" xfId="11325" xr:uid="{DFDE6197-379E-430C-9A5C-77E9A93EB95C}"/>
    <cellStyle name="40% - Accent1 5 3" xfId="4969" xr:uid="{00000000-0005-0000-0000-000051040000}"/>
    <cellStyle name="40% - Accent1 5 3 2" xfId="13398" xr:uid="{76C07FA1-2BE1-49BA-BA2B-B39E23A1FB1C}"/>
    <cellStyle name="40% - Accent1 5 4" xfId="9180" xr:uid="{1906D7BE-F185-496B-B99A-2A3FDD362281}"/>
    <cellStyle name="40% - Accent1 6" xfId="1072" xr:uid="{00000000-0005-0000-0000-000052040000}"/>
    <cellStyle name="40% - Accent1 6 2" xfId="3303" xr:uid="{00000000-0005-0000-0000-000053040000}"/>
    <cellStyle name="40% - Accent1 6 2 2" xfId="7527" xr:uid="{00000000-0005-0000-0000-000054040000}"/>
    <cellStyle name="40% - Accent1 6 2 2 2" xfId="15956" xr:uid="{92CE9CBF-361F-490A-9A93-BCBB101D25C5}"/>
    <cellStyle name="40% - Accent1 6 2 3" xfId="11738" xr:uid="{C65D7B43-4C00-4924-84F0-0DF1B0A7332E}"/>
    <cellStyle name="40% - Accent1 6 3" xfId="5382" xr:uid="{00000000-0005-0000-0000-000055040000}"/>
    <cellStyle name="40% - Accent1 6 3 2" xfId="13811" xr:uid="{42B5EC3A-F6C8-4286-A555-1E16D2EFECF5}"/>
    <cellStyle name="40% - Accent1 6 4" xfId="9593" xr:uid="{DA90B0EA-B164-41C4-9729-EE7DF8918A5F}"/>
    <cellStyle name="40% - Accent1 7" xfId="1486" xr:uid="{00000000-0005-0000-0000-000056040000}"/>
    <cellStyle name="40% - Accent1 7 2" xfId="3716" xr:uid="{00000000-0005-0000-0000-000057040000}"/>
    <cellStyle name="40% - Accent1 7 2 2" xfId="7940" xr:uid="{00000000-0005-0000-0000-000058040000}"/>
    <cellStyle name="40% - Accent1 7 2 2 2" xfId="16369" xr:uid="{5F5BA413-394B-4C9F-B761-8AD7D52BD3A6}"/>
    <cellStyle name="40% - Accent1 7 2 3" xfId="12151" xr:uid="{FB1ABBEE-20C3-42E2-BF64-9A30C03DBCA0}"/>
    <cellStyle name="40% - Accent1 7 3" xfId="5795" xr:uid="{00000000-0005-0000-0000-000059040000}"/>
    <cellStyle name="40% - Accent1 7 3 2" xfId="14224" xr:uid="{A3FC754C-B693-4281-B367-57BCC3E3ACA5}"/>
    <cellStyle name="40% - Accent1 7 4" xfId="10006" xr:uid="{4F6EA718-B01D-4EB6-B833-93D9E2CA9BEA}"/>
    <cellStyle name="40% - Accent1 8" xfId="1900" xr:uid="{00000000-0005-0000-0000-00005A040000}"/>
    <cellStyle name="40% - Accent1 8 2" xfId="4129" xr:uid="{00000000-0005-0000-0000-00005B040000}"/>
    <cellStyle name="40% - Accent1 8 2 2" xfId="8353" xr:uid="{00000000-0005-0000-0000-00005C040000}"/>
    <cellStyle name="40% - Accent1 8 2 2 2" xfId="16782" xr:uid="{13FC5DC7-1076-4125-94AC-99B0C8196132}"/>
    <cellStyle name="40% - Accent1 8 2 3" xfId="12564" xr:uid="{2141C3C0-9C4D-436E-A169-8B4540562BE6}"/>
    <cellStyle name="40% - Accent1 8 3" xfId="6208" xr:uid="{00000000-0005-0000-0000-00005D040000}"/>
    <cellStyle name="40% - Accent1 8 3 2" xfId="14637" xr:uid="{A8F8CE0C-BD6F-40DE-8C04-9A15B1AEA2F8}"/>
    <cellStyle name="40% - Accent1 8 4" xfId="10419" xr:uid="{72E380C5-8650-4610-95FA-B9F67132890D}"/>
    <cellStyle name="40% - Accent1 9" xfId="2313" xr:uid="{00000000-0005-0000-0000-00005E040000}"/>
    <cellStyle name="40% - Accent1 9 2" xfId="6621" xr:uid="{00000000-0005-0000-0000-00005F040000}"/>
    <cellStyle name="40% - Accent1 9 2 2" xfId="15050" xr:uid="{5F9D53B9-4A2F-4AAC-8FF7-F1C7C543545C}"/>
    <cellStyle name="40% - Accent1 9 3" xfId="10832" xr:uid="{05B90F04-38CC-42F1-8B84-5858259B1B00}"/>
    <cellStyle name="40% - Accent2" xfId="57" builtinId="35" customBuiltin="1"/>
    <cellStyle name="40% - Accent2 10" xfId="4563" xr:uid="{00000000-0005-0000-0000-000061040000}"/>
    <cellStyle name="40% - Accent2 10 2" xfId="12992" xr:uid="{58B35CA2-24CB-4FD9-B8EE-66B62EB80F3E}"/>
    <cellStyle name="40% - Accent2 11" xfId="8774" xr:uid="{5B0AB119-0D65-44AD-8C82-134A8263A344}"/>
    <cellStyle name="40% - Accent2 2" xfId="58" xr:uid="{00000000-0005-0000-0000-000062040000}"/>
    <cellStyle name="40% - Accent2 2 10" xfId="8775" xr:uid="{8409E6F7-E4CB-42BF-9603-14CEB9C11925}"/>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2 2" xfId="15554" xr:uid="{770668AD-F8AC-408C-BEDE-314F49868CED}"/>
    <cellStyle name="40% - Accent2 2 2 2 2 2 3" xfId="11336" xr:uid="{CF99EC25-A135-47A8-974A-EF5C97CA3F35}"/>
    <cellStyle name="40% - Accent2 2 2 2 2 3" xfId="4980" xr:uid="{00000000-0005-0000-0000-000068040000}"/>
    <cellStyle name="40% - Accent2 2 2 2 2 3 2" xfId="13409" xr:uid="{3F24D987-B61F-43B8-9732-3789E7841E56}"/>
    <cellStyle name="40% - Accent2 2 2 2 2 4" xfId="9191" xr:uid="{47B6837F-1E27-4EB1-AEF2-4A86AEDC3912}"/>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2 2" xfId="15967" xr:uid="{C809D0AB-7307-4333-BA1A-2D339A14E9AE}"/>
    <cellStyle name="40% - Accent2 2 2 2 3 2 3" xfId="11749" xr:uid="{BEEB4157-9836-4B9B-BA9B-147C393874F5}"/>
    <cellStyle name="40% - Accent2 2 2 2 3 3" xfId="5393" xr:uid="{00000000-0005-0000-0000-00006C040000}"/>
    <cellStyle name="40% - Accent2 2 2 2 3 3 2" xfId="13822" xr:uid="{199C9F6B-1E20-4B9B-81F8-FF0C81B51BA2}"/>
    <cellStyle name="40% - Accent2 2 2 2 3 4" xfId="9604" xr:uid="{1261379A-A752-4DD3-843F-C6CD80F07949}"/>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2 2" xfId="16380" xr:uid="{A36F8D6E-84F5-4EAD-927F-BC488EB7C77C}"/>
    <cellStyle name="40% - Accent2 2 2 2 4 2 3" xfId="12162" xr:uid="{E3A95821-0E22-462A-A4D1-FA355010BACC}"/>
    <cellStyle name="40% - Accent2 2 2 2 4 3" xfId="5806" xr:uid="{00000000-0005-0000-0000-000070040000}"/>
    <cellStyle name="40% - Accent2 2 2 2 4 3 2" xfId="14235" xr:uid="{2FE1715C-BAE7-47D9-9EEC-17259F6A62D5}"/>
    <cellStyle name="40% - Accent2 2 2 2 4 4" xfId="10017" xr:uid="{FEEC14A3-BAFC-4982-BAE2-3E1A95C1768A}"/>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2 2" xfId="16793" xr:uid="{1A62EA9A-0FFD-4732-AECC-62BDBBEDCF72}"/>
    <cellStyle name="40% - Accent2 2 2 2 5 2 3" xfId="12575" xr:uid="{81ED8D94-9B2F-470B-8E98-434D8010E98D}"/>
    <cellStyle name="40% - Accent2 2 2 2 5 3" xfId="6219" xr:uid="{00000000-0005-0000-0000-000074040000}"/>
    <cellStyle name="40% - Accent2 2 2 2 5 3 2" xfId="14648" xr:uid="{6AD24294-B6D3-433D-809F-447570229825}"/>
    <cellStyle name="40% - Accent2 2 2 2 5 4" xfId="10430" xr:uid="{09443349-F2D0-4EB6-8D36-30CB9378E7DE}"/>
    <cellStyle name="40% - Accent2 2 2 2 6" xfId="2324" xr:uid="{00000000-0005-0000-0000-000075040000}"/>
    <cellStyle name="40% - Accent2 2 2 2 6 2" xfId="6632" xr:uid="{00000000-0005-0000-0000-000076040000}"/>
    <cellStyle name="40% - Accent2 2 2 2 6 2 2" xfId="15061" xr:uid="{CCDDA72C-640C-4768-B96E-FE5B7E42573E}"/>
    <cellStyle name="40% - Accent2 2 2 2 6 3" xfId="10843" xr:uid="{9678D124-CEAC-4657-AD40-57743472F2F0}"/>
    <cellStyle name="40% - Accent2 2 2 2 7" xfId="4566" xr:uid="{00000000-0005-0000-0000-000077040000}"/>
    <cellStyle name="40% - Accent2 2 2 2 7 2" xfId="12995" xr:uid="{1E6DC496-0C7B-4336-9632-4AF7A0D8041A}"/>
    <cellStyle name="40% - Accent2 2 2 2 8" xfId="8777" xr:uid="{4C38C8F2-D495-4797-A431-13FD43532B7C}"/>
    <cellStyle name="40% - Accent2 2 2 3" xfId="629" xr:uid="{00000000-0005-0000-0000-000078040000}"/>
    <cellStyle name="40% - Accent2 2 2 3 2" xfId="2900" xr:uid="{00000000-0005-0000-0000-000079040000}"/>
    <cellStyle name="40% - Accent2 2 2 3 2 2" xfId="7124" xr:uid="{00000000-0005-0000-0000-00007A040000}"/>
    <cellStyle name="40% - Accent2 2 2 3 2 2 2" xfId="15553" xr:uid="{48BC7ACE-0EDD-4DF3-A4E3-A577117362EC}"/>
    <cellStyle name="40% - Accent2 2 2 3 2 3" xfId="11335" xr:uid="{2A1F75B1-B91C-4AF1-AD0B-D4E2F6F813FB}"/>
    <cellStyle name="40% - Accent2 2 2 3 3" xfId="4979" xr:uid="{00000000-0005-0000-0000-00007B040000}"/>
    <cellStyle name="40% - Accent2 2 2 3 3 2" xfId="13408" xr:uid="{DA7CA4B7-5225-4624-8557-B328C9BB1103}"/>
    <cellStyle name="40% - Accent2 2 2 3 4" xfId="9190" xr:uid="{481803D9-D98F-4F83-8B40-7C7DEE83F8BF}"/>
    <cellStyle name="40% - Accent2 2 2 4" xfId="1082" xr:uid="{00000000-0005-0000-0000-00007C040000}"/>
    <cellStyle name="40% - Accent2 2 2 4 2" xfId="3313" xr:uid="{00000000-0005-0000-0000-00007D040000}"/>
    <cellStyle name="40% - Accent2 2 2 4 2 2" xfId="7537" xr:uid="{00000000-0005-0000-0000-00007E040000}"/>
    <cellStyle name="40% - Accent2 2 2 4 2 2 2" xfId="15966" xr:uid="{6A45871D-BC5F-4198-B73A-A9B351619DF5}"/>
    <cellStyle name="40% - Accent2 2 2 4 2 3" xfId="11748" xr:uid="{AF0CB49A-FB61-4F16-803E-E0E3E5C0B2DA}"/>
    <cellStyle name="40% - Accent2 2 2 4 3" xfId="5392" xr:uid="{00000000-0005-0000-0000-00007F040000}"/>
    <cellStyle name="40% - Accent2 2 2 4 3 2" xfId="13821" xr:uid="{B1496692-974D-4908-BC02-277D2F44B2A5}"/>
    <cellStyle name="40% - Accent2 2 2 4 4" xfId="9603" xr:uid="{98FF98C2-5247-495E-B0E9-DA0332CED830}"/>
    <cellStyle name="40% - Accent2 2 2 5" xfId="1496" xr:uid="{00000000-0005-0000-0000-000080040000}"/>
    <cellStyle name="40% - Accent2 2 2 5 2" xfId="3726" xr:uid="{00000000-0005-0000-0000-000081040000}"/>
    <cellStyle name="40% - Accent2 2 2 5 2 2" xfId="7950" xr:uid="{00000000-0005-0000-0000-000082040000}"/>
    <cellStyle name="40% - Accent2 2 2 5 2 2 2" xfId="16379" xr:uid="{A1A24DE5-B66A-4553-8A06-173028F2CBC1}"/>
    <cellStyle name="40% - Accent2 2 2 5 2 3" xfId="12161" xr:uid="{AB5C229A-B9F5-4CA3-8967-9CB1D975D686}"/>
    <cellStyle name="40% - Accent2 2 2 5 3" xfId="5805" xr:uid="{00000000-0005-0000-0000-000083040000}"/>
    <cellStyle name="40% - Accent2 2 2 5 3 2" xfId="14234" xr:uid="{50465BC2-F084-4DB4-A7B8-433CF58A1C0E}"/>
    <cellStyle name="40% - Accent2 2 2 5 4" xfId="10016" xr:uid="{2E5273AF-9F93-4E58-AD25-2A5CDD4F48A5}"/>
    <cellStyle name="40% - Accent2 2 2 6" xfId="1910" xr:uid="{00000000-0005-0000-0000-000084040000}"/>
    <cellStyle name="40% - Accent2 2 2 6 2" xfId="4139" xr:uid="{00000000-0005-0000-0000-000085040000}"/>
    <cellStyle name="40% - Accent2 2 2 6 2 2" xfId="8363" xr:uid="{00000000-0005-0000-0000-000086040000}"/>
    <cellStyle name="40% - Accent2 2 2 6 2 2 2" xfId="16792" xr:uid="{A2D6B6AE-AEE3-4F7E-97DE-91BE490844BB}"/>
    <cellStyle name="40% - Accent2 2 2 6 2 3" xfId="12574" xr:uid="{065BA956-80A0-44F2-8954-538952B0FD29}"/>
    <cellStyle name="40% - Accent2 2 2 6 3" xfId="6218" xr:uid="{00000000-0005-0000-0000-000087040000}"/>
    <cellStyle name="40% - Accent2 2 2 6 3 2" xfId="14647" xr:uid="{20D3E27F-B229-469D-89EF-74CD43C62890}"/>
    <cellStyle name="40% - Accent2 2 2 6 4" xfId="10429" xr:uid="{1103400F-9D5A-4FEC-A5E9-92197D55B506}"/>
    <cellStyle name="40% - Accent2 2 2 7" xfId="2323" xr:uid="{00000000-0005-0000-0000-000088040000}"/>
    <cellStyle name="40% - Accent2 2 2 7 2" xfId="6631" xr:uid="{00000000-0005-0000-0000-000089040000}"/>
    <cellStyle name="40% - Accent2 2 2 7 2 2" xfId="15060" xr:uid="{36D2156D-78B1-40CC-B0CB-454EE0C627E3}"/>
    <cellStyle name="40% - Accent2 2 2 7 3" xfId="10842" xr:uid="{A4102047-C8B2-457B-9A5E-7C5E7E161C21}"/>
    <cellStyle name="40% - Accent2 2 2 8" xfId="4565" xr:uid="{00000000-0005-0000-0000-00008A040000}"/>
    <cellStyle name="40% - Accent2 2 2 8 2" xfId="12994" xr:uid="{050954DB-3F36-46FC-BDE5-E314D1F7E1F3}"/>
    <cellStyle name="40% - Accent2 2 2 9" xfId="8776" xr:uid="{F5B0392E-9CF5-4492-9220-DB77B0EB0C95}"/>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2 2" xfId="15555" xr:uid="{BAD2F8C6-3230-4DEE-A193-73FF57682C81}"/>
    <cellStyle name="40% - Accent2 2 3 2 2 3" xfId="11337" xr:uid="{61CBE7DD-3A14-45CD-A7F6-D954DF14AE45}"/>
    <cellStyle name="40% - Accent2 2 3 2 3" xfId="4981" xr:uid="{00000000-0005-0000-0000-00008F040000}"/>
    <cellStyle name="40% - Accent2 2 3 2 3 2" xfId="13410" xr:uid="{5C07E131-691F-4EEA-8079-386011CF8C4C}"/>
    <cellStyle name="40% - Accent2 2 3 2 4" xfId="9192" xr:uid="{52EABF92-93E9-4FE2-98DD-BB13E823FD02}"/>
    <cellStyle name="40% - Accent2 2 3 3" xfId="1084" xr:uid="{00000000-0005-0000-0000-000090040000}"/>
    <cellStyle name="40% - Accent2 2 3 3 2" xfId="3315" xr:uid="{00000000-0005-0000-0000-000091040000}"/>
    <cellStyle name="40% - Accent2 2 3 3 2 2" xfId="7539" xr:uid="{00000000-0005-0000-0000-000092040000}"/>
    <cellStyle name="40% - Accent2 2 3 3 2 2 2" xfId="15968" xr:uid="{16AD6F5C-0A12-4CDD-84F9-635D74CF89A9}"/>
    <cellStyle name="40% - Accent2 2 3 3 2 3" xfId="11750" xr:uid="{3636B353-B11F-4E0E-A10C-549A6A7134F4}"/>
    <cellStyle name="40% - Accent2 2 3 3 3" xfId="5394" xr:uid="{00000000-0005-0000-0000-000093040000}"/>
    <cellStyle name="40% - Accent2 2 3 3 3 2" xfId="13823" xr:uid="{ADEF19E3-AAC0-47F5-8591-9150EACDF23B}"/>
    <cellStyle name="40% - Accent2 2 3 3 4" xfId="9605" xr:uid="{58A03E11-7CA5-410E-8ED3-069134312395}"/>
    <cellStyle name="40% - Accent2 2 3 4" xfId="1498" xr:uid="{00000000-0005-0000-0000-000094040000}"/>
    <cellStyle name="40% - Accent2 2 3 4 2" xfId="3728" xr:uid="{00000000-0005-0000-0000-000095040000}"/>
    <cellStyle name="40% - Accent2 2 3 4 2 2" xfId="7952" xr:uid="{00000000-0005-0000-0000-000096040000}"/>
    <cellStyle name="40% - Accent2 2 3 4 2 2 2" xfId="16381" xr:uid="{761DC3C3-B97A-4CF0-8412-2035EB5C6714}"/>
    <cellStyle name="40% - Accent2 2 3 4 2 3" xfId="12163" xr:uid="{0603C8D7-54BB-4AE3-9241-FE44D140F728}"/>
    <cellStyle name="40% - Accent2 2 3 4 3" xfId="5807" xr:uid="{00000000-0005-0000-0000-000097040000}"/>
    <cellStyle name="40% - Accent2 2 3 4 3 2" xfId="14236" xr:uid="{571228BA-1854-4B79-BD26-9C51E052CE94}"/>
    <cellStyle name="40% - Accent2 2 3 4 4" xfId="10018" xr:uid="{2AA26865-B358-4AD0-9C36-93356A1C6577}"/>
    <cellStyle name="40% - Accent2 2 3 5" xfId="1912" xr:uid="{00000000-0005-0000-0000-000098040000}"/>
    <cellStyle name="40% - Accent2 2 3 5 2" xfId="4141" xr:uid="{00000000-0005-0000-0000-000099040000}"/>
    <cellStyle name="40% - Accent2 2 3 5 2 2" xfId="8365" xr:uid="{00000000-0005-0000-0000-00009A040000}"/>
    <cellStyle name="40% - Accent2 2 3 5 2 2 2" xfId="16794" xr:uid="{E61096CC-9BF7-499F-B3E2-26CE86852CE9}"/>
    <cellStyle name="40% - Accent2 2 3 5 2 3" xfId="12576" xr:uid="{6E9F0544-55C2-40E2-8BCB-FD1D7D68F35C}"/>
    <cellStyle name="40% - Accent2 2 3 5 3" xfId="6220" xr:uid="{00000000-0005-0000-0000-00009B040000}"/>
    <cellStyle name="40% - Accent2 2 3 5 3 2" xfId="14649" xr:uid="{8505BA0D-E3E7-4F19-854A-1C339A375D75}"/>
    <cellStyle name="40% - Accent2 2 3 5 4" xfId="10431" xr:uid="{0B87A5C0-B919-4E43-876D-8C8BD50D0914}"/>
    <cellStyle name="40% - Accent2 2 3 6" xfId="2325" xr:uid="{00000000-0005-0000-0000-00009C040000}"/>
    <cellStyle name="40% - Accent2 2 3 6 2" xfId="6633" xr:uid="{00000000-0005-0000-0000-00009D040000}"/>
    <cellStyle name="40% - Accent2 2 3 6 2 2" xfId="15062" xr:uid="{A2FB755E-3CB5-4C1C-8344-A9D58CE09848}"/>
    <cellStyle name="40% - Accent2 2 3 6 3" xfId="10844" xr:uid="{87885B6C-8A87-44B9-A384-9C5327215E2D}"/>
    <cellStyle name="40% - Accent2 2 3 7" xfId="4567" xr:uid="{00000000-0005-0000-0000-00009E040000}"/>
    <cellStyle name="40% - Accent2 2 3 7 2" xfId="12996" xr:uid="{47035179-26B7-4C7E-8BE2-2F5231F9F671}"/>
    <cellStyle name="40% - Accent2 2 3 8" xfId="8778" xr:uid="{EFB0751F-781F-485D-9051-66647C84FB40}"/>
    <cellStyle name="40% - Accent2 2 4" xfId="628" xr:uid="{00000000-0005-0000-0000-00009F040000}"/>
    <cellStyle name="40% - Accent2 2 4 2" xfId="2899" xr:uid="{00000000-0005-0000-0000-0000A0040000}"/>
    <cellStyle name="40% - Accent2 2 4 2 2" xfId="7123" xr:uid="{00000000-0005-0000-0000-0000A1040000}"/>
    <cellStyle name="40% - Accent2 2 4 2 2 2" xfId="15552" xr:uid="{232269C7-C685-4DAA-9223-026FFD058F80}"/>
    <cellStyle name="40% - Accent2 2 4 2 3" xfId="11334" xr:uid="{75E797E0-A763-431A-898C-0417A061F82D}"/>
    <cellStyle name="40% - Accent2 2 4 3" xfId="4978" xr:uid="{00000000-0005-0000-0000-0000A2040000}"/>
    <cellStyle name="40% - Accent2 2 4 3 2" xfId="13407" xr:uid="{1BCB23DD-269C-42B7-B529-5019310A537A}"/>
    <cellStyle name="40% - Accent2 2 4 4" xfId="9189" xr:uid="{984E5A06-7465-4361-A80B-0428634AB01D}"/>
    <cellStyle name="40% - Accent2 2 5" xfId="1081" xr:uid="{00000000-0005-0000-0000-0000A3040000}"/>
    <cellStyle name="40% - Accent2 2 5 2" xfId="3312" xr:uid="{00000000-0005-0000-0000-0000A4040000}"/>
    <cellStyle name="40% - Accent2 2 5 2 2" xfId="7536" xr:uid="{00000000-0005-0000-0000-0000A5040000}"/>
    <cellStyle name="40% - Accent2 2 5 2 2 2" xfId="15965" xr:uid="{ADCCA0D2-02B8-4CC2-99A9-7651FF67A3CB}"/>
    <cellStyle name="40% - Accent2 2 5 2 3" xfId="11747" xr:uid="{62C9E107-104E-4B12-8CA8-08B28B545F86}"/>
    <cellStyle name="40% - Accent2 2 5 3" xfId="5391" xr:uid="{00000000-0005-0000-0000-0000A6040000}"/>
    <cellStyle name="40% - Accent2 2 5 3 2" xfId="13820" xr:uid="{CA915DF0-5E7E-40AE-9C02-CEFD3CCAC309}"/>
    <cellStyle name="40% - Accent2 2 5 4" xfId="9602" xr:uid="{C1D8C741-D67D-48D3-A19F-C9689DC249F2}"/>
    <cellStyle name="40% - Accent2 2 6" xfId="1495" xr:uid="{00000000-0005-0000-0000-0000A7040000}"/>
    <cellStyle name="40% - Accent2 2 6 2" xfId="3725" xr:uid="{00000000-0005-0000-0000-0000A8040000}"/>
    <cellStyle name="40% - Accent2 2 6 2 2" xfId="7949" xr:uid="{00000000-0005-0000-0000-0000A9040000}"/>
    <cellStyle name="40% - Accent2 2 6 2 2 2" xfId="16378" xr:uid="{17983401-17AE-4A68-9FF5-5247E460ED0C}"/>
    <cellStyle name="40% - Accent2 2 6 2 3" xfId="12160" xr:uid="{20704759-3072-41B0-B1C9-622F6AF2C3AF}"/>
    <cellStyle name="40% - Accent2 2 6 3" xfId="5804" xr:uid="{00000000-0005-0000-0000-0000AA040000}"/>
    <cellStyle name="40% - Accent2 2 6 3 2" xfId="14233" xr:uid="{E4B82B47-A657-4EFA-9DAC-DBA93126095F}"/>
    <cellStyle name="40% - Accent2 2 6 4" xfId="10015" xr:uid="{63915450-F9CF-4247-8D61-CA7EB737B451}"/>
    <cellStyle name="40% - Accent2 2 7" xfId="1909" xr:uid="{00000000-0005-0000-0000-0000AB040000}"/>
    <cellStyle name="40% - Accent2 2 7 2" xfId="4138" xr:uid="{00000000-0005-0000-0000-0000AC040000}"/>
    <cellStyle name="40% - Accent2 2 7 2 2" xfId="8362" xr:uid="{00000000-0005-0000-0000-0000AD040000}"/>
    <cellStyle name="40% - Accent2 2 7 2 2 2" xfId="16791" xr:uid="{828A74F8-1D56-41B5-83BF-09E9E27D7F6D}"/>
    <cellStyle name="40% - Accent2 2 7 2 3" xfId="12573" xr:uid="{B8EC2365-B2BB-4788-B6D9-2480871C1BF2}"/>
    <cellStyle name="40% - Accent2 2 7 3" xfId="6217" xr:uid="{00000000-0005-0000-0000-0000AE040000}"/>
    <cellStyle name="40% - Accent2 2 7 3 2" xfId="14646" xr:uid="{A997C3D4-9866-4DD6-8350-9A76DA3D0CCA}"/>
    <cellStyle name="40% - Accent2 2 7 4" xfId="10428" xr:uid="{57795B94-4CE6-4A37-B3DF-E75C137D4795}"/>
    <cellStyle name="40% - Accent2 2 8" xfId="2322" xr:uid="{00000000-0005-0000-0000-0000AF040000}"/>
    <cellStyle name="40% - Accent2 2 8 2" xfId="6630" xr:uid="{00000000-0005-0000-0000-0000B0040000}"/>
    <cellStyle name="40% - Accent2 2 8 2 2" xfId="15059" xr:uid="{AB434B62-F240-4A85-BD75-B9F29CAEF0CF}"/>
    <cellStyle name="40% - Accent2 2 8 3" xfId="10841" xr:uid="{96A2F5AB-4EC9-42E2-BBBE-1294D216CB80}"/>
    <cellStyle name="40% - Accent2 2 9" xfId="4564" xr:uid="{00000000-0005-0000-0000-0000B1040000}"/>
    <cellStyle name="40% - Accent2 2 9 2" xfId="12993" xr:uid="{1F7908F7-CA96-4080-A94F-B254341AB59C}"/>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2 2" xfId="15557" xr:uid="{6A6C5CD5-34A8-41E8-837B-3B053F9D22F7}"/>
    <cellStyle name="40% - Accent2 3 2 2 2 3" xfId="11339" xr:uid="{05E62523-E25E-4362-ACA5-EE2285C74971}"/>
    <cellStyle name="40% - Accent2 3 2 2 3" xfId="4983" xr:uid="{00000000-0005-0000-0000-0000B7040000}"/>
    <cellStyle name="40% - Accent2 3 2 2 3 2" xfId="13412" xr:uid="{544913D3-86F8-4F78-AAB0-9EF52E3C66B7}"/>
    <cellStyle name="40% - Accent2 3 2 2 4" xfId="9194" xr:uid="{3E65996E-23B3-4003-A6CC-2C945121EE28}"/>
    <cellStyle name="40% - Accent2 3 2 3" xfId="1086" xr:uid="{00000000-0005-0000-0000-0000B8040000}"/>
    <cellStyle name="40% - Accent2 3 2 3 2" xfId="3317" xr:uid="{00000000-0005-0000-0000-0000B9040000}"/>
    <cellStyle name="40% - Accent2 3 2 3 2 2" xfId="7541" xr:uid="{00000000-0005-0000-0000-0000BA040000}"/>
    <cellStyle name="40% - Accent2 3 2 3 2 2 2" xfId="15970" xr:uid="{9210E6F2-4CA7-420F-8DEA-A2196247B5DD}"/>
    <cellStyle name="40% - Accent2 3 2 3 2 3" xfId="11752" xr:uid="{A79FA24C-823E-4619-A735-490AE63A1621}"/>
    <cellStyle name="40% - Accent2 3 2 3 3" xfId="5396" xr:uid="{00000000-0005-0000-0000-0000BB040000}"/>
    <cellStyle name="40% - Accent2 3 2 3 3 2" xfId="13825" xr:uid="{A14F6989-4A28-474A-A5DE-652915BE6DC9}"/>
    <cellStyle name="40% - Accent2 3 2 3 4" xfId="9607" xr:uid="{C6EFAF2E-6336-47A2-9341-098822AB0482}"/>
    <cellStyle name="40% - Accent2 3 2 4" xfId="1500" xr:uid="{00000000-0005-0000-0000-0000BC040000}"/>
    <cellStyle name="40% - Accent2 3 2 4 2" xfId="3730" xr:uid="{00000000-0005-0000-0000-0000BD040000}"/>
    <cellStyle name="40% - Accent2 3 2 4 2 2" xfId="7954" xr:uid="{00000000-0005-0000-0000-0000BE040000}"/>
    <cellStyle name="40% - Accent2 3 2 4 2 2 2" xfId="16383" xr:uid="{52F17F14-931D-4E7F-A2A2-7127741248AF}"/>
    <cellStyle name="40% - Accent2 3 2 4 2 3" xfId="12165" xr:uid="{C7E5CC2E-4B50-4C93-8285-19A1027A7EB5}"/>
    <cellStyle name="40% - Accent2 3 2 4 3" xfId="5809" xr:uid="{00000000-0005-0000-0000-0000BF040000}"/>
    <cellStyle name="40% - Accent2 3 2 4 3 2" xfId="14238" xr:uid="{69BF2EB9-8335-4B80-8B37-1176A123A424}"/>
    <cellStyle name="40% - Accent2 3 2 4 4" xfId="10020" xr:uid="{8BFB0FC2-BB9C-4136-BC4A-67A1E438D002}"/>
    <cellStyle name="40% - Accent2 3 2 5" xfId="1914" xr:uid="{00000000-0005-0000-0000-0000C0040000}"/>
    <cellStyle name="40% - Accent2 3 2 5 2" xfId="4143" xr:uid="{00000000-0005-0000-0000-0000C1040000}"/>
    <cellStyle name="40% - Accent2 3 2 5 2 2" xfId="8367" xr:uid="{00000000-0005-0000-0000-0000C2040000}"/>
    <cellStyle name="40% - Accent2 3 2 5 2 2 2" xfId="16796" xr:uid="{5D54B253-1E4A-427A-917A-00D58643EAE0}"/>
    <cellStyle name="40% - Accent2 3 2 5 2 3" xfId="12578" xr:uid="{F2D50177-8F88-444F-BDCC-6C82683C1869}"/>
    <cellStyle name="40% - Accent2 3 2 5 3" xfId="6222" xr:uid="{00000000-0005-0000-0000-0000C3040000}"/>
    <cellStyle name="40% - Accent2 3 2 5 3 2" xfId="14651" xr:uid="{59BAB3A6-E4AD-43C0-912D-F462B710A6BA}"/>
    <cellStyle name="40% - Accent2 3 2 5 4" xfId="10433" xr:uid="{D3F116EE-5853-4C9F-9E64-5DB8AC27F1BE}"/>
    <cellStyle name="40% - Accent2 3 2 6" xfId="2327" xr:uid="{00000000-0005-0000-0000-0000C4040000}"/>
    <cellStyle name="40% - Accent2 3 2 6 2" xfId="6635" xr:uid="{00000000-0005-0000-0000-0000C5040000}"/>
    <cellStyle name="40% - Accent2 3 2 6 2 2" xfId="15064" xr:uid="{FCE0B74E-F966-4D7F-8BFB-E7A28909EC90}"/>
    <cellStyle name="40% - Accent2 3 2 6 3" xfId="10846" xr:uid="{FC53DFC9-FE34-44E0-97AB-C6B9505C0E12}"/>
    <cellStyle name="40% - Accent2 3 2 7" xfId="4569" xr:uid="{00000000-0005-0000-0000-0000C6040000}"/>
    <cellStyle name="40% - Accent2 3 2 7 2" xfId="12998" xr:uid="{06B666B8-A099-4D29-A73F-B7068594E45B}"/>
    <cellStyle name="40% - Accent2 3 2 8" xfId="8780" xr:uid="{AA553D7F-54ED-4D70-9E90-FBA11A31ED43}"/>
    <cellStyle name="40% - Accent2 3 3" xfId="632" xr:uid="{00000000-0005-0000-0000-0000C7040000}"/>
    <cellStyle name="40% - Accent2 3 3 2" xfId="2903" xr:uid="{00000000-0005-0000-0000-0000C8040000}"/>
    <cellStyle name="40% - Accent2 3 3 2 2" xfId="7127" xr:uid="{00000000-0005-0000-0000-0000C9040000}"/>
    <cellStyle name="40% - Accent2 3 3 2 2 2" xfId="15556" xr:uid="{FEE893AF-66BC-4CD6-A393-A142592B8E6E}"/>
    <cellStyle name="40% - Accent2 3 3 2 3" xfId="11338" xr:uid="{F2CEF9C5-75C7-4C77-9258-52C9776F3A7C}"/>
    <cellStyle name="40% - Accent2 3 3 3" xfId="4982" xr:uid="{00000000-0005-0000-0000-0000CA040000}"/>
    <cellStyle name="40% - Accent2 3 3 3 2" xfId="13411" xr:uid="{98ADC41D-846B-4255-9510-0A73EEF0A5C8}"/>
    <cellStyle name="40% - Accent2 3 3 4" xfId="9193" xr:uid="{140EC202-B285-4869-91B4-8F3E0B33E277}"/>
    <cellStyle name="40% - Accent2 3 4" xfId="1085" xr:uid="{00000000-0005-0000-0000-0000CB040000}"/>
    <cellStyle name="40% - Accent2 3 4 2" xfId="3316" xr:uid="{00000000-0005-0000-0000-0000CC040000}"/>
    <cellStyle name="40% - Accent2 3 4 2 2" xfId="7540" xr:uid="{00000000-0005-0000-0000-0000CD040000}"/>
    <cellStyle name="40% - Accent2 3 4 2 2 2" xfId="15969" xr:uid="{DE418F4D-B67B-406F-8433-451DB7728F30}"/>
    <cellStyle name="40% - Accent2 3 4 2 3" xfId="11751" xr:uid="{E327B8D6-D134-4A93-8F2B-C50567F43192}"/>
    <cellStyle name="40% - Accent2 3 4 3" xfId="5395" xr:uid="{00000000-0005-0000-0000-0000CE040000}"/>
    <cellStyle name="40% - Accent2 3 4 3 2" xfId="13824" xr:uid="{79DE763D-F8CE-4BA3-9FC2-0D662341E37F}"/>
    <cellStyle name="40% - Accent2 3 4 4" xfId="9606" xr:uid="{3E2710AE-1422-4867-A76B-843C3C1F3014}"/>
    <cellStyle name="40% - Accent2 3 5" xfId="1499" xr:uid="{00000000-0005-0000-0000-0000CF040000}"/>
    <cellStyle name="40% - Accent2 3 5 2" xfId="3729" xr:uid="{00000000-0005-0000-0000-0000D0040000}"/>
    <cellStyle name="40% - Accent2 3 5 2 2" xfId="7953" xr:uid="{00000000-0005-0000-0000-0000D1040000}"/>
    <cellStyle name="40% - Accent2 3 5 2 2 2" xfId="16382" xr:uid="{C0EAAA5C-C80D-456A-B620-52BA0F4E5296}"/>
    <cellStyle name="40% - Accent2 3 5 2 3" xfId="12164" xr:uid="{862D52EC-C652-416B-843D-D95642408A79}"/>
    <cellStyle name="40% - Accent2 3 5 3" xfId="5808" xr:uid="{00000000-0005-0000-0000-0000D2040000}"/>
    <cellStyle name="40% - Accent2 3 5 3 2" xfId="14237" xr:uid="{56C851B6-9491-46E2-B52A-E6759810A862}"/>
    <cellStyle name="40% - Accent2 3 5 4" xfId="10019" xr:uid="{0818E9C5-9767-4224-AF75-97263D0DA41E}"/>
    <cellStyle name="40% - Accent2 3 6" xfId="1913" xr:uid="{00000000-0005-0000-0000-0000D3040000}"/>
    <cellStyle name="40% - Accent2 3 6 2" xfId="4142" xr:uid="{00000000-0005-0000-0000-0000D4040000}"/>
    <cellStyle name="40% - Accent2 3 6 2 2" xfId="8366" xr:uid="{00000000-0005-0000-0000-0000D5040000}"/>
    <cellStyle name="40% - Accent2 3 6 2 2 2" xfId="16795" xr:uid="{9C48A56A-308D-4B39-8EE7-32F85AE4DB0A}"/>
    <cellStyle name="40% - Accent2 3 6 2 3" xfId="12577" xr:uid="{AD5DF1AC-733D-45BE-9FFF-56E4AB1438E9}"/>
    <cellStyle name="40% - Accent2 3 6 3" xfId="6221" xr:uid="{00000000-0005-0000-0000-0000D6040000}"/>
    <cellStyle name="40% - Accent2 3 6 3 2" xfId="14650" xr:uid="{FCD26BA9-8C47-4B28-A45C-5D8128911B06}"/>
    <cellStyle name="40% - Accent2 3 6 4" xfId="10432" xr:uid="{CB0CDDBF-BDDD-4D01-899F-59B93D135076}"/>
    <cellStyle name="40% - Accent2 3 7" xfId="2326" xr:uid="{00000000-0005-0000-0000-0000D7040000}"/>
    <cellStyle name="40% - Accent2 3 7 2" xfId="6634" xr:uid="{00000000-0005-0000-0000-0000D8040000}"/>
    <cellStyle name="40% - Accent2 3 7 2 2" xfId="15063" xr:uid="{EB79FEB3-6F77-4FE7-9666-7147AC0D6720}"/>
    <cellStyle name="40% - Accent2 3 7 3" xfId="10845" xr:uid="{CFBB8A2A-FF9F-493B-B622-9378FB38AC3C}"/>
    <cellStyle name="40% - Accent2 3 8" xfId="4568" xr:uid="{00000000-0005-0000-0000-0000D9040000}"/>
    <cellStyle name="40% - Accent2 3 8 2" xfId="12997" xr:uid="{EAFB34E9-1F66-4584-9235-227A8F899967}"/>
    <cellStyle name="40% - Accent2 3 9" xfId="8779" xr:uid="{4267A99F-B2C1-454F-8B55-F6C0E3625168}"/>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2 2" xfId="15558" xr:uid="{E2455BE9-B1E3-4E95-B44F-794FE62F3E1F}"/>
    <cellStyle name="40% - Accent2 4 2 2 3" xfId="11340" xr:uid="{09A2369E-971C-4B0A-8307-10B9AADE2BFD}"/>
    <cellStyle name="40% - Accent2 4 2 3" xfId="4984" xr:uid="{00000000-0005-0000-0000-0000DE040000}"/>
    <cellStyle name="40% - Accent2 4 2 3 2" xfId="13413" xr:uid="{52F7BFE6-0280-4566-8E62-C4AF57B27639}"/>
    <cellStyle name="40% - Accent2 4 2 4" xfId="9195" xr:uid="{89472CF8-092C-4867-B1B4-F5F6ED5A3402}"/>
    <cellStyle name="40% - Accent2 4 3" xfId="1087" xr:uid="{00000000-0005-0000-0000-0000DF040000}"/>
    <cellStyle name="40% - Accent2 4 3 2" xfId="3318" xr:uid="{00000000-0005-0000-0000-0000E0040000}"/>
    <cellStyle name="40% - Accent2 4 3 2 2" xfId="7542" xr:uid="{00000000-0005-0000-0000-0000E1040000}"/>
    <cellStyle name="40% - Accent2 4 3 2 2 2" xfId="15971" xr:uid="{CF8E7A6C-5F52-4821-945D-563D22388146}"/>
    <cellStyle name="40% - Accent2 4 3 2 3" xfId="11753" xr:uid="{37E1040C-B71E-48A1-BCCA-1E895A965211}"/>
    <cellStyle name="40% - Accent2 4 3 3" xfId="5397" xr:uid="{00000000-0005-0000-0000-0000E2040000}"/>
    <cellStyle name="40% - Accent2 4 3 3 2" xfId="13826" xr:uid="{0EDB6CDD-BE5C-4951-9A80-D590D0DFF69C}"/>
    <cellStyle name="40% - Accent2 4 3 4" xfId="9608" xr:uid="{3C54FEDB-F034-4050-8C76-ED06063D09FC}"/>
    <cellStyle name="40% - Accent2 4 4" xfId="1501" xr:uid="{00000000-0005-0000-0000-0000E3040000}"/>
    <cellStyle name="40% - Accent2 4 4 2" xfId="3731" xr:uid="{00000000-0005-0000-0000-0000E4040000}"/>
    <cellStyle name="40% - Accent2 4 4 2 2" xfId="7955" xr:uid="{00000000-0005-0000-0000-0000E5040000}"/>
    <cellStyle name="40% - Accent2 4 4 2 2 2" xfId="16384" xr:uid="{7F607E88-3122-4E5D-A617-FE942D205BF8}"/>
    <cellStyle name="40% - Accent2 4 4 2 3" xfId="12166" xr:uid="{4D4A5EBF-D4DF-4F48-A19F-88924DE962B9}"/>
    <cellStyle name="40% - Accent2 4 4 3" xfId="5810" xr:uid="{00000000-0005-0000-0000-0000E6040000}"/>
    <cellStyle name="40% - Accent2 4 4 3 2" xfId="14239" xr:uid="{596276E1-B808-4E37-B70A-6EA15FA21510}"/>
    <cellStyle name="40% - Accent2 4 4 4" xfId="10021" xr:uid="{EED54CE2-DA6F-4C77-AF92-0E60118C635D}"/>
    <cellStyle name="40% - Accent2 4 5" xfId="1915" xr:uid="{00000000-0005-0000-0000-0000E7040000}"/>
    <cellStyle name="40% - Accent2 4 5 2" xfId="4144" xr:uid="{00000000-0005-0000-0000-0000E8040000}"/>
    <cellStyle name="40% - Accent2 4 5 2 2" xfId="8368" xr:uid="{00000000-0005-0000-0000-0000E9040000}"/>
    <cellStyle name="40% - Accent2 4 5 2 2 2" xfId="16797" xr:uid="{EEE9B241-FCA3-4D85-BD6C-9DC4E831D688}"/>
    <cellStyle name="40% - Accent2 4 5 2 3" xfId="12579" xr:uid="{C5718EB6-3503-4318-BFA5-5CC067F46D93}"/>
    <cellStyle name="40% - Accent2 4 5 3" xfId="6223" xr:uid="{00000000-0005-0000-0000-0000EA040000}"/>
    <cellStyle name="40% - Accent2 4 5 3 2" xfId="14652" xr:uid="{9889260C-59A3-4029-8768-253BD8057882}"/>
    <cellStyle name="40% - Accent2 4 5 4" xfId="10434" xr:uid="{998BEC5A-5733-4D64-AB84-5D2EDDEFBC75}"/>
    <cellStyle name="40% - Accent2 4 6" xfId="2328" xr:uid="{00000000-0005-0000-0000-0000EB040000}"/>
    <cellStyle name="40% - Accent2 4 6 2" xfId="6636" xr:uid="{00000000-0005-0000-0000-0000EC040000}"/>
    <cellStyle name="40% - Accent2 4 6 2 2" xfId="15065" xr:uid="{32972C76-E316-4ECE-8F17-6659465AEE11}"/>
    <cellStyle name="40% - Accent2 4 6 3" xfId="10847" xr:uid="{C9B31A29-FBAD-4CE7-85A3-3183D9BA0B75}"/>
    <cellStyle name="40% - Accent2 4 7" xfId="4570" xr:uid="{00000000-0005-0000-0000-0000ED040000}"/>
    <cellStyle name="40% - Accent2 4 7 2" xfId="12999" xr:uid="{2E09FB02-D21C-47EB-A43F-2F5939540DED}"/>
    <cellStyle name="40% - Accent2 4 8" xfId="8781" xr:uid="{BE048353-ECAE-4C00-9EA2-2B3E7BBDD8A1}"/>
    <cellStyle name="40% - Accent2 5" xfId="627" xr:uid="{00000000-0005-0000-0000-0000EE040000}"/>
    <cellStyle name="40% - Accent2 5 2" xfId="2898" xr:uid="{00000000-0005-0000-0000-0000EF040000}"/>
    <cellStyle name="40% - Accent2 5 2 2" xfId="7122" xr:uid="{00000000-0005-0000-0000-0000F0040000}"/>
    <cellStyle name="40% - Accent2 5 2 2 2" xfId="15551" xr:uid="{36D3DD34-E2D9-47E2-9A3A-6376089BE106}"/>
    <cellStyle name="40% - Accent2 5 2 3" xfId="11333" xr:uid="{C5743FF1-96F1-4543-A8C7-A1595B254DDF}"/>
    <cellStyle name="40% - Accent2 5 3" xfId="4977" xr:uid="{00000000-0005-0000-0000-0000F1040000}"/>
    <cellStyle name="40% - Accent2 5 3 2" xfId="13406" xr:uid="{C10023F2-9801-46C9-B5C9-BB7041D38227}"/>
    <cellStyle name="40% - Accent2 5 4" xfId="9188" xr:uid="{07B1628B-446D-4310-88A0-B24F107F6142}"/>
    <cellStyle name="40% - Accent2 6" xfId="1080" xr:uid="{00000000-0005-0000-0000-0000F2040000}"/>
    <cellStyle name="40% - Accent2 6 2" xfId="3311" xr:uid="{00000000-0005-0000-0000-0000F3040000}"/>
    <cellStyle name="40% - Accent2 6 2 2" xfId="7535" xr:uid="{00000000-0005-0000-0000-0000F4040000}"/>
    <cellStyle name="40% - Accent2 6 2 2 2" xfId="15964" xr:uid="{D9630231-2ABD-49A5-BD08-B94178BD0B8E}"/>
    <cellStyle name="40% - Accent2 6 2 3" xfId="11746" xr:uid="{DD7706CB-205B-4173-8D8F-C65F30F37EC6}"/>
    <cellStyle name="40% - Accent2 6 3" xfId="5390" xr:uid="{00000000-0005-0000-0000-0000F5040000}"/>
    <cellStyle name="40% - Accent2 6 3 2" xfId="13819" xr:uid="{7EF31D70-96BD-4965-B843-AF4B04895C4D}"/>
    <cellStyle name="40% - Accent2 6 4" xfId="9601" xr:uid="{D746D42D-FA65-4D5B-A506-5C0B36500822}"/>
    <cellStyle name="40% - Accent2 7" xfId="1494" xr:uid="{00000000-0005-0000-0000-0000F6040000}"/>
    <cellStyle name="40% - Accent2 7 2" xfId="3724" xr:uid="{00000000-0005-0000-0000-0000F7040000}"/>
    <cellStyle name="40% - Accent2 7 2 2" xfId="7948" xr:uid="{00000000-0005-0000-0000-0000F8040000}"/>
    <cellStyle name="40% - Accent2 7 2 2 2" xfId="16377" xr:uid="{D39A4277-E469-4036-B844-8551350A60F1}"/>
    <cellStyle name="40% - Accent2 7 2 3" xfId="12159" xr:uid="{D97DB9FF-1582-4872-A1B7-653327849687}"/>
    <cellStyle name="40% - Accent2 7 3" xfId="5803" xr:uid="{00000000-0005-0000-0000-0000F9040000}"/>
    <cellStyle name="40% - Accent2 7 3 2" xfId="14232" xr:uid="{0C97580C-20DF-4114-A777-5C5966068FAF}"/>
    <cellStyle name="40% - Accent2 7 4" xfId="10014" xr:uid="{80823267-8193-4242-B20E-142E8B32D636}"/>
    <cellStyle name="40% - Accent2 8" xfId="1908" xr:uid="{00000000-0005-0000-0000-0000FA040000}"/>
    <cellStyle name="40% - Accent2 8 2" xfId="4137" xr:uid="{00000000-0005-0000-0000-0000FB040000}"/>
    <cellStyle name="40% - Accent2 8 2 2" xfId="8361" xr:uid="{00000000-0005-0000-0000-0000FC040000}"/>
    <cellStyle name="40% - Accent2 8 2 2 2" xfId="16790" xr:uid="{4BF7C40A-CDED-40E2-B7F6-444D800F38FB}"/>
    <cellStyle name="40% - Accent2 8 2 3" xfId="12572" xr:uid="{45B070A1-D721-4533-AA4B-56136C44E066}"/>
    <cellStyle name="40% - Accent2 8 3" xfId="6216" xr:uid="{00000000-0005-0000-0000-0000FD040000}"/>
    <cellStyle name="40% - Accent2 8 3 2" xfId="14645" xr:uid="{1C90AC64-4A88-49CD-8DCC-37431D6EFEC3}"/>
    <cellStyle name="40% - Accent2 8 4" xfId="10427" xr:uid="{8094B212-E31B-4B6D-AE8C-C386EF4431B6}"/>
    <cellStyle name="40% - Accent2 9" xfId="2321" xr:uid="{00000000-0005-0000-0000-0000FE040000}"/>
    <cellStyle name="40% - Accent2 9 2" xfId="6629" xr:uid="{00000000-0005-0000-0000-0000FF040000}"/>
    <cellStyle name="40% - Accent2 9 2 2" xfId="15058" xr:uid="{8D0723DE-2C05-4786-80B6-B7116A7979A1}"/>
    <cellStyle name="40% - Accent2 9 3" xfId="10840" xr:uid="{A66DCC26-229B-4004-8843-67B82212F055}"/>
    <cellStyle name="40% - Accent3" xfId="65" builtinId="39" customBuiltin="1"/>
    <cellStyle name="40% - Accent3 10" xfId="4571" xr:uid="{00000000-0005-0000-0000-000001050000}"/>
    <cellStyle name="40% - Accent3 10 2" xfId="13000" xr:uid="{E2F33CA9-4FA3-420A-A12B-E51764DCE022}"/>
    <cellStyle name="40% - Accent3 11" xfId="8782" xr:uid="{9458B25A-4475-482C-8B2B-F9236F916771}"/>
    <cellStyle name="40% - Accent3 2" xfId="66" xr:uid="{00000000-0005-0000-0000-000002050000}"/>
    <cellStyle name="40% - Accent3 2 10" xfId="8783" xr:uid="{31C39520-F98A-4D1E-87B7-852FF600A9DB}"/>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2 2" xfId="15562" xr:uid="{B0317E9E-8AB2-4D4C-91E0-DF4D5D9311F5}"/>
    <cellStyle name="40% - Accent3 2 2 2 2 2 3" xfId="11344" xr:uid="{134121E9-0936-4D42-A619-1E72657DB1A4}"/>
    <cellStyle name="40% - Accent3 2 2 2 2 3" xfId="4988" xr:uid="{00000000-0005-0000-0000-000008050000}"/>
    <cellStyle name="40% - Accent3 2 2 2 2 3 2" xfId="13417" xr:uid="{D66678B4-8BFD-4403-A3C0-75EBCE985AA0}"/>
    <cellStyle name="40% - Accent3 2 2 2 2 4" xfId="9199" xr:uid="{415DC7AF-CF6D-4DED-883B-F196FBEA2E11}"/>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2 2" xfId="15975" xr:uid="{41CB4347-EB43-4006-9E7A-96DA860A6513}"/>
    <cellStyle name="40% - Accent3 2 2 2 3 2 3" xfId="11757" xr:uid="{79F22AEF-2683-4306-8FAE-B26D63F91285}"/>
    <cellStyle name="40% - Accent3 2 2 2 3 3" xfId="5401" xr:uid="{00000000-0005-0000-0000-00000C050000}"/>
    <cellStyle name="40% - Accent3 2 2 2 3 3 2" xfId="13830" xr:uid="{C2A24047-D71A-46AE-90C9-3E9B78ABC187}"/>
    <cellStyle name="40% - Accent3 2 2 2 3 4" xfId="9612" xr:uid="{1EFE8839-3090-42A9-AEF3-264422457A87}"/>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2 2" xfId="16388" xr:uid="{36058CC0-1F4E-4C68-9B9B-284F8DA376FA}"/>
    <cellStyle name="40% - Accent3 2 2 2 4 2 3" xfId="12170" xr:uid="{2CFC5AA9-F8B7-4D98-B729-CC24998A50F7}"/>
    <cellStyle name="40% - Accent3 2 2 2 4 3" xfId="5814" xr:uid="{00000000-0005-0000-0000-000010050000}"/>
    <cellStyle name="40% - Accent3 2 2 2 4 3 2" xfId="14243" xr:uid="{DD3F3B0C-D453-4AE6-897A-8F26DFAA4BFA}"/>
    <cellStyle name="40% - Accent3 2 2 2 4 4" xfId="10025" xr:uid="{AF3F2332-028A-499A-BCA3-75DAE1314FF9}"/>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2 2" xfId="16801" xr:uid="{8AA2C1C8-D6E9-45AA-BB36-24E17E04662B}"/>
    <cellStyle name="40% - Accent3 2 2 2 5 2 3" xfId="12583" xr:uid="{15A49AAB-6544-4162-AABF-3E8F282346B0}"/>
    <cellStyle name="40% - Accent3 2 2 2 5 3" xfId="6227" xr:uid="{00000000-0005-0000-0000-000014050000}"/>
    <cellStyle name="40% - Accent3 2 2 2 5 3 2" xfId="14656" xr:uid="{7EEA6332-ED21-4980-BC42-AACC6A78DF17}"/>
    <cellStyle name="40% - Accent3 2 2 2 5 4" xfId="10438" xr:uid="{B1E0D102-9EF7-48E2-B520-4AE460174724}"/>
    <cellStyle name="40% - Accent3 2 2 2 6" xfId="2332" xr:uid="{00000000-0005-0000-0000-000015050000}"/>
    <cellStyle name="40% - Accent3 2 2 2 6 2" xfId="6640" xr:uid="{00000000-0005-0000-0000-000016050000}"/>
    <cellStyle name="40% - Accent3 2 2 2 6 2 2" xfId="15069" xr:uid="{7B746FAC-2357-4C5B-9F4C-5000A8B50C5D}"/>
    <cellStyle name="40% - Accent3 2 2 2 6 3" xfId="10851" xr:uid="{51EC341D-466B-4EBB-BEC1-78C05BF33280}"/>
    <cellStyle name="40% - Accent3 2 2 2 7" xfId="4574" xr:uid="{00000000-0005-0000-0000-000017050000}"/>
    <cellStyle name="40% - Accent3 2 2 2 7 2" xfId="13003" xr:uid="{60C6E0F7-B9E5-4DC4-8608-7D9804EC390B}"/>
    <cellStyle name="40% - Accent3 2 2 2 8" xfId="8785" xr:uid="{60646802-FA85-4F83-B54C-A926DCAAB64E}"/>
    <cellStyle name="40% - Accent3 2 2 3" xfId="637" xr:uid="{00000000-0005-0000-0000-000018050000}"/>
    <cellStyle name="40% - Accent3 2 2 3 2" xfId="2908" xr:uid="{00000000-0005-0000-0000-000019050000}"/>
    <cellStyle name="40% - Accent3 2 2 3 2 2" xfId="7132" xr:uid="{00000000-0005-0000-0000-00001A050000}"/>
    <cellStyle name="40% - Accent3 2 2 3 2 2 2" xfId="15561" xr:uid="{ADC28856-A05B-48B2-80E0-0557D842A912}"/>
    <cellStyle name="40% - Accent3 2 2 3 2 3" xfId="11343" xr:uid="{2B06226C-F124-4FEC-8EDC-5967AAFCF6AA}"/>
    <cellStyle name="40% - Accent3 2 2 3 3" xfId="4987" xr:uid="{00000000-0005-0000-0000-00001B050000}"/>
    <cellStyle name="40% - Accent3 2 2 3 3 2" xfId="13416" xr:uid="{28CA3DC5-23EA-415A-9ED8-D5BFA01D874F}"/>
    <cellStyle name="40% - Accent3 2 2 3 4" xfId="9198" xr:uid="{CBAB3D8D-8111-403D-A845-882AAFDDCB5C}"/>
    <cellStyle name="40% - Accent3 2 2 4" xfId="1090" xr:uid="{00000000-0005-0000-0000-00001C050000}"/>
    <cellStyle name="40% - Accent3 2 2 4 2" xfId="3321" xr:uid="{00000000-0005-0000-0000-00001D050000}"/>
    <cellStyle name="40% - Accent3 2 2 4 2 2" xfId="7545" xr:uid="{00000000-0005-0000-0000-00001E050000}"/>
    <cellStyle name="40% - Accent3 2 2 4 2 2 2" xfId="15974" xr:uid="{C282D3ED-B1D8-4F66-84C8-6C5FCE5C7688}"/>
    <cellStyle name="40% - Accent3 2 2 4 2 3" xfId="11756" xr:uid="{41210419-1946-4B95-A943-755F6ECDB8E0}"/>
    <cellStyle name="40% - Accent3 2 2 4 3" xfId="5400" xr:uid="{00000000-0005-0000-0000-00001F050000}"/>
    <cellStyle name="40% - Accent3 2 2 4 3 2" xfId="13829" xr:uid="{1F8E9D30-404F-400B-B3F4-8D4645C4EE0B}"/>
    <cellStyle name="40% - Accent3 2 2 4 4" xfId="9611" xr:uid="{E3CE5F75-56D9-4BE9-A637-7E48E4DE713A}"/>
    <cellStyle name="40% - Accent3 2 2 5" xfId="1504" xr:uid="{00000000-0005-0000-0000-000020050000}"/>
    <cellStyle name="40% - Accent3 2 2 5 2" xfId="3734" xr:uid="{00000000-0005-0000-0000-000021050000}"/>
    <cellStyle name="40% - Accent3 2 2 5 2 2" xfId="7958" xr:uid="{00000000-0005-0000-0000-000022050000}"/>
    <cellStyle name="40% - Accent3 2 2 5 2 2 2" xfId="16387" xr:uid="{C359A504-B598-484E-AF58-4B1F4E5F4CBC}"/>
    <cellStyle name="40% - Accent3 2 2 5 2 3" xfId="12169" xr:uid="{2FB9E431-A91F-4236-9732-30BB307B5B14}"/>
    <cellStyle name="40% - Accent3 2 2 5 3" xfId="5813" xr:uid="{00000000-0005-0000-0000-000023050000}"/>
    <cellStyle name="40% - Accent3 2 2 5 3 2" xfId="14242" xr:uid="{27EEE75D-D976-4EA2-B3B6-65ED9912CE76}"/>
    <cellStyle name="40% - Accent3 2 2 5 4" xfId="10024" xr:uid="{48C55254-F8BA-4D7C-8589-9DAD9A67A7FC}"/>
    <cellStyle name="40% - Accent3 2 2 6" xfId="1918" xr:uid="{00000000-0005-0000-0000-000024050000}"/>
    <cellStyle name="40% - Accent3 2 2 6 2" xfId="4147" xr:uid="{00000000-0005-0000-0000-000025050000}"/>
    <cellStyle name="40% - Accent3 2 2 6 2 2" xfId="8371" xr:uid="{00000000-0005-0000-0000-000026050000}"/>
    <cellStyle name="40% - Accent3 2 2 6 2 2 2" xfId="16800" xr:uid="{379DDA10-7CBD-430D-8B97-750426BB8F3D}"/>
    <cellStyle name="40% - Accent3 2 2 6 2 3" xfId="12582" xr:uid="{739D57C7-121B-4B65-9235-57E16DD2650A}"/>
    <cellStyle name="40% - Accent3 2 2 6 3" xfId="6226" xr:uid="{00000000-0005-0000-0000-000027050000}"/>
    <cellStyle name="40% - Accent3 2 2 6 3 2" xfId="14655" xr:uid="{5DB8B7C8-D4FC-47A7-9D9F-8FF1C349DA3B}"/>
    <cellStyle name="40% - Accent3 2 2 6 4" xfId="10437" xr:uid="{0AF95C76-69D4-49D7-B778-A942A07E931D}"/>
    <cellStyle name="40% - Accent3 2 2 7" xfId="2331" xr:uid="{00000000-0005-0000-0000-000028050000}"/>
    <cellStyle name="40% - Accent3 2 2 7 2" xfId="6639" xr:uid="{00000000-0005-0000-0000-000029050000}"/>
    <cellStyle name="40% - Accent3 2 2 7 2 2" xfId="15068" xr:uid="{F9E5CC1C-345F-4D16-863C-67465A5C7451}"/>
    <cellStyle name="40% - Accent3 2 2 7 3" xfId="10850" xr:uid="{3968ACAC-9AB3-4155-AA7A-3A710190DFC2}"/>
    <cellStyle name="40% - Accent3 2 2 8" xfId="4573" xr:uid="{00000000-0005-0000-0000-00002A050000}"/>
    <cellStyle name="40% - Accent3 2 2 8 2" xfId="13002" xr:uid="{B390149C-E44C-4928-BFCB-6DD8A0224780}"/>
    <cellStyle name="40% - Accent3 2 2 9" xfId="8784" xr:uid="{4C384A2D-BEAF-4062-8EC1-5884260BA03C}"/>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2 2" xfId="15563" xr:uid="{D4D882CD-54CC-4AA5-BFDD-62C7DEBA9579}"/>
    <cellStyle name="40% - Accent3 2 3 2 2 3" xfId="11345" xr:uid="{E7E7E7CD-59F1-4AC4-9622-9CBD339522E5}"/>
    <cellStyle name="40% - Accent3 2 3 2 3" xfId="4989" xr:uid="{00000000-0005-0000-0000-00002F050000}"/>
    <cellStyle name="40% - Accent3 2 3 2 3 2" xfId="13418" xr:uid="{11BC2AAE-0BBC-49B3-A5ED-76F34AF3AC59}"/>
    <cellStyle name="40% - Accent3 2 3 2 4" xfId="9200" xr:uid="{A16CAFD7-2664-4088-BEEC-41A53E775DE8}"/>
    <cellStyle name="40% - Accent3 2 3 3" xfId="1092" xr:uid="{00000000-0005-0000-0000-000030050000}"/>
    <cellStyle name="40% - Accent3 2 3 3 2" xfId="3323" xr:uid="{00000000-0005-0000-0000-000031050000}"/>
    <cellStyle name="40% - Accent3 2 3 3 2 2" xfId="7547" xr:uid="{00000000-0005-0000-0000-000032050000}"/>
    <cellStyle name="40% - Accent3 2 3 3 2 2 2" xfId="15976" xr:uid="{08E0B0B8-FDBE-46D2-81B9-AFA6F6D4C001}"/>
    <cellStyle name="40% - Accent3 2 3 3 2 3" xfId="11758" xr:uid="{F8006A44-F218-4542-89FE-A7F2BB2A932E}"/>
    <cellStyle name="40% - Accent3 2 3 3 3" xfId="5402" xr:uid="{00000000-0005-0000-0000-000033050000}"/>
    <cellStyle name="40% - Accent3 2 3 3 3 2" xfId="13831" xr:uid="{B3DFA5DD-A8E5-4915-B6F2-1454965AFFCB}"/>
    <cellStyle name="40% - Accent3 2 3 3 4" xfId="9613" xr:uid="{F8F4390C-0E3C-4614-99D2-936638845B83}"/>
    <cellStyle name="40% - Accent3 2 3 4" xfId="1506" xr:uid="{00000000-0005-0000-0000-000034050000}"/>
    <cellStyle name="40% - Accent3 2 3 4 2" xfId="3736" xr:uid="{00000000-0005-0000-0000-000035050000}"/>
    <cellStyle name="40% - Accent3 2 3 4 2 2" xfId="7960" xr:uid="{00000000-0005-0000-0000-000036050000}"/>
    <cellStyle name="40% - Accent3 2 3 4 2 2 2" xfId="16389" xr:uid="{1F90714C-2B4C-4F06-AE9D-7FD26B687916}"/>
    <cellStyle name="40% - Accent3 2 3 4 2 3" xfId="12171" xr:uid="{28D77F43-314D-48AE-97FC-86CE702E04DC}"/>
    <cellStyle name="40% - Accent3 2 3 4 3" xfId="5815" xr:uid="{00000000-0005-0000-0000-000037050000}"/>
    <cellStyle name="40% - Accent3 2 3 4 3 2" xfId="14244" xr:uid="{98EE4541-765A-458A-9B95-E527FF6C67E0}"/>
    <cellStyle name="40% - Accent3 2 3 4 4" xfId="10026" xr:uid="{CBD7BA29-769E-46A9-9721-2FD4578D1CCA}"/>
    <cellStyle name="40% - Accent3 2 3 5" xfId="1920" xr:uid="{00000000-0005-0000-0000-000038050000}"/>
    <cellStyle name="40% - Accent3 2 3 5 2" xfId="4149" xr:uid="{00000000-0005-0000-0000-000039050000}"/>
    <cellStyle name="40% - Accent3 2 3 5 2 2" xfId="8373" xr:uid="{00000000-0005-0000-0000-00003A050000}"/>
    <cellStyle name="40% - Accent3 2 3 5 2 2 2" xfId="16802" xr:uid="{C0BA99A5-E92C-42DF-AA0B-08DC1F8389F5}"/>
    <cellStyle name="40% - Accent3 2 3 5 2 3" xfId="12584" xr:uid="{39FB2AE5-70B7-4DB4-9A93-4CC28291B948}"/>
    <cellStyle name="40% - Accent3 2 3 5 3" xfId="6228" xr:uid="{00000000-0005-0000-0000-00003B050000}"/>
    <cellStyle name="40% - Accent3 2 3 5 3 2" xfId="14657" xr:uid="{9E7C1B5E-A5BB-4BF4-85B5-38C51DF92C5C}"/>
    <cellStyle name="40% - Accent3 2 3 5 4" xfId="10439" xr:uid="{689B6F1D-5C0B-4C77-B862-263C4ED290F2}"/>
    <cellStyle name="40% - Accent3 2 3 6" xfId="2333" xr:uid="{00000000-0005-0000-0000-00003C050000}"/>
    <cellStyle name="40% - Accent3 2 3 6 2" xfId="6641" xr:uid="{00000000-0005-0000-0000-00003D050000}"/>
    <cellStyle name="40% - Accent3 2 3 6 2 2" xfId="15070" xr:uid="{5A0AFCC1-6354-449B-B9C2-90251877A3B6}"/>
    <cellStyle name="40% - Accent3 2 3 6 3" xfId="10852" xr:uid="{D2E5B2EB-0C2F-4CA3-B1B9-0B4319B4D6A0}"/>
    <cellStyle name="40% - Accent3 2 3 7" xfId="4575" xr:uid="{00000000-0005-0000-0000-00003E050000}"/>
    <cellStyle name="40% - Accent3 2 3 7 2" xfId="13004" xr:uid="{DCE5E76B-A60D-4B54-9321-43E6CAC49A53}"/>
    <cellStyle name="40% - Accent3 2 3 8" xfId="8786" xr:uid="{BA374513-9EAA-4895-ADAA-8714F3A14A3E}"/>
    <cellStyle name="40% - Accent3 2 4" xfId="636" xr:uid="{00000000-0005-0000-0000-00003F050000}"/>
    <cellStyle name="40% - Accent3 2 4 2" xfId="2907" xr:uid="{00000000-0005-0000-0000-000040050000}"/>
    <cellStyle name="40% - Accent3 2 4 2 2" xfId="7131" xr:uid="{00000000-0005-0000-0000-000041050000}"/>
    <cellStyle name="40% - Accent3 2 4 2 2 2" xfId="15560" xr:uid="{E9E02208-00A7-4A08-8650-02F35A6AD556}"/>
    <cellStyle name="40% - Accent3 2 4 2 3" xfId="11342" xr:uid="{26BDBA50-2949-4EA8-9AEE-FE55FE26CE0E}"/>
    <cellStyle name="40% - Accent3 2 4 3" xfId="4986" xr:uid="{00000000-0005-0000-0000-000042050000}"/>
    <cellStyle name="40% - Accent3 2 4 3 2" xfId="13415" xr:uid="{EAAA253A-015E-475F-A80A-E77AEB588251}"/>
    <cellStyle name="40% - Accent3 2 4 4" xfId="9197" xr:uid="{720FDAAC-DB00-416C-B0CF-30DCC9B22AAB}"/>
    <cellStyle name="40% - Accent3 2 5" xfId="1089" xr:uid="{00000000-0005-0000-0000-000043050000}"/>
    <cellStyle name="40% - Accent3 2 5 2" xfId="3320" xr:uid="{00000000-0005-0000-0000-000044050000}"/>
    <cellStyle name="40% - Accent3 2 5 2 2" xfId="7544" xr:uid="{00000000-0005-0000-0000-000045050000}"/>
    <cellStyle name="40% - Accent3 2 5 2 2 2" xfId="15973" xr:uid="{A79361EB-71E7-4918-AA23-712C4918B499}"/>
    <cellStyle name="40% - Accent3 2 5 2 3" xfId="11755" xr:uid="{02E8372B-DD4C-4CA8-AF9A-8563D57BC240}"/>
    <cellStyle name="40% - Accent3 2 5 3" xfId="5399" xr:uid="{00000000-0005-0000-0000-000046050000}"/>
    <cellStyle name="40% - Accent3 2 5 3 2" xfId="13828" xr:uid="{77D45A71-905D-4CFC-B030-B41DD902E448}"/>
    <cellStyle name="40% - Accent3 2 5 4" xfId="9610" xr:uid="{46014C82-BF58-4F81-B5BC-264EE53BE517}"/>
    <cellStyle name="40% - Accent3 2 6" xfId="1503" xr:uid="{00000000-0005-0000-0000-000047050000}"/>
    <cellStyle name="40% - Accent3 2 6 2" xfId="3733" xr:uid="{00000000-0005-0000-0000-000048050000}"/>
    <cellStyle name="40% - Accent3 2 6 2 2" xfId="7957" xr:uid="{00000000-0005-0000-0000-000049050000}"/>
    <cellStyle name="40% - Accent3 2 6 2 2 2" xfId="16386" xr:uid="{6261815A-8221-410A-8AF1-5DC7E00F7172}"/>
    <cellStyle name="40% - Accent3 2 6 2 3" xfId="12168" xr:uid="{D45BC44E-B0C2-4FB7-BF40-D71EBFA95C72}"/>
    <cellStyle name="40% - Accent3 2 6 3" xfId="5812" xr:uid="{00000000-0005-0000-0000-00004A050000}"/>
    <cellStyle name="40% - Accent3 2 6 3 2" xfId="14241" xr:uid="{7289F54C-3890-484C-8677-1B86AC9E919D}"/>
    <cellStyle name="40% - Accent3 2 6 4" xfId="10023" xr:uid="{F9AFF411-5B4C-4B1D-9503-7C28B67308CB}"/>
    <cellStyle name="40% - Accent3 2 7" xfId="1917" xr:uid="{00000000-0005-0000-0000-00004B050000}"/>
    <cellStyle name="40% - Accent3 2 7 2" xfId="4146" xr:uid="{00000000-0005-0000-0000-00004C050000}"/>
    <cellStyle name="40% - Accent3 2 7 2 2" xfId="8370" xr:uid="{00000000-0005-0000-0000-00004D050000}"/>
    <cellStyle name="40% - Accent3 2 7 2 2 2" xfId="16799" xr:uid="{BD63D7E7-D274-424C-BE58-B73416C63B73}"/>
    <cellStyle name="40% - Accent3 2 7 2 3" xfId="12581" xr:uid="{9E089F63-2999-486B-B93D-CC2E89422E52}"/>
    <cellStyle name="40% - Accent3 2 7 3" xfId="6225" xr:uid="{00000000-0005-0000-0000-00004E050000}"/>
    <cellStyle name="40% - Accent3 2 7 3 2" xfId="14654" xr:uid="{BFCC4885-50C5-4607-BDE7-ED794B308B4E}"/>
    <cellStyle name="40% - Accent3 2 7 4" xfId="10436" xr:uid="{790595FB-E0AF-40DF-8CD4-AAA63AB22752}"/>
    <cellStyle name="40% - Accent3 2 8" xfId="2330" xr:uid="{00000000-0005-0000-0000-00004F050000}"/>
    <cellStyle name="40% - Accent3 2 8 2" xfId="6638" xr:uid="{00000000-0005-0000-0000-000050050000}"/>
    <cellStyle name="40% - Accent3 2 8 2 2" xfId="15067" xr:uid="{E27CC0BA-4D79-48D6-8C1B-4252B5FAF6A4}"/>
    <cellStyle name="40% - Accent3 2 8 3" xfId="10849" xr:uid="{65BB578E-A4FB-42CD-8D72-3FF9FFC5885F}"/>
    <cellStyle name="40% - Accent3 2 9" xfId="4572" xr:uid="{00000000-0005-0000-0000-000051050000}"/>
    <cellStyle name="40% - Accent3 2 9 2" xfId="13001" xr:uid="{BB06FE96-6DA7-409B-8E52-9EA7A22F676A}"/>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2 2" xfId="15565" xr:uid="{F5880C0F-ACBE-4C87-B361-3A2BC517D669}"/>
    <cellStyle name="40% - Accent3 3 2 2 2 3" xfId="11347" xr:uid="{D6F3F366-78BB-438C-B0E1-26B452C642BB}"/>
    <cellStyle name="40% - Accent3 3 2 2 3" xfId="4991" xr:uid="{00000000-0005-0000-0000-000057050000}"/>
    <cellStyle name="40% - Accent3 3 2 2 3 2" xfId="13420" xr:uid="{5AB85200-A33D-43E3-B1D2-2E9B9EC7DCE0}"/>
    <cellStyle name="40% - Accent3 3 2 2 4" xfId="9202" xr:uid="{5347E753-A969-403B-A8D3-7EB308F6330A}"/>
    <cellStyle name="40% - Accent3 3 2 3" xfId="1094" xr:uid="{00000000-0005-0000-0000-000058050000}"/>
    <cellStyle name="40% - Accent3 3 2 3 2" xfId="3325" xr:uid="{00000000-0005-0000-0000-000059050000}"/>
    <cellStyle name="40% - Accent3 3 2 3 2 2" xfId="7549" xr:uid="{00000000-0005-0000-0000-00005A050000}"/>
    <cellStyle name="40% - Accent3 3 2 3 2 2 2" xfId="15978" xr:uid="{EF08A5DE-8B09-4315-94B6-84F0667A2CB3}"/>
    <cellStyle name="40% - Accent3 3 2 3 2 3" xfId="11760" xr:uid="{8DBD37D2-A3C8-493B-BE4F-8DE326B68688}"/>
    <cellStyle name="40% - Accent3 3 2 3 3" xfId="5404" xr:uid="{00000000-0005-0000-0000-00005B050000}"/>
    <cellStyle name="40% - Accent3 3 2 3 3 2" xfId="13833" xr:uid="{0731E907-49C1-4B27-A12F-44797795A426}"/>
    <cellStyle name="40% - Accent3 3 2 3 4" xfId="9615" xr:uid="{B3170510-3ADF-412F-9578-93D57CD2C036}"/>
    <cellStyle name="40% - Accent3 3 2 4" xfId="1508" xr:uid="{00000000-0005-0000-0000-00005C050000}"/>
    <cellStyle name="40% - Accent3 3 2 4 2" xfId="3738" xr:uid="{00000000-0005-0000-0000-00005D050000}"/>
    <cellStyle name="40% - Accent3 3 2 4 2 2" xfId="7962" xr:uid="{00000000-0005-0000-0000-00005E050000}"/>
    <cellStyle name="40% - Accent3 3 2 4 2 2 2" xfId="16391" xr:uid="{D187EA29-2181-4B85-B1EA-C30036809D44}"/>
    <cellStyle name="40% - Accent3 3 2 4 2 3" xfId="12173" xr:uid="{5DADFF76-474D-4D4B-947A-F5A818103FE7}"/>
    <cellStyle name="40% - Accent3 3 2 4 3" xfId="5817" xr:uid="{00000000-0005-0000-0000-00005F050000}"/>
    <cellStyle name="40% - Accent3 3 2 4 3 2" xfId="14246" xr:uid="{EC894198-3E11-4C27-A03E-34AB7B8455BF}"/>
    <cellStyle name="40% - Accent3 3 2 4 4" xfId="10028" xr:uid="{CD3AD0C9-398F-418F-A48B-895170AA2B58}"/>
    <cellStyle name="40% - Accent3 3 2 5" xfId="1922" xr:uid="{00000000-0005-0000-0000-000060050000}"/>
    <cellStyle name="40% - Accent3 3 2 5 2" xfId="4151" xr:uid="{00000000-0005-0000-0000-000061050000}"/>
    <cellStyle name="40% - Accent3 3 2 5 2 2" xfId="8375" xr:uid="{00000000-0005-0000-0000-000062050000}"/>
    <cellStyle name="40% - Accent3 3 2 5 2 2 2" xfId="16804" xr:uid="{DCA34CAC-5C76-4F74-97D4-5F2CD05F2985}"/>
    <cellStyle name="40% - Accent3 3 2 5 2 3" xfId="12586" xr:uid="{DFC57E42-413D-4434-AD88-613EC26A0305}"/>
    <cellStyle name="40% - Accent3 3 2 5 3" xfId="6230" xr:uid="{00000000-0005-0000-0000-000063050000}"/>
    <cellStyle name="40% - Accent3 3 2 5 3 2" xfId="14659" xr:uid="{A6E2156C-4F69-4A51-B98B-3A23235EB878}"/>
    <cellStyle name="40% - Accent3 3 2 5 4" xfId="10441" xr:uid="{7DF6828F-2AFF-4F76-AE07-12F0C4D18B89}"/>
    <cellStyle name="40% - Accent3 3 2 6" xfId="2335" xr:uid="{00000000-0005-0000-0000-000064050000}"/>
    <cellStyle name="40% - Accent3 3 2 6 2" xfId="6643" xr:uid="{00000000-0005-0000-0000-000065050000}"/>
    <cellStyle name="40% - Accent3 3 2 6 2 2" xfId="15072" xr:uid="{9A2BB5DD-9823-453B-8752-DA9D0BFA4846}"/>
    <cellStyle name="40% - Accent3 3 2 6 3" xfId="10854" xr:uid="{56874DD7-6C2A-4BCA-803F-CF9116F16864}"/>
    <cellStyle name="40% - Accent3 3 2 7" xfId="4577" xr:uid="{00000000-0005-0000-0000-000066050000}"/>
    <cellStyle name="40% - Accent3 3 2 7 2" xfId="13006" xr:uid="{2B77730A-AA66-4901-B496-A3D16278AA96}"/>
    <cellStyle name="40% - Accent3 3 2 8" xfId="8788" xr:uid="{D747E065-3D74-4AF9-9F57-F80514BF6557}"/>
    <cellStyle name="40% - Accent3 3 3" xfId="640" xr:uid="{00000000-0005-0000-0000-000067050000}"/>
    <cellStyle name="40% - Accent3 3 3 2" xfId="2911" xr:uid="{00000000-0005-0000-0000-000068050000}"/>
    <cellStyle name="40% - Accent3 3 3 2 2" xfId="7135" xr:uid="{00000000-0005-0000-0000-000069050000}"/>
    <cellStyle name="40% - Accent3 3 3 2 2 2" xfId="15564" xr:uid="{5122A030-69DE-4D57-8491-7EC76ED4DEC8}"/>
    <cellStyle name="40% - Accent3 3 3 2 3" xfId="11346" xr:uid="{0E8036C0-6C72-4B8A-9800-502C1F6A68EA}"/>
    <cellStyle name="40% - Accent3 3 3 3" xfId="4990" xr:uid="{00000000-0005-0000-0000-00006A050000}"/>
    <cellStyle name="40% - Accent3 3 3 3 2" xfId="13419" xr:uid="{C36C2A27-306D-44BE-BA9A-1A2F6D16AFA5}"/>
    <cellStyle name="40% - Accent3 3 3 4" xfId="9201" xr:uid="{808651A4-17D9-4F45-8E86-A4A62DB7DD18}"/>
    <cellStyle name="40% - Accent3 3 4" xfId="1093" xr:uid="{00000000-0005-0000-0000-00006B050000}"/>
    <cellStyle name="40% - Accent3 3 4 2" xfId="3324" xr:uid="{00000000-0005-0000-0000-00006C050000}"/>
    <cellStyle name="40% - Accent3 3 4 2 2" xfId="7548" xr:uid="{00000000-0005-0000-0000-00006D050000}"/>
    <cellStyle name="40% - Accent3 3 4 2 2 2" xfId="15977" xr:uid="{0D9F8623-4E33-4C07-9330-A7BEEDB0AE46}"/>
    <cellStyle name="40% - Accent3 3 4 2 3" xfId="11759" xr:uid="{9144E5CC-984A-4EE6-8622-74D7B5F66404}"/>
    <cellStyle name="40% - Accent3 3 4 3" xfId="5403" xr:uid="{00000000-0005-0000-0000-00006E050000}"/>
    <cellStyle name="40% - Accent3 3 4 3 2" xfId="13832" xr:uid="{B15DE797-7EE5-424B-B7E9-840855595105}"/>
    <cellStyle name="40% - Accent3 3 4 4" xfId="9614" xr:uid="{FC1D4EC6-15EF-456E-8CD8-08AA3DC02694}"/>
    <cellStyle name="40% - Accent3 3 5" xfId="1507" xr:uid="{00000000-0005-0000-0000-00006F050000}"/>
    <cellStyle name="40% - Accent3 3 5 2" xfId="3737" xr:uid="{00000000-0005-0000-0000-000070050000}"/>
    <cellStyle name="40% - Accent3 3 5 2 2" xfId="7961" xr:uid="{00000000-0005-0000-0000-000071050000}"/>
    <cellStyle name="40% - Accent3 3 5 2 2 2" xfId="16390" xr:uid="{005362C7-C792-49A8-AC62-8D422BFC4F72}"/>
    <cellStyle name="40% - Accent3 3 5 2 3" xfId="12172" xr:uid="{42B5B495-9CB4-4011-92A0-47EFE40831AF}"/>
    <cellStyle name="40% - Accent3 3 5 3" xfId="5816" xr:uid="{00000000-0005-0000-0000-000072050000}"/>
    <cellStyle name="40% - Accent3 3 5 3 2" xfId="14245" xr:uid="{939AC490-08A6-41BC-A5AB-EBC880F5365D}"/>
    <cellStyle name="40% - Accent3 3 5 4" xfId="10027" xr:uid="{BF9F9C07-3533-421C-A86B-0423A3D440FC}"/>
    <cellStyle name="40% - Accent3 3 6" xfId="1921" xr:uid="{00000000-0005-0000-0000-000073050000}"/>
    <cellStyle name="40% - Accent3 3 6 2" xfId="4150" xr:uid="{00000000-0005-0000-0000-000074050000}"/>
    <cellStyle name="40% - Accent3 3 6 2 2" xfId="8374" xr:uid="{00000000-0005-0000-0000-000075050000}"/>
    <cellStyle name="40% - Accent3 3 6 2 2 2" xfId="16803" xr:uid="{58F9D85E-AD81-4718-9F8A-3FF53A35D912}"/>
    <cellStyle name="40% - Accent3 3 6 2 3" xfId="12585" xr:uid="{73BABEF5-4787-4C3B-A8DB-C35D25B856FB}"/>
    <cellStyle name="40% - Accent3 3 6 3" xfId="6229" xr:uid="{00000000-0005-0000-0000-000076050000}"/>
    <cellStyle name="40% - Accent3 3 6 3 2" xfId="14658" xr:uid="{DD1DAF29-BAC0-437F-ADE5-C260AC063F16}"/>
    <cellStyle name="40% - Accent3 3 6 4" xfId="10440" xr:uid="{9188A0AC-1150-4048-AC93-B73A6F840649}"/>
    <cellStyle name="40% - Accent3 3 7" xfId="2334" xr:uid="{00000000-0005-0000-0000-000077050000}"/>
    <cellStyle name="40% - Accent3 3 7 2" xfId="6642" xr:uid="{00000000-0005-0000-0000-000078050000}"/>
    <cellStyle name="40% - Accent3 3 7 2 2" xfId="15071" xr:uid="{229C4D18-9B17-4B14-89DE-BD3001194922}"/>
    <cellStyle name="40% - Accent3 3 7 3" xfId="10853" xr:uid="{D125E7D8-1B53-49B4-A679-9E0FAE2D8587}"/>
    <cellStyle name="40% - Accent3 3 8" xfId="4576" xr:uid="{00000000-0005-0000-0000-000079050000}"/>
    <cellStyle name="40% - Accent3 3 8 2" xfId="13005" xr:uid="{DDBD2EA5-41E0-4876-914B-665E76BF0EDE}"/>
    <cellStyle name="40% - Accent3 3 9" xfId="8787" xr:uid="{7994F14B-8D89-4219-9881-5699DF44DE5E}"/>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2 2" xfId="15566" xr:uid="{27CC18E5-48D2-4988-8D42-49CB0B89047C}"/>
    <cellStyle name="40% - Accent3 4 2 2 3" xfId="11348" xr:uid="{6A37EB20-BD6A-4018-8947-1EF3602383FB}"/>
    <cellStyle name="40% - Accent3 4 2 3" xfId="4992" xr:uid="{00000000-0005-0000-0000-00007E050000}"/>
    <cellStyle name="40% - Accent3 4 2 3 2" xfId="13421" xr:uid="{728F3F99-4307-4AF4-80E5-C04889C1CBAF}"/>
    <cellStyle name="40% - Accent3 4 2 4" xfId="9203" xr:uid="{97BCED5D-996A-4E6D-950D-1191EA767361}"/>
    <cellStyle name="40% - Accent3 4 3" xfId="1095" xr:uid="{00000000-0005-0000-0000-00007F050000}"/>
    <cellStyle name="40% - Accent3 4 3 2" xfId="3326" xr:uid="{00000000-0005-0000-0000-000080050000}"/>
    <cellStyle name="40% - Accent3 4 3 2 2" xfId="7550" xr:uid="{00000000-0005-0000-0000-000081050000}"/>
    <cellStyle name="40% - Accent3 4 3 2 2 2" xfId="15979" xr:uid="{3C3BF5DB-68C6-479C-81C0-60D1620A0116}"/>
    <cellStyle name="40% - Accent3 4 3 2 3" xfId="11761" xr:uid="{0469C4BE-1CF8-4824-A944-B2F465BB1C5C}"/>
    <cellStyle name="40% - Accent3 4 3 3" xfId="5405" xr:uid="{00000000-0005-0000-0000-000082050000}"/>
    <cellStyle name="40% - Accent3 4 3 3 2" xfId="13834" xr:uid="{6F397C96-FAD0-4A02-B8DC-09B677E46EC1}"/>
    <cellStyle name="40% - Accent3 4 3 4" xfId="9616" xr:uid="{3F13D3B4-B0C5-409B-9721-377C38445A1F}"/>
    <cellStyle name="40% - Accent3 4 4" xfId="1509" xr:uid="{00000000-0005-0000-0000-000083050000}"/>
    <cellStyle name="40% - Accent3 4 4 2" xfId="3739" xr:uid="{00000000-0005-0000-0000-000084050000}"/>
    <cellStyle name="40% - Accent3 4 4 2 2" xfId="7963" xr:uid="{00000000-0005-0000-0000-000085050000}"/>
    <cellStyle name="40% - Accent3 4 4 2 2 2" xfId="16392" xr:uid="{A8B6F4E5-5936-41F2-A9EC-D06186D0A868}"/>
    <cellStyle name="40% - Accent3 4 4 2 3" xfId="12174" xr:uid="{0A8BE476-7E34-4684-8AB0-7D9D34BFBE6B}"/>
    <cellStyle name="40% - Accent3 4 4 3" xfId="5818" xr:uid="{00000000-0005-0000-0000-000086050000}"/>
    <cellStyle name="40% - Accent3 4 4 3 2" xfId="14247" xr:uid="{980594E5-7D36-479B-9A6E-B42D36E6A044}"/>
    <cellStyle name="40% - Accent3 4 4 4" xfId="10029" xr:uid="{B8AE0DCD-A422-4B21-8F19-DD6ACC74BC6C}"/>
    <cellStyle name="40% - Accent3 4 5" xfId="1923" xr:uid="{00000000-0005-0000-0000-000087050000}"/>
    <cellStyle name="40% - Accent3 4 5 2" xfId="4152" xr:uid="{00000000-0005-0000-0000-000088050000}"/>
    <cellStyle name="40% - Accent3 4 5 2 2" xfId="8376" xr:uid="{00000000-0005-0000-0000-000089050000}"/>
    <cellStyle name="40% - Accent3 4 5 2 2 2" xfId="16805" xr:uid="{992A2216-406B-4B9E-9620-5C8FC9137194}"/>
    <cellStyle name="40% - Accent3 4 5 2 3" xfId="12587" xr:uid="{E2A7E4A7-308D-49DB-B3FA-210D83407441}"/>
    <cellStyle name="40% - Accent3 4 5 3" xfId="6231" xr:uid="{00000000-0005-0000-0000-00008A050000}"/>
    <cellStyle name="40% - Accent3 4 5 3 2" xfId="14660" xr:uid="{FC1B093A-C722-4F03-851E-D8190ADDA8B0}"/>
    <cellStyle name="40% - Accent3 4 5 4" xfId="10442" xr:uid="{8708CCE4-32D7-4801-9655-4E9500475E8A}"/>
    <cellStyle name="40% - Accent3 4 6" xfId="2336" xr:uid="{00000000-0005-0000-0000-00008B050000}"/>
    <cellStyle name="40% - Accent3 4 6 2" xfId="6644" xr:uid="{00000000-0005-0000-0000-00008C050000}"/>
    <cellStyle name="40% - Accent3 4 6 2 2" xfId="15073" xr:uid="{15A4F25D-DEB1-40B6-BA6B-1AD6BA51BCFE}"/>
    <cellStyle name="40% - Accent3 4 6 3" xfId="10855" xr:uid="{CF56F9EF-0458-4BCF-9EF0-2DC55B8AB6AB}"/>
    <cellStyle name="40% - Accent3 4 7" xfId="4578" xr:uid="{00000000-0005-0000-0000-00008D050000}"/>
    <cellStyle name="40% - Accent3 4 7 2" xfId="13007" xr:uid="{39AEB062-9D3B-4B44-B2F2-A7D1A2358A4C}"/>
    <cellStyle name="40% - Accent3 4 8" xfId="8789" xr:uid="{F252925D-E0FF-4621-9278-B3457C3F7F83}"/>
    <cellStyle name="40% - Accent3 5" xfId="635" xr:uid="{00000000-0005-0000-0000-00008E050000}"/>
    <cellStyle name="40% - Accent3 5 2" xfId="2906" xr:uid="{00000000-0005-0000-0000-00008F050000}"/>
    <cellStyle name="40% - Accent3 5 2 2" xfId="7130" xr:uid="{00000000-0005-0000-0000-000090050000}"/>
    <cellStyle name="40% - Accent3 5 2 2 2" xfId="15559" xr:uid="{96D00BD8-4542-49CC-B3F0-DD2660DBF8A4}"/>
    <cellStyle name="40% - Accent3 5 2 3" xfId="11341" xr:uid="{9B89981A-0F4A-4D22-8499-A1EE55E691EA}"/>
    <cellStyle name="40% - Accent3 5 3" xfId="4985" xr:uid="{00000000-0005-0000-0000-000091050000}"/>
    <cellStyle name="40% - Accent3 5 3 2" xfId="13414" xr:uid="{24934F30-062D-4E39-9955-A69ECBB85051}"/>
    <cellStyle name="40% - Accent3 5 4" xfId="9196" xr:uid="{98A0E409-E456-4303-9629-B7BEF0670269}"/>
    <cellStyle name="40% - Accent3 6" xfId="1088" xr:uid="{00000000-0005-0000-0000-000092050000}"/>
    <cellStyle name="40% - Accent3 6 2" xfId="3319" xr:uid="{00000000-0005-0000-0000-000093050000}"/>
    <cellStyle name="40% - Accent3 6 2 2" xfId="7543" xr:uid="{00000000-0005-0000-0000-000094050000}"/>
    <cellStyle name="40% - Accent3 6 2 2 2" xfId="15972" xr:uid="{9517EFA8-0B4A-4762-87C3-1C436150B604}"/>
    <cellStyle name="40% - Accent3 6 2 3" xfId="11754" xr:uid="{01733029-7B14-42D4-B9A2-16C310A91A20}"/>
    <cellStyle name="40% - Accent3 6 3" xfId="5398" xr:uid="{00000000-0005-0000-0000-000095050000}"/>
    <cellStyle name="40% - Accent3 6 3 2" xfId="13827" xr:uid="{56A23E30-31FC-4BF1-AE7C-88C554EE8E96}"/>
    <cellStyle name="40% - Accent3 6 4" xfId="9609" xr:uid="{B7672AEA-441E-4E58-A220-297995DEFA75}"/>
    <cellStyle name="40% - Accent3 7" xfId="1502" xr:uid="{00000000-0005-0000-0000-000096050000}"/>
    <cellStyle name="40% - Accent3 7 2" xfId="3732" xr:uid="{00000000-0005-0000-0000-000097050000}"/>
    <cellStyle name="40% - Accent3 7 2 2" xfId="7956" xr:uid="{00000000-0005-0000-0000-000098050000}"/>
    <cellStyle name="40% - Accent3 7 2 2 2" xfId="16385" xr:uid="{0E950887-711F-4FB3-9C23-E9B9184D45B4}"/>
    <cellStyle name="40% - Accent3 7 2 3" xfId="12167" xr:uid="{D8440E35-EE14-462F-9AED-5BE2E47A3D27}"/>
    <cellStyle name="40% - Accent3 7 3" xfId="5811" xr:uid="{00000000-0005-0000-0000-000099050000}"/>
    <cellStyle name="40% - Accent3 7 3 2" xfId="14240" xr:uid="{BBECC526-28E7-4BD7-962D-A4C9DF4459E9}"/>
    <cellStyle name="40% - Accent3 7 4" xfId="10022" xr:uid="{76C3B64B-4C52-43EA-8D72-82449713B13F}"/>
    <cellStyle name="40% - Accent3 8" xfId="1916" xr:uid="{00000000-0005-0000-0000-00009A050000}"/>
    <cellStyle name="40% - Accent3 8 2" xfId="4145" xr:uid="{00000000-0005-0000-0000-00009B050000}"/>
    <cellStyle name="40% - Accent3 8 2 2" xfId="8369" xr:uid="{00000000-0005-0000-0000-00009C050000}"/>
    <cellStyle name="40% - Accent3 8 2 2 2" xfId="16798" xr:uid="{3D6E2BB4-B2C9-4D96-8924-D285C476231E}"/>
    <cellStyle name="40% - Accent3 8 2 3" xfId="12580" xr:uid="{EDB08A6D-8A11-4B4D-89E1-D97819D97FFC}"/>
    <cellStyle name="40% - Accent3 8 3" xfId="6224" xr:uid="{00000000-0005-0000-0000-00009D050000}"/>
    <cellStyle name="40% - Accent3 8 3 2" xfId="14653" xr:uid="{11D0FB87-2B4B-469E-B31E-4E21B2B92AC0}"/>
    <cellStyle name="40% - Accent3 8 4" xfId="10435" xr:uid="{BC52D1D3-D80D-479E-8FC2-541BD6FA7994}"/>
    <cellStyle name="40% - Accent3 9" xfId="2329" xr:uid="{00000000-0005-0000-0000-00009E050000}"/>
    <cellStyle name="40% - Accent3 9 2" xfId="6637" xr:uid="{00000000-0005-0000-0000-00009F050000}"/>
    <cellStyle name="40% - Accent3 9 2 2" xfId="15066" xr:uid="{8789912C-AECC-463F-B374-D096A875B612}"/>
    <cellStyle name="40% - Accent3 9 3" xfId="10848" xr:uid="{4228A214-35CE-4AED-A740-655F956AA4A9}"/>
    <cellStyle name="40% - Accent4" xfId="73" builtinId="43" customBuiltin="1"/>
    <cellStyle name="40% - Accent4 10" xfId="4579" xr:uid="{00000000-0005-0000-0000-0000A1050000}"/>
    <cellStyle name="40% - Accent4 10 2" xfId="13008" xr:uid="{93B8F03A-304D-4553-B281-7AF45D32646E}"/>
    <cellStyle name="40% - Accent4 11" xfId="8790" xr:uid="{87F34ECA-7205-4ADE-AD5A-76F265CD3AB3}"/>
    <cellStyle name="40% - Accent4 2" xfId="74" xr:uid="{00000000-0005-0000-0000-0000A2050000}"/>
    <cellStyle name="40% - Accent4 2 10" xfId="8791" xr:uid="{756201BF-8E66-499C-A838-B3A908F2DE84}"/>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2 2" xfId="15570" xr:uid="{35BAE87F-5232-46A1-9929-CE2593CA09B7}"/>
    <cellStyle name="40% - Accent4 2 2 2 2 2 3" xfId="11352" xr:uid="{DD860272-5657-444D-BF91-7F6023FCDB5E}"/>
    <cellStyle name="40% - Accent4 2 2 2 2 3" xfId="4996" xr:uid="{00000000-0005-0000-0000-0000A8050000}"/>
    <cellStyle name="40% - Accent4 2 2 2 2 3 2" xfId="13425" xr:uid="{FD183AC6-58F2-4254-BD69-C6EE57569E1B}"/>
    <cellStyle name="40% - Accent4 2 2 2 2 4" xfId="9207" xr:uid="{92707BAF-9E5B-4E6E-87C7-B9A7911AD08F}"/>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2 2" xfId="15983" xr:uid="{FDF04A6A-3F4D-48CF-89AF-1EFC4845ACF7}"/>
    <cellStyle name="40% - Accent4 2 2 2 3 2 3" xfId="11765" xr:uid="{22F8D266-78A7-4A9D-9A38-CB2D37C8A01E}"/>
    <cellStyle name="40% - Accent4 2 2 2 3 3" xfId="5409" xr:uid="{00000000-0005-0000-0000-0000AC050000}"/>
    <cellStyle name="40% - Accent4 2 2 2 3 3 2" xfId="13838" xr:uid="{C1B26C88-E0CE-4B92-BCDA-0B89FF19B807}"/>
    <cellStyle name="40% - Accent4 2 2 2 3 4" xfId="9620" xr:uid="{F7656B34-323A-4212-AE0B-8709FE837A0C}"/>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2 2" xfId="16396" xr:uid="{8465DC54-871A-4017-B6B2-10D6CBF24802}"/>
    <cellStyle name="40% - Accent4 2 2 2 4 2 3" xfId="12178" xr:uid="{53DFFC92-21BF-4F20-9094-62A1215F5BA0}"/>
    <cellStyle name="40% - Accent4 2 2 2 4 3" xfId="5822" xr:uid="{00000000-0005-0000-0000-0000B0050000}"/>
    <cellStyle name="40% - Accent4 2 2 2 4 3 2" xfId="14251" xr:uid="{CEBC3D8D-6051-4735-BC2A-B9A5F1211925}"/>
    <cellStyle name="40% - Accent4 2 2 2 4 4" xfId="10033" xr:uid="{031E228A-07C0-4A98-8F10-8D8EAF8B1475}"/>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2 2" xfId="16809" xr:uid="{FED3BE6E-DC05-4833-9B64-423A6A05920F}"/>
    <cellStyle name="40% - Accent4 2 2 2 5 2 3" xfId="12591" xr:uid="{3D5E9C3E-E2AE-46BF-ABC0-527788FEC851}"/>
    <cellStyle name="40% - Accent4 2 2 2 5 3" xfId="6235" xr:uid="{00000000-0005-0000-0000-0000B4050000}"/>
    <cellStyle name="40% - Accent4 2 2 2 5 3 2" xfId="14664" xr:uid="{2264ADB6-D829-4244-B019-E7955264283A}"/>
    <cellStyle name="40% - Accent4 2 2 2 5 4" xfId="10446" xr:uid="{5CF093FE-AEE2-479F-970F-ECD98914EC67}"/>
    <cellStyle name="40% - Accent4 2 2 2 6" xfId="2340" xr:uid="{00000000-0005-0000-0000-0000B5050000}"/>
    <cellStyle name="40% - Accent4 2 2 2 6 2" xfId="6648" xr:uid="{00000000-0005-0000-0000-0000B6050000}"/>
    <cellStyle name="40% - Accent4 2 2 2 6 2 2" xfId="15077" xr:uid="{AF09B1A4-166E-4BA4-B00E-659AFB9EA6BF}"/>
    <cellStyle name="40% - Accent4 2 2 2 6 3" xfId="10859" xr:uid="{B6AE044A-1F48-41FF-9A47-394A16E80CE9}"/>
    <cellStyle name="40% - Accent4 2 2 2 7" xfId="4582" xr:uid="{00000000-0005-0000-0000-0000B7050000}"/>
    <cellStyle name="40% - Accent4 2 2 2 7 2" xfId="13011" xr:uid="{25D3F905-128C-4B04-BB96-15E5961CCFFE}"/>
    <cellStyle name="40% - Accent4 2 2 2 8" xfId="8793" xr:uid="{DD0A15BC-DD20-48D6-A131-F7A50CE32402}"/>
    <cellStyle name="40% - Accent4 2 2 3" xfId="645" xr:uid="{00000000-0005-0000-0000-0000B8050000}"/>
    <cellStyle name="40% - Accent4 2 2 3 2" xfId="2916" xr:uid="{00000000-0005-0000-0000-0000B9050000}"/>
    <cellStyle name="40% - Accent4 2 2 3 2 2" xfId="7140" xr:uid="{00000000-0005-0000-0000-0000BA050000}"/>
    <cellStyle name="40% - Accent4 2 2 3 2 2 2" xfId="15569" xr:uid="{5D0CAEAC-2DF5-4AB0-90FF-5A532496FD36}"/>
    <cellStyle name="40% - Accent4 2 2 3 2 3" xfId="11351" xr:uid="{902FB8EC-E5BF-4199-8A7B-1CB4F777DD9B}"/>
    <cellStyle name="40% - Accent4 2 2 3 3" xfId="4995" xr:uid="{00000000-0005-0000-0000-0000BB050000}"/>
    <cellStyle name="40% - Accent4 2 2 3 3 2" xfId="13424" xr:uid="{D2A7CE3C-6BAE-410F-8855-2B2A0F322857}"/>
    <cellStyle name="40% - Accent4 2 2 3 4" xfId="9206" xr:uid="{0F68EA85-3628-4279-B25F-E077E8E612C6}"/>
    <cellStyle name="40% - Accent4 2 2 4" xfId="1098" xr:uid="{00000000-0005-0000-0000-0000BC050000}"/>
    <cellStyle name="40% - Accent4 2 2 4 2" xfId="3329" xr:uid="{00000000-0005-0000-0000-0000BD050000}"/>
    <cellStyle name="40% - Accent4 2 2 4 2 2" xfId="7553" xr:uid="{00000000-0005-0000-0000-0000BE050000}"/>
    <cellStyle name="40% - Accent4 2 2 4 2 2 2" xfId="15982" xr:uid="{F4956205-C16E-4ABF-9C1D-45C9953962B6}"/>
    <cellStyle name="40% - Accent4 2 2 4 2 3" xfId="11764" xr:uid="{1FDB3C8F-60A2-462E-A9DE-5AAB998B2011}"/>
    <cellStyle name="40% - Accent4 2 2 4 3" xfId="5408" xr:uid="{00000000-0005-0000-0000-0000BF050000}"/>
    <cellStyle name="40% - Accent4 2 2 4 3 2" xfId="13837" xr:uid="{7D3BB237-E2C8-4AC0-B515-FEE7B174BB59}"/>
    <cellStyle name="40% - Accent4 2 2 4 4" xfId="9619" xr:uid="{63C7FE9D-508C-4C85-A4DF-E42F56113932}"/>
    <cellStyle name="40% - Accent4 2 2 5" xfId="1512" xr:uid="{00000000-0005-0000-0000-0000C0050000}"/>
    <cellStyle name="40% - Accent4 2 2 5 2" xfId="3742" xr:uid="{00000000-0005-0000-0000-0000C1050000}"/>
    <cellStyle name="40% - Accent4 2 2 5 2 2" xfId="7966" xr:uid="{00000000-0005-0000-0000-0000C2050000}"/>
    <cellStyle name="40% - Accent4 2 2 5 2 2 2" xfId="16395" xr:uid="{DE300998-158D-4934-87E7-2A2FB7B5A06A}"/>
    <cellStyle name="40% - Accent4 2 2 5 2 3" xfId="12177" xr:uid="{370B3320-F140-468E-8CE9-CB5598404C1D}"/>
    <cellStyle name="40% - Accent4 2 2 5 3" xfId="5821" xr:uid="{00000000-0005-0000-0000-0000C3050000}"/>
    <cellStyle name="40% - Accent4 2 2 5 3 2" xfId="14250" xr:uid="{80D2E5A9-62C9-4067-ABC9-D183A7F099D2}"/>
    <cellStyle name="40% - Accent4 2 2 5 4" xfId="10032" xr:uid="{C388730E-0D35-4100-8F02-FE82E025FA35}"/>
    <cellStyle name="40% - Accent4 2 2 6" xfId="1926" xr:uid="{00000000-0005-0000-0000-0000C4050000}"/>
    <cellStyle name="40% - Accent4 2 2 6 2" xfId="4155" xr:uid="{00000000-0005-0000-0000-0000C5050000}"/>
    <cellStyle name="40% - Accent4 2 2 6 2 2" xfId="8379" xr:uid="{00000000-0005-0000-0000-0000C6050000}"/>
    <cellStyle name="40% - Accent4 2 2 6 2 2 2" xfId="16808" xr:uid="{8AF7278C-C257-41C3-B32E-4CEB2D645B0E}"/>
    <cellStyle name="40% - Accent4 2 2 6 2 3" xfId="12590" xr:uid="{F527CAC6-81D9-4B01-B7FA-39D90456FFA5}"/>
    <cellStyle name="40% - Accent4 2 2 6 3" xfId="6234" xr:uid="{00000000-0005-0000-0000-0000C7050000}"/>
    <cellStyle name="40% - Accent4 2 2 6 3 2" xfId="14663" xr:uid="{59C7CA1C-BD75-4575-8807-D4A7DB1F7029}"/>
    <cellStyle name="40% - Accent4 2 2 6 4" xfId="10445" xr:uid="{4B72BB5B-F88F-406B-BA69-34915A44C894}"/>
    <cellStyle name="40% - Accent4 2 2 7" xfId="2339" xr:uid="{00000000-0005-0000-0000-0000C8050000}"/>
    <cellStyle name="40% - Accent4 2 2 7 2" xfId="6647" xr:uid="{00000000-0005-0000-0000-0000C9050000}"/>
    <cellStyle name="40% - Accent4 2 2 7 2 2" xfId="15076" xr:uid="{BF4F7D03-CA24-44D2-928B-89860FC9660A}"/>
    <cellStyle name="40% - Accent4 2 2 7 3" xfId="10858" xr:uid="{426AB4A2-B350-43DB-953D-719D79753F25}"/>
    <cellStyle name="40% - Accent4 2 2 8" xfId="4581" xr:uid="{00000000-0005-0000-0000-0000CA050000}"/>
    <cellStyle name="40% - Accent4 2 2 8 2" xfId="13010" xr:uid="{FBBABBAB-B746-4A0E-9BE9-1C2FA09FC40D}"/>
    <cellStyle name="40% - Accent4 2 2 9" xfId="8792" xr:uid="{3ABF2A3C-6CE5-4749-ADBA-30523402FAE5}"/>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2 2" xfId="15571" xr:uid="{9154DFEE-4A55-4869-8C50-98B07706C4CB}"/>
    <cellStyle name="40% - Accent4 2 3 2 2 3" xfId="11353" xr:uid="{F5737455-32FF-4E12-B790-C8E5D9790251}"/>
    <cellStyle name="40% - Accent4 2 3 2 3" xfId="4997" xr:uid="{00000000-0005-0000-0000-0000CF050000}"/>
    <cellStyle name="40% - Accent4 2 3 2 3 2" xfId="13426" xr:uid="{7186C3A9-5C8B-4084-80A6-E4AEAACAEEFA}"/>
    <cellStyle name="40% - Accent4 2 3 2 4" xfId="9208" xr:uid="{57CBC71A-A725-417B-BEC7-3A70E28F889D}"/>
    <cellStyle name="40% - Accent4 2 3 3" xfId="1100" xr:uid="{00000000-0005-0000-0000-0000D0050000}"/>
    <cellStyle name="40% - Accent4 2 3 3 2" xfId="3331" xr:uid="{00000000-0005-0000-0000-0000D1050000}"/>
    <cellStyle name="40% - Accent4 2 3 3 2 2" xfId="7555" xr:uid="{00000000-0005-0000-0000-0000D2050000}"/>
    <cellStyle name="40% - Accent4 2 3 3 2 2 2" xfId="15984" xr:uid="{5AA4D392-5825-495A-8562-85F9E0B89445}"/>
    <cellStyle name="40% - Accent4 2 3 3 2 3" xfId="11766" xr:uid="{EEDF68AF-E979-4985-A3D4-9BF89ACCE2F0}"/>
    <cellStyle name="40% - Accent4 2 3 3 3" xfId="5410" xr:uid="{00000000-0005-0000-0000-0000D3050000}"/>
    <cellStyle name="40% - Accent4 2 3 3 3 2" xfId="13839" xr:uid="{8DC6C120-1691-4F3A-9A5C-C31BB1905C8C}"/>
    <cellStyle name="40% - Accent4 2 3 3 4" xfId="9621" xr:uid="{70D09653-9A2F-4568-84FE-246598C4B553}"/>
    <cellStyle name="40% - Accent4 2 3 4" xfId="1514" xr:uid="{00000000-0005-0000-0000-0000D4050000}"/>
    <cellStyle name="40% - Accent4 2 3 4 2" xfId="3744" xr:uid="{00000000-0005-0000-0000-0000D5050000}"/>
    <cellStyle name="40% - Accent4 2 3 4 2 2" xfId="7968" xr:uid="{00000000-0005-0000-0000-0000D6050000}"/>
    <cellStyle name="40% - Accent4 2 3 4 2 2 2" xfId="16397" xr:uid="{F968EDFC-12E6-4CDD-B5D9-3F778DE93039}"/>
    <cellStyle name="40% - Accent4 2 3 4 2 3" xfId="12179" xr:uid="{2B0E158C-8DE9-44E2-9043-ECA05C0C4396}"/>
    <cellStyle name="40% - Accent4 2 3 4 3" xfId="5823" xr:uid="{00000000-0005-0000-0000-0000D7050000}"/>
    <cellStyle name="40% - Accent4 2 3 4 3 2" xfId="14252" xr:uid="{756BC55F-0882-413F-8BCF-AC030C501912}"/>
    <cellStyle name="40% - Accent4 2 3 4 4" xfId="10034" xr:uid="{2F0B7962-3EE3-4DEF-80AA-E09F4B02A585}"/>
    <cellStyle name="40% - Accent4 2 3 5" xfId="1928" xr:uid="{00000000-0005-0000-0000-0000D8050000}"/>
    <cellStyle name="40% - Accent4 2 3 5 2" xfId="4157" xr:uid="{00000000-0005-0000-0000-0000D9050000}"/>
    <cellStyle name="40% - Accent4 2 3 5 2 2" xfId="8381" xr:uid="{00000000-0005-0000-0000-0000DA050000}"/>
    <cellStyle name="40% - Accent4 2 3 5 2 2 2" xfId="16810" xr:uid="{27749907-F038-4FFD-85B6-1F30B6EAB1EB}"/>
    <cellStyle name="40% - Accent4 2 3 5 2 3" xfId="12592" xr:uid="{E83BAB84-6C56-4287-8D5F-0665026981FF}"/>
    <cellStyle name="40% - Accent4 2 3 5 3" xfId="6236" xr:uid="{00000000-0005-0000-0000-0000DB050000}"/>
    <cellStyle name="40% - Accent4 2 3 5 3 2" xfId="14665" xr:uid="{A992B66F-0C3C-4782-87F2-DEC132B556FE}"/>
    <cellStyle name="40% - Accent4 2 3 5 4" xfId="10447" xr:uid="{79F24420-3D1F-4ECE-88FD-52C73DCAE03D}"/>
    <cellStyle name="40% - Accent4 2 3 6" xfId="2341" xr:uid="{00000000-0005-0000-0000-0000DC050000}"/>
    <cellStyle name="40% - Accent4 2 3 6 2" xfId="6649" xr:uid="{00000000-0005-0000-0000-0000DD050000}"/>
    <cellStyle name="40% - Accent4 2 3 6 2 2" xfId="15078" xr:uid="{E98A8F3C-287C-406D-A8F1-BB2FE18BE5F0}"/>
    <cellStyle name="40% - Accent4 2 3 6 3" xfId="10860" xr:uid="{67CDB1DA-4BAB-4D82-99FE-44F2F01FD832}"/>
    <cellStyle name="40% - Accent4 2 3 7" xfId="4583" xr:uid="{00000000-0005-0000-0000-0000DE050000}"/>
    <cellStyle name="40% - Accent4 2 3 7 2" xfId="13012" xr:uid="{645807A5-1EE8-4168-A8B9-3A795312F516}"/>
    <cellStyle name="40% - Accent4 2 3 8" xfId="8794" xr:uid="{CD5CAD72-3AE2-472D-BE75-C9B6333D3C04}"/>
    <cellStyle name="40% - Accent4 2 4" xfId="644" xr:uid="{00000000-0005-0000-0000-0000DF050000}"/>
    <cellStyle name="40% - Accent4 2 4 2" xfId="2915" xr:uid="{00000000-0005-0000-0000-0000E0050000}"/>
    <cellStyle name="40% - Accent4 2 4 2 2" xfId="7139" xr:uid="{00000000-0005-0000-0000-0000E1050000}"/>
    <cellStyle name="40% - Accent4 2 4 2 2 2" xfId="15568" xr:uid="{1A5A3864-DDFA-4AD1-9E89-384EA8BFBB5B}"/>
    <cellStyle name="40% - Accent4 2 4 2 3" xfId="11350" xr:uid="{3578E8F5-505D-4753-93B0-38242221B671}"/>
    <cellStyle name="40% - Accent4 2 4 3" xfId="4994" xr:uid="{00000000-0005-0000-0000-0000E2050000}"/>
    <cellStyle name="40% - Accent4 2 4 3 2" xfId="13423" xr:uid="{E26427E1-FBE1-4630-91E7-FD43E3112C29}"/>
    <cellStyle name="40% - Accent4 2 4 4" xfId="9205" xr:uid="{F434136D-DDF9-44A9-BFE2-AAD31270EB38}"/>
    <cellStyle name="40% - Accent4 2 5" xfId="1097" xr:uid="{00000000-0005-0000-0000-0000E3050000}"/>
    <cellStyle name="40% - Accent4 2 5 2" xfId="3328" xr:uid="{00000000-0005-0000-0000-0000E4050000}"/>
    <cellStyle name="40% - Accent4 2 5 2 2" xfId="7552" xr:uid="{00000000-0005-0000-0000-0000E5050000}"/>
    <cellStyle name="40% - Accent4 2 5 2 2 2" xfId="15981" xr:uid="{0409A78E-7569-4470-B8C7-DA439C0C1F4E}"/>
    <cellStyle name="40% - Accent4 2 5 2 3" xfId="11763" xr:uid="{58781C60-2F96-42FE-8FDB-79B721B685FC}"/>
    <cellStyle name="40% - Accent4 2 5 3" xfId="5407" xr:uid="{00000000-0005-0000-0000-0000E6050000}"/>
    <cellStyle name="40% - Accent4 2 5 3 2" xfId="13836" xr:uid="{3ED9FF52-13AB-4593-9AA5-410FC0469C0F}"/>
    <cellStyle name="40% - Accent4 2 5 4" xfId="9618" xr:uid="{59CC7F9C-21C9-4A81-8D34-692828520E53}"/>
    <cellStyle name="40% - Accent4 2 6" xfId="1511" xr:uid="{00000000-0005-0000-0000-0000E7050000}"/>
    <cellStyle name="40% - Accent4 2 6 2" xfId="3741" xr:uid="{00000000-0005-0000-0000-0000E8050000}"/>
    <cellStyle name="40% - Accent4 2 6 2 2" xfId="7965" xr:uid="{00000000-0005-0000-0000-0000E9050000}"/>
    <cellStyle name="40% - Accent4 2 6 2 2 2" xfId="16394" xr:uid="{EDF0644B-B9AA-4CA2-A85C-88EA6B0367F8}"/>
    <cellStyle name="40% - Accent4 2 6 2 3" xfId="12176" xr:uid="{7CD7A615-E9C7-495F-9FE9-EA94A1051362}"/>
    <cellStyle name="40% - Accent4 2 6 3" xfId="5820" xr:uid="{00000000-0005-0000-0000-0000EA050000}"/>
    <cellStyle name="40% - Accent4 2 6 3 2" xfId="14249" xr:uid="{9121DAD7-EA43-4DC6-81EB-76C5173F63C7}"/>
    <cellStyle name="40% - Accent4 2 6 4" xfId="10031" xr:uid="{5C272EE9-41C8-495E-9DD7-3F71D28B7F77}"/>
    <cellStyle name="40% - Accent4 2 7" xfId="1925" xr:uid="{00000000-0005-0000-0000-0000EB050000}"/>
    <cellStyle name="40% - Accent4 2 7 2" xfId="4154" xr:uid="{00000000-0005-0000-0000-0000EC050000}"/>
    <cellStyle name="40% - Accent4 2 7 2 2" xfId="8378" xr:uid="{00000000-0005-0000-0000-0000ED050000}"/>
    <cellStyle name="40% - Accent4 2 7 2 2 2" xfId="16807" xr:uid="{B0AD0C50-9AE1-4DD8-B9C5-ED3A6FC1CC4F}"/>
    <cellStyle name="40% - Accent4 2 7 2 3" xfId="12589" xr:uid="{6AB18F8A-CF06-4B37-B575-524B5A717076}"/>
    <cellStyle name="40% - Accent4 2 7 3" xfId="6233" xr:uid="{00000000-0005-0000-0000-0000EE050000}"/>
    <cellStyle name="40% - Accent4 2 7 3 2" xfId="14662" xr:uid="{C139734E-9D11-431D-9807-EEDA2E363014}"/>
    <cellStyle name="40% - Accent4 2 7 4" xfId="10444" xr:uid="{A20FEA94-3DA1-4183-A2C3-1AE01304082C}"/>
    <cellStyle name="40% - Accent4 2 8" xfId="2338" xr:uid="{00000000-0005-0000-0000-0000EF050000}"/>
    <cellStyle name="40% - Accent4 2 8 2" xfId="6646" xr:uid="{00000000-0005-0000-0000-0000F0050000}"/>
    <cellStyle name="40% - Accent4 2 8 2 2" xfId="15075" xr:uid="{8AD723F4-42A8-43B4-BB90-7AB59F5F5374}"/>
    <cellStyle name="40% - Accent4 2 8 3" xfId="10857" xr:uid="{419B2FE2-E7A1-4533-8A06-359AA3704A96}"/>
    <cellStyle name="40% - Accent4 2 9" xfId="4580" xr:uid="{00000000-0005-0000-0000-0000F1050000}"/>
    <cellStyle name="40% - Accent4 2 9 2" xfId="13009" xr:uid="{253A72F9-6AE9-4D4C-B419-E59933E3CB48}"/>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2 2" xfId="15573" xr:uid="{964E993C-1CA7-433A-B3BE-FB87E39FD5E4}"/>
    <cellStyle name="40% - Accent4 3 2 2 2 3" xfId="11355" xr:uid="{525E23B2-7373-4B30-96C3-AF6CCCB085C6}"/>
    <cellStyle name="40% - Accent4 3 2 2 3" xfId="4999" xr:uid="{00000000-0005-0000-0000-0000F7050000}"/>
    <cellStyle name="40% - Accent4 3 2 2 3 2" xfId="13428" xr:uid="{BB8A972B-D41D-4989-B6BE-2237CCB4E269}"/>
    <cellStyle name="40% - Accent4 3 2 2 4" xfId="9210" xr:uid="{231A1754-0098-4BB0-8099-B90888B51E97}"/>
    <cellStyle name="40% - Accent4 3 2 3" xfId="1102" xr:uid="{00000000-0005-0000-0000-0000F8050000}"/>
    <cellStyle name="40% - Accent4 3 2 3 2" xfId="3333" xr:uid="{00000000-0005-0000-0000-0000F9050000}"/>
    <cellStyle name="40% - Accent4 3 2 3 2 2" xfId="7557" xr:uid="{00000000-0005-0000-0000-0000FA050000}"/>
    <cellStyle name="40% - Accent4 3 2 3 2 2 2" xfId="15986" xr:uid="{08D37C39-6E9F-4920-80AB-1F61A314338E}"/>
    <cellStyle name="40% - Accent4 3 2 3 2 3" xfId="11768" xr:uid="{32142929-239B-44BC-93D1-FFCE64EFC7EA}"/>
    <cellStyle name="40% - Accent4 3 2 3 3" xfId="5412" xr:uid="{00000000-0005-0000-0000-0000FB050000}"/>
    <cellStyle name="40% - Accent4 3 2 3 3 2" xfId="13841" xr:uid="{EB1C5158-61F0-4AB6-993F-E854637DF024}"/>
    <cellStyle name="40% - Accent4 3 2 3 4" xfId="9623" xr:uid="{B4AF6992-95CC-4F7D-BF81-6B60558926D8}"/>
    <cellStyle name="40% - Accent4 3 2 4" xfId="1516" xr:uid="{00000000-0005-0000-0000-0000FC050000}"/>
    <cellStyle name="40% - Accent4 3 2 4 2" xfId="3746" xr:uid="{00000000-0005-0000-0000-0000FD050000}"/>
    <cellStyle name="40% - Accent4 3 2 4 2 2" xfId="7970" xr:uid="{00000000-0005-0000-0000-0000FE050000}"/>
    <cellStyle name="40% - Accent4 3 2 4 2 2 2" xfId="16399" xr:uid="{ACE10B72-E38C-4A54-865A-8153432715C1}"/>
    <cellStyle name="40% - Accent4 3 2 4 2 3" xfId="12181" xr:uid="{BF33EEA1-A436-4ADF-8A48-B6D47C9BF8E5}"/>
    <cellStyle name="40% - Accent4 3 2 4 3" xfId="5825" xr:uid="{00000000-0005-0000-0000-0000FF050000}"/>
    <cellStyle name="40% - Accent4 3 2 4 3 2" xfId="14254" xr:uid="{A2A09219-1941-44DE-8D69-BD687FC0A1B4}"/>
    <cellStyle name="40% - Accent4 3 2 4 4" xfId="10036" xr:uid="{6DD9BB3C-C275-413E-81AD-926649A6BA40}"/>
    <cellStyle name="40% - Accent4 3 2 5" xfId="1930" xr:uid="{00000000-0005-0000-0000-000000060000}"/>
    <cellStyle name="40% - Accent4 3 2 5 2" xfId="4159" xr:uid="{00000000-0005-0000-0000-000001060000}"/>
    <cellStyle name="40% - Accent4 3 2 5 2 2" xfId="8383" xr:uid="{00000000-0005-0000-0000-000002060000}"/>
    <cellStyle name="40% - Accent4 3 2 5 2 2 2" xfId="16812" xr:uid="{C591346D-58E1-4185-9162-99AF82E5119E}"/>
    <cellStyle name="40% - Accent4 3 2 5 2 3" xfId="12594" xr:uid="{D0F1255B-5F6D-4530-92E6-7D21C03F2D82}"/>
    <cellStyle name="40% - Accent4 3 2 5 3" xfId="6238" xr:uid="{00000000-0005-0000-0000-000003060000}"/>
    <cellStyle name="40% - Accent4 3 2 5 3 2" xfId="14667" xr:uid="{891F58C6-C21C-403B-A73E-402CCB890104}"/>
    <cellStyle name="40% - Accent4 3 2 5 4" xfId="10449" xr:uid="{494A95E6-A46F-429A-9F0B-E571F33DDC23}"/>
    <cellStyle name="40% - Accent4 3 2 6" xfId="2343" xr:uid="{00000000-0005-0000-0000-000004060000}"/>
    <cellStyle name="40% - Accent4 3 2 6 2" xfId="6651" xr:uid="{00000000-0005-0000-0000-000005060000}"/>
    <cellStyle name="40% - Accent4 3 2 6 2 2" xfId="15080" xr:uid="{D1DEF9A7-33C5-4E70-86CC-BC789BE0B7B9}"/>
    <cellStyle name="40% - Accent4 3 2 6 3" xfId="10862" xr:uid="{F180AB81-1741-4A5B-9C76-5B8FA88E4712}"/>
    <cellStyle name="40% - Accent4 3 2 7" xfId="4585" xr:uid="{00000000-0005-0000-0000-000006060000}"/>
    <cellStyle name="40% - Accent4 3 2 7 2" xfId="13014" xr:uid="{6D63EC57-73BD-402D-8583-D760E4EA0D67}"/>
    <cellStyle name="40% - Accent4 3 2 8" xfId="8796" xr:uid="{6984E0C9-FAD7-499E-88AB-CA66EDAC0B31}"/>
    <cellStyle name="40% - Accent4 3 3" xfId="648" xr:uid="{00000000-0005-0000-0000-000007060000}"/>
    <cellStyle name="40% - Accent4 3 3 2" xfId="2919" xr:uid="{00000000-0005-0000-0000-000008060000}"/>
    <cellStyle name="40% - Accent4 3 3 2 2" xfId="7143" xr:uid="{00000000-0005-0000-0000-000009060000}"/>
    <cellStyle name="40% - Accent4 3 3 2 2 2" xfId="15572" xr:uid="{EAD7C988-1E1B-4671-9A59-2C8EC4BC5BD6}"/>
    <cellStyle name="40% - Accent4 3 3 2 3" xfId="11354" xr:uid="{6BBB1B5D-F3FC-4BD0-8B6A-FCD0167E2C60}"/>
    <cellStyle name="40% - Accent4 3 3 3" xfId="4998" xr:uid="{00000000-0005-0000-0000-00000A060000}"/>
    <cellStyle name="40% - Accent4 3 3 3 2" xfId="13427" xr:uid="{E91130E1-72B9-45E0-ACC8-4FB8CFE5A685}"/>
    <cellStyle name="40% - Accent4 3 3 4" xfId="9209" xr:uid="{F863A884-9BBA-464E-8D12-87B196964677}"/>
    <cellStyle name="40% - Accent4 3 4" xfId="1101" xr:uid="{00000000-0005-0000-0000-00000B060000}"/>
    <cellStyle name="40% - Accent4 3 4 2" xfId="3332" xr:uid="{00000000-0005-0000-0000-00000C060000}"/>
    <cellStyle name="40% - Accent4 3 4 2 2" xfId="7556" xr:uid="{00000000-0005-0000-0000-00000D060000}"/>
    <cellStyle name="40% - Accent4 3 4 2 2 2" xfId="15985" xr:uid="{B2078DF5-9B3A-4B06-9600-8B25A7252C5F}"/>
    <cellStyle name="40% - Accent4 3 4 2 3" xfId="11767" xr:uid="{6B628442-B69E-45F5-89DA-D45DD74162B6}"/>
    <cellStyle name="40% - Accent4 3 4 3" xfId="5411" xr:uid="{00000000-0005-0000-0000-00000E060000}"/>
    <cellStyle name="40% - Accent4 3 4 3 2" xfId="13840" xr:uid="{F054F417-F287-4CBD-8668-1E4A1CC91F24}"/>
    <cellStyle name="40% - Accent4 3 4 4" xfId="9622" xr:uid="{2CB2B24A-7023-426E-9C2B-E27784D27BBA}"/>
    <cellStyle name="40% - Accent4 3 5" xfId="1515" xr:uid="{00000000-0005-0000-0000-00000F060000}"/>
    <cellStyle name="40% - Accent4 3 5 2" xfId="3745" xr:uid="{00000000-0005-0000-0000-000010060000}"/>
    <cellStyle name="40% - Accent4 3 5 2 2" xfId="7969" xr:uid="{00000000-0005-0000-0000-000011060000}"/>
    <cellStyle name="40% - Accent4 3 5 2 2 2" xfId="16398" xr:uid="{D4C95665-3DF6-4F65-81CC-1D50FC2DA37B}"/>
    <cellStyle name="40% - Accent4 3 5 2 3" xfId="12180" xr:uid="{16E39A10-68E2-4A48-B163-4F4944FDFA70}"/>
    <cellStyle name="40% - Accent4 3 5 3" xfId="5824" xr:uid="{00000000-0005-0000-0000-000012060000}"/>
    <cellStyle name="40% - Accent4 3 5 3 2" xfId="14253" xr:uid="{D7BD09A5-5C0F-466C-9BA7-D25C33AF0169}"/>
    <cellStyle name="40% - Accent4 3 5 4" xfId="10035" xr:uid="{1A8B1454-CDDF-4EB1-8204-DD4F32290802}"/>
    <cellStyle name="40% - Accent4 3 6" xfId="1929" xr:uid="{00000000-0005-0000-0000-000013060000}"/>
    <cellStyle name="40% - Accent4 3 6 2" xfId="4158" xr:uid="{00000000-0005-0000-0000-000014060000}"/>
    <cellStyle name="40% - Accent4 3 6 2 2" xfId="8382" xr:uid="{00000000-0005-0000-0000-000015060000}"/>
    <cellStyle name="40% - Accent4 3 6 2 2 2" xfId="16811" xr:uid="{5BBCC520-1C82-4982-9729-BF76E33793BB}"/>
    <cellStyle name="40% - Accent4 3 6 2 3" xfId="12593" xr:uid="{173F7A20-0D17-4670-A8D2-26BDCD88E8F4}"/>
    <cellStyle name="40% - Accent4 3 6 3" xfId="6237" xr:uid="{00000000-0005-0000-0000-000016060000}"/>
    <cellStyle name="40% - Accent4 3 6 3 2" xfId="14666" xr:uid="{95A5BE51-C6B2-4DFA-BCB1-4B2B21BA57D3}"/>
    <cellStyle name="40% - Accent4 3 6 4" xfId="10448" xr:uid="{D9063B81-5218-471E-A6BF-E3DBF7EE60BA}"/>
    <cellStyle name="40% - Accent4 3 7" xfId="2342" xr:uid="{00000000-0005-0000-0000-000017060000}"/>
    <cellStyle name="40% - Accent4 3 7 2" xfId="6650" xr:uid="{00000000-0005-0000-0000-000018060000}"/>
    <cellStyle name="40% - Accent4 3 7 2 2" xfId="15079" xr:uid="{71C84C4E-8D48-415E-830A-503C0A1C57A1}"/>
    <cellStyle name="40% - Accent4 3 7 3" xfId="10861" xr:uid="{7DBCB923-0CB5-4060-9977-9D241DDF4BC1}"/>
    <cellStyle name="40% - Accent4 3 8" xfId="4584" xr:uid="{00000000-0005-0000-0000-000019060000}"/>
    <cellStyle name="40% - Accent4 3 8 2" xfId="13013" xr:uid="{423E483E-9359-40FA-A864-6DC09044BAAC}"/>
    <cellStyle name="40% - Accent4 3 9" xfId="8795" xr:uid="{360FB7AA-E61F-4E1D-9AA8-E6D291DDDE47}"/>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2 2" xfId="15574" xr:uid="{17B7C600-62A7-4478-BE58-B9F4808C0A26}"/>
    <cellStyle name="40% - Accent4 4 2 2 3" xfId="11356" xr:uid="{20019502-A701-471F-A86E-EF9F297FE445}"/>
    <cellStyle name="40% - Accent4 4 2 3" xfId="5000" xr:uid="{00000000-0005-0000-0000-00001E060000}"/>
    <cellStyle name="40% - Accent4 4 2 3 2" xfId="13429" xr:uid="{4AA2C491-E771-42AB-BB26-794647F7DA0E}"/>
    <cellStyle name="40% - Accent4 4 2 4" xfId="9211" xr:uid="{E50F0B4B-FDE5-473B-BBC9-CBCE90BF39CA}"/>
    <cellStyle name="40% - Accent4 4 3" xfId="1103" xr:uid="{00000000-0005-0000-0000-00001F060000}"/>
    <cellStyle name="40% - Accent4 4 3 2" xfId="3334" xr:uid="{00000000-0005-0000-0000-000020060000}"/>
    <cellStyle name="40% - Accent4 4 3 2 2" xfId="7558" xr:uid="{00000000-0005-0000-0000-000021060000}"/>
    <cellStyle name="40% - Accent4 4 3 2 2 2" xfId="15987" xr:uid="{7672A83B-C86F-428B-9946-DF60A83C20B7}"/>
    <cellStyle name="40% - Accent4 4 3 2 3" xfId="11769" xr:uid="{F8359920-65AB-4253-B1B7-B799E60EF6DF}"/>
    <cellStyle name="40% - Accent4 4 3 3" xfId="5413" xr:uid="{00000000-0005-0000-0000-000022060000}"/>
    <cellStyle name="40% - Accent4 4 3 3 2" xfId="13842" xr:uid="{96A0087B-FDB2-4AFD-AE38-E9A5CFB7CC90}"/>
    <cellStyle name="40% - Accent4 4 3 4" xfId="9624" xr:uid="{699461CA-26CB-45D8-9F39-6D59C1044A68}"/>
    <cellStyle name="40% - Accent4 4 4" xfId="1517" xr:uid="{00000000-0005-0000-0000-000023060000}"/>
    <cellStyle name="40% - Accent4 4 4 2" xfId="3747" xr:uid="{00000000-0005-0000-0000-000024060000}"/>
    <cellStyle name="40% - Accent4 4 4 2 2" xfId="7971" xr:uid="{00000000-0005-0000-0000-000025060000}"/>
    <cellStyle name="40% - Accent4 4 4 2 2 2" xfId="16400" xr:uid="{409130A9-855E-4915-8329-451A0762893F}"/>
    <cellStyle name="40% - Accent4 4 4 2 3" xfId="12182" xr:uid="{1A676298-8079-4968-B3A2-0750763814F9}"/>
    <cellStyle name="40% - Accent4 4 4 3" xfId="5826" xr:uid="{00000000-0005-0000-0000-000026060000}"/>
    <cellStyle name="40% - Accent4 4 4 3 2" xfId="14255" xr:uid="{932F93F7-DD6F-4745-8535-641BC0F74DDE}"/>
    <cellStyle name="40% - Accent4 4 4 4" xfId="10037" xr:uid="{40B359B8-BC88-45CD-9337-71BDB6F6EAF8}"/>
    <cellStyle name="40% - Accent4 4 5" xfId="1931" xr:uid="{00000000-0005-0000-0000-000027060000}"/>
    <cellStyle name="40% - Accent4 4 5 2" xfId="4160" xr:uid="{00000000-0005-0000-0000-000028060000}"/>
    <cellStyle name="40% - Accent4 4 5 2 2" xfId="8384" xr:uid="{00000000-0005-0000-0000-000029060000}"/>
    <cellStyle name="40% - Accent4 4 5 2 2 2" xfId="16813" xr:uid="{79F007BF-1400-4FBC-A119-A5A4D15F089F}"/>
    <cellStyle name="40% - Accent4 4 5 2 3" xfId="12595" xr:uid="{CBCC101D-50B1-4B7D-B1E8-0394860189AA}"/>
    <cellStyle name="40% - Accent4 4 5 3" xfId="6239" xr:uid="{00000000-0005-0000-0000-00002A060000}"/>
    <cellStyle name="40% - Accent4 4 5 3 2" xfId="14668" xr:uid="{EF1B9B59-484D-45DC-994D-5C24CC219677}"/>
    <cellStyle name="40% - Accent4 4 5 4" xfId="10450" xr:uid="{AAEE1CFF-C7A1-43FE-ADFE-082625ED9C5C}"/>
    <cellStyle name="40% - Accent4 4 6" xfId="2344" xr:uid="{00000000-0005-0000-0000-00002B060000}"/>
    <cellStyle name="40% - Accent4 4 6 2" xfId="6652" xr:uid="{00000000-0005-0000-0000-00002C060000}"/>
    <cellStyle name="40% - Accent4 4 6 2 2" xfId="15081" xr:uid="{539BE216-C6BE-4D73-B391-1FD9D6FA1531}"/>
    <cellStyle name="40% - Accent4 4 6 3" xfId="10863" xr:uid="{CEAECB11-07D8-40B1-9B0A-BC7328869817}"/>
    <cellStyle name="40% - Accent4 4 7" xfId="4586" xr:uid="{00000000-0005-0000-0000-00002D060000}"/>
    <cellStyle name="40% - Accent4 4 7 2" xfId="13015" xr:uid="{16526E0F-E715-4F76-B27D-B3E770D60D3A}"/>
    <cellStyle name="40% - Accent4 4 8" xfId="8797" xr:uid="{75F8A520-1658-466D-A378-4FD73520D3AA}"/>
    <cellStyle name="40% - Accent4 5" xfId="643" xr:uid="{00000000-0005-0000-0000-00002E060000}"/>
    <cellStyle name="40% - Accent4 5 2" xfId="2914" xr:uid="{00000000-0005-0000-0000-00002F060000}"/>
    <cellStyle name="40% - Accent4 5 2 2" xfId="7138" xr:uid="{00000000-0005-0000-0000-000030060000}"/>
    <cellStyle name="40% - Accent4 5 2 2 2" xfId="15567" xr:uid="{64D94A42-9F44-4568-BFE9-ABAAE2835195}"/>
    <cellStyle name="40% - Accent4 5 2 3" xfId="11349" xr:uid="{C044BE10-BA62-4261-B7EE-B58B31EF733C}"/>
    <cellStyle name="40% - Accent4 5 3" xfId="4993" xr:uid="{00000000-0005-0000-0000-000031060000}"/>
    <cellStyle name="40% - Accent4 5 3 2" xfId="13422" xr:uid="{F7A94457-6DBD-4266-81E8-8781DAA1AA4B}"/>
    <cellStyle name="40% - Accent4 5 4" xfId="9204" xr:uid="{929B7E3E-85D9-4E40-9207-5BC69CC314C8}"/>
    <cellStyle name="40% - Accent4 6" xfId="1096" xr:uid="{00000000-0005-0000-0000-000032060000}"/>
    <cellStyle name="40% - Accent4 6 2" xfId="3327" xr:uid="{00000000-0005-0000-0000-000033060000}"/>
    <cellStyle name="40% - Accent4 6 2 2" xfId="7551" xr:uid="{00000000-0005-0000-0000-000034060000}"/>
    <cellStyle name="40% - Accent4 6 2 2 2" xfId="15980" xr:uid="{3A0DB82C-EBCA-4B12-9D09-A62885C64175}"/>
    <cellStyle name="40% - Accent4 6 2 3" xfId="11762" xr:uid="{6373FC81-F00B-4916-A2F5-6BA7131C3B53}"/>
    <cellStyle name="40% - Accent4 6 3" xfId="5406" xr:uid="{00000000-0005-0000-0000-000035060000}"/>
    <cellStyle name="40% - Accent4 6 3 2" xfId="13835" xr:uid="{A44664CF-1C5B-43A6-975D-4610479A6BD0}"/>
    <cellStyle name="40% - Accent4 6 4" xfId="9617" xr:uid="{A6E66013-3E1F-43C3-B959-852A06310459}"/>
    <cellStyle name="40% - Accent4 7" xfId="1510" xr:uid="{00000000-0005-0000-0000-000036060000}"/>
    <cellStyle name="40% - Accent4 7 2" xfId="3740" xr:uid="{00000000-0005-0000-0000-000037060000}"/>
    <cellStyle name="40% - Accent4 7 2 2" xfId="7964" xr:uid="{00000000-0005-0000-0000-000038060000}"/>
    <cellStyle name="40% - Accent4 7 2 2 2" xfId="16393" xr:uid="{A5A449CF-EE0B-4C98-8099-D81A79CCA729}"/>
    <cellStyle name="40% - Accent4 7 2 3" xfId="12175" xr:uid="{D867A8BA-5F97-4B12-8CC5-032D933E0B4C}"/>
    <cellStyle name="40% - Accent4 7 3" xfId="5819" xr:uid="{00000000-0005-0000-0000-000039060000}"/>
    <cellStyle name="40% - Accent4 7 3 2" xfId="14248" xr:uid="{40179FDD-FCC6-4163-B16C-F1EFDBB86A49}"/>
    <cellStyle name="40% - Accent4 7 4" xfId="10030" xr:uid="{59795A97-1DB9-465E-A948-C612C7BE43D6}"/>
    <cellStyle name="40% - Accent4 8" xfId="1924" xr:uid="{00000000-0005-0000-0000-00003A060000}"/>
    <cellStyle name="40% - Accent4 8 2" xfId="4153" xr:uid="{00000000-0005-0000-0000-00003B060000}"/>
    <cellStyle name="40% - Accent4 8 2 2" xfId="8377" xr:uid="{00000000-0005-0000-0000-00003C060000}"/>
    <cellStyle name="40% - Accent4 8 2 2 2" xfId="16806" xr:uid="{A69860F8-5033-404B-954F-95E0E8215BBE}"/>
    <cellStyle name="40% - Accent4 8 2 3" xfId="12588" xr:uid="{11CF9B11-F543-4E76-B8D9-EB1FA364673E}"/>
    <cellStyle name="40% - Accent4 8 3" xfId="6232" xr:uid="{00000000-0005-0000-0000-00003D060000}"/>
    <cellStyle name="40% - Accent4 8 3 2" xfId="14661" xr:uid="{100806B9-BD56-4AB7-B664-CED71E7FF4A9}"/>
    <cellStyle name="40% - Accent4 8 4" xfId="10443" xr:uid="{3A033F9E-6FCB-4455-BE04-5048510A0145}"/>
    <cellStyle name="40% - Accent4 9" xfId="2337" xr:uid="{00000000-0005-0000-0000-00003E060000}"/>
    <cellStyle name="40% - Accent4 9 2" xfId="6645" xr:uid="{00000000-0005-0000-0000-00003F060000}"/>
    <cellStyle name="40% - Accent4 9 2 2" xfId="15074" xr:uid="{23ACC561-58ED-4DD7-B484-D30422EF8DA0}"/>
    <cellStyle name="40% - Accent4 9 3" xfId="10856" xr:uid="{09726137-CCC8-4DC6-8681-598702E55630}"/>
    <cellStyle name="40% - Accent5" xfId="81" builtinId="47" customBuiltin="1"/>
    <cellStyle name="40% - Accent5 10" xfId="4587" xr:uid="{00000000-0005-0000-0000-000041060000}"/>
    <cellStyle name="40% - Accent5 10 2" xfId="13016" xr:uid="{077A5D01-576A-4FB8-B663-5B9AAEF5201E}"/>
    <cellStyle name="40% - Accent5 11" xfId="8798" xr:uid="{1722A96D-F15A-4F44-8ADE-8B4ADA1525AD}"/>
    <cellStyle name="40% - Accent5 2" xfId="82" xr:uid="{00000000-0005-0000-0000-000042060000}"/>
    <cellStyle name="40% - Accent5 2 10" xfId="8799" xr:uid="{C93A3A20-FDA0-4338-8857-4B4138DCA4A5}"/>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2 2" xfId="15578" xr:uid="{65BAEB7D-96D5-4E32-BE93-679100C40040}"/>
    <cellStyle name="40% - Accent5 2 2 2 2 2 3" xfId="11360" xr:uid="{E9E432E6-46AE-42B4-BD9A-D126FCE11B9E}"/>
    <cellStyle name="40% - Accent5 2 2 2 2 3" xfId="5004" xr:uid="{00000000-0005-0000-0000-000048060000}"/>
    <cellStyle name="40% - Accent5 2 2 2 2 3 2" xfId="13433" xr:uid="{0BFF4445-40AA-4EC5-B60C-D6CA5CB5938B}"/>
    <cellStyle name="40% - Accent5 2 2 2 2 4" xfId="9215" xr:uid="{3F4ABDED-6A20-4320-9D2C-6702A4069B69}"/>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2 2" xfId="15991" xr:uid="{2D945298-7D75-4177-893A-46B39AFEA458}"/>
    <cellStyle name="40% - Accent5 2 2 2 3 2 3" xfId="11773" xr:uid="{9A018031-3CE5-496B-9F87-C4E0A35DD6D4}"/>
    <cellStyle name="40% - Accent5 2 2 2 3 3" xfId="5417" xr:uid="{00000000-0005-0000-0000-00004C060000}"/>
    <cellStyle name="40% - Accent5 2 2 2 3 3 2" xfId="13846" xr:uid="{B42B071A-0521-42BC-8D79-0E2B2708B159}"/>
    <cellStyle name="40% - Accent5 2 2 2 3 4" xfId="9628" xr:uid="{B0B460A0-206C-4ADD-82D5-44E0C2759CF6}"/>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2 2" xfId="16404" xr:uid="{BC946A8E-B3F4-4BE6-8638-8A6F094A83FB}"/>
    <cellStyle name="40% - Accent5 2 2 2 4 2 3" xfId="12186" xr:uid="{28C526DE-1A52-4580-95C1-0D0A494FD968}"/>
    <cellStyle name="40% - Accent5 2 2 2 4 3" xfId="5830" xr:uid="{00000000-0005-0000-0000-000050060000}"/>
    <cellStyle name="40% - Accent5 2 2 2 4 3 2" xfId="14259" xr:uid="{363EBD57-C80C-4950-9B1C-DF09384E4BBC}"/>
    <cellStyle name="40% - Accent5 2 2 2 4 4" xfId="10041" xr:uid="{8C7BF40A-2E4C-4511-B9B3-11EDB9565CC9}"/>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2 2" xfId="16817" xr:uid="{DD8C9916-5980-40AD-9FFB-0CB733EAD4B4}"/>
    <cellStyle name="40% - Accent5 2 2 2 5 2 3" xfId="12599" xr:uid="{D7F3662C-DE7F-455A-BCB2-E26D3044D2FD}"/>
    <cellStyle name="40% - Accent5 2 2 2 5 3" xfId="6243" xr:uid="{00000000-0005-0000-0000-000054060000}"/>
    <cellStyle name="40% - Accent5 2 2 2 5 3 2" xfId="14672" xr:uid="{4FF360C7-2331-454F-9A35-7AE96CCDA3A9}"/>
    <cellStyle name="40% - Accent5 2 2 2 5 4" xfId="10454" xr:uid="{50DB2B64-796D-4264-85A5-87955A6C0AFA}"/>
    <cellStyle name="40% - Accent5 2 2 2 6" xfId="2348" xr:uid="{00000000-0005-0000-0000-000055060000}"/>
    <cellStyle name="40% - Accent5 2 2 2 6 2" xfId="6656" xr:uid="{00000000-0005-0000-0000-000056060000}"/>
    <cellStyle name="40% - Accent5 2 2 2 6 2 2" xfId="15085" xr:uid="{216232FE-C70D-4EE9-8E1F-BA622F3C28F5}"/>
    <cellStyle name="40% - Accent5 2 2 2 6 3" xfId="10867" xr:uid="{F72E0CD0-975E-42B8-A185-B7C49A27C988}"/>
    <cellStyle name="40% - Accent5 2 2 2 7" xfId="4590" xr:uid="{00000000-0005-0000-0000-000057060000}"/>
    <cellStyle name="40% - Accent5 2 2 2 7 2" xfId="13019" xr:uid="{2A802525-1A78-441F-9174-FCD48C389266}"/>
    <cellStyle name="40% - Accent5 2 2 2 8" xfId="8801" xr:uid="{D9A2CD4E-ECBC-4E6A-A168-BFFA1A69F428}"/>
    <cellStyle name="40% - Accent5 2 2 3" xfId="653" xr:uid="{00000000-0005-0000-0000-000058060000}"/>
    <cellStyle name="40% - Accent5 2 2 3 2" xfId="2924" xr:uid="{00000000-0005-0000-0000-000059060000}"/>
    <cellStyle name="40% - Accent5 2 2 3 2 2" xfId="7148" xr:uid="{00000000-0005-0000-0000-00005A060000}"/>
    <cellStyle name="40% - Accent5 2 2 3 2 2 2" xfId="15577" xr:uid="{2C99977F-4B7B-4DA9-8844-C0E2010413F3}"/>
    <cellStyle name="40% - Accent5 2 2 3 2 3" xfId="11359" xr:uid="{CA44FC23-88FB-4C5C-B6CA-2F6CC798FEF5}"/>
    <cellStyle name="40% - Accent5 2 2 3 3" xfId="5003" xr:uid="{00000000-0005-0000-0000-00005B060000}"/>
    <cellStyle name="40% - Accent5 2 2 3 3 2" xfId="13432" xr:uid="{DE9F73B7-F565-40BF-AF6B-0022CEBDA6D9}"/>
    <cellStyle name="40% - Accent5 2 2 3 4" xfId="9214" xr:uid="{054CE6C4-63D1-486C-8ABE-13389C7FD6FF}"/>
    <cellStyle name="40% - Accent5 2 2 4" xfId="1106" xr:uid="{00000000-0005-0000-0000-00005C060000}"/>
    <cellStyle name="40% - Accent5 2 2 4 2" xfId="3337" xr:uid="{00000000-0005-0000-0000-00005D060000}"/>
    <cellStyle name="40% - Accent5 2 2 4 2 2" xfId="7561" xr:uid="{00000000-0005-0000-0000-00005E060000}"/>
    <cellStyle name="40% - Accent5 2 2 4 2 2 2" xfId="15990" xr:uid="{3368C714-CA5D-4264-A8BB-559E73BEE577}"/>
    <cellStyle name="40% - Accent5 2 2 4 2 3" xfId="11772" xr:uid="{A322D584-520A-4402-B564-C6778BCC139A}"/>
    <cellStyle name="40% - Accent5 2 2 4 3" xfId="5416" xr:uid="{00000000-0005-0000-0000-00005F060000}"/>
    <cellStyle name="40% - Accent5 2 2 4 3 2" xfId="13845" xr:uid="{54082229-DC64-4E22-AB85-CD78A5ADEEA3}"/>
    <cellStyle name="40% - Accent5 2 2 4 4" xfId="9627" xr:uid="{A900E2B1-CD28-4760-B5BF-87FE5DF64362}"/>
    <cellStyle name="40% - Accent5 2 2 5" xfId="1520" xr:uid="{00000000-0005-0000-0000-000060060000}"/>
    <cellStyle name="40% - Accent5 2 2 5 2" xfId="3750" xr:uid="{00000000-0005-0000-0000-000061060000}"/>
    <cellStyle name="40% - Accent5 2 2 5 2 2" xfId="7974" xr:uid="{00000000-0005-0000-0000-000062060000}"/>
    <cellStyle name="40% - Accent5 2 2 5 2 2 2" xfId="16403" xr:uid="{66757263-68B5-4141-80C1-CFE2B6F60A24}"/>
    <cellStyle name="40% - Accent5 2 2 5 2 3" xfId="12185" xr:uid="{466D3889-50F3-4EED-BE85-30EB363E9F50}"/>
    <cellStyle name="40% - Accent5 2 2 5 3" xfId="5829" xr:uid="{00000000-0005-0000-0000-000063060000}"/>
    <cellStyle name="40% - Accent5 2 2 5 3 2" xfId="14258" xr:uid="{43F8A0EA-B1C0-4EC7-BDEE-C1455B32FB8F}"/>
    <cellStyle name="40% - Accent5 2 2 5 4" xfId="10040" xr:uid="{57E0E738-E681-4C71-BBBB-B8BB552618FF}"/>
    <cellStyle name="40% - Accent5 2 2 6" xfId="1934" xr:uid="{00000000-0005-0000-0000-000064060000}"/>
    <cellStyle name="40% - Accent5 2 2 6 2" xfId="4163" xr:uid="{00000000-0005-0000-0000-000065060000}"/>
    <cellStyle name="40% - Accent5 2 2 6 2 2" xfId="8387" xr:uid="{00000000-0005-0000-0000-000066060000}"/>
    <cellStyle name="40% - Accent5 2 2 6 2 2 2" xfId="16816" xr:uid="{6912260D-C23A-4EF4-80F9-82AA8A40A8AC}"/>
    <cellStyle name="40% - Accent5 2 2 6 2 3" xfId="12598" xr:uid="{683931DC-C1CE-4748-BA4F-C4E27FAAAD0F}"/>
    <cellStyle name="40% - Accent5 2 2 6 3" xfId="6242" xr:uid="{00000000-0005-0000-0000-000067060000}"/>
    <cellStyle name="40% - Accent5 2 2 6 3 2" xfId="14671" xr:uid="{B5CDB6FF-1C0E-4D2D-8A1F-D6AAB23DC4E8}"/>
    <cellStyle name="40% - Accent5 2 2 6 4" xfId="10453" xr:uid="{83ED0715-2D82-4331-9B54-351E7D20709D}"/>
    <cellStyle name="40% - Accent5 2 2 7" xfId="2347" xr:uid="{00000000-0005-0000-0000-000068060000}"/>
    <cellStyle name="40% - Accent5 2 2 7 2" xfId="6655" xr:uid="{00000000-0005-0000-0000-000069060000}"/>
    <cellStyle name="40% - Accent5 2 2 7 2 2" xfId="15084" xr:uid="{F74DFC8F-0927-4D3C-B7E6-9B7458BA5BFC}"/>
    <cellStyle name="40% - Accent5 2 2 7 3" xfId="10866" xr:uid="{3C67177A-2990-42B0-8FD0-93C2A5EB9F19}"/>
    <cellStyle name="40% - Accent5 2 2 8" xfId="4589" xr:uid="{00000000-0005-0000-0000-00006A060000}"/>
    <cellStyle name="40% - Accent5 2 2 8 2" xfId="13018" xr:uid="{3693D33F-3535-45B6-8E98-7303484E8F73}"/>
    <cellStyle name="40% - Accent5 2 2 9" xfId="8800" xr:uid="{432235FD-FF45-4400-B13D-1DC9E9C14B1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2 2" xfId="15579" xr:uid="{0EC26715-5D30-4C8F-9AA4-49E299AB60C7}"/>
    <cellStyle name="40% - Accent5 2 3 2 2 3" xfId="11361" xr:uid="{D3037BB9-4E34-44DF-AD57-8467FAE6BBB8}"/>
    <cellStyle name="40% - Accent5 2 3 2 3" xfId="5005" xr:uid="{00000000-0005-0000-0000-00006F060000}"/>
    <cellStyle name="40% - Accent5 2 3 2 3 2" xfId="13434" xr:uid="{B40F7BCD-E129-4DF5-804D-166724B10A04}"/>
    <cellStyle name="40% - Accent5 2 3 2 4" xfId="9216" xr:uid="{398C4D83-8B4E-4E1A-8926-73F0DD93C3D9}"/>
    <cellStyle name="40% - Accent5 2 3 3" xfId="1108" xr:uid="{00000000-0005-0000-0000-000070060000}"/>
    <cellStyle name="40% - Accent5 2 3 3 2" xfId="3339" xr:uid="{00000000-0005-0000-0000-000071060000}"/>
    <cellStyle name="40% - Accent5 2 3 3 2 2" xfId="7563" xr:uid="{00000000-0005-0000-0000-000072060000}"/>
    <cellStyle name="40% - Accent5 2 3 3 2 2 2" xfId="15992" xr:uid="{6465F12B-5E5B-4EC7-B542-1838DE091A3C}"/>
    <cellStyle name="40% - Accent5 2 3 3 2 3" xfId="11774" xr:uid="{C4213163-FE4D-4D5F-B782-187CC3E98482}"/>
    <cellStyle name="40% - Accent5 2 3 3 3" xfId="5418" xr:uid="{00000000-0005-0000-0000-000073060000}"/>
    <cellStyle name="40% - Accent5 2 3 3 3 2" xfId="13847" xr:uid="{7E80A447-3A30-47CB-AA60-08B2214CFC9C}"/>
    <cellStyle name="40% - Accent5 2 3 3 4" xfId="9629" xr:uid="{45190203-E0F0-4786-A582-AB99EB8E53AB}"/>
    <cellStyle name="40% - Accent5 2 3 4" xfId="1522" xr:uid="{00000000-0005-0000-0000-000074060000}"/>
    <cellStyle name="40% - Accent5 2 3 4 2" xfId="3752" xr:uid="{00000000-0005-0000-0000-000075060000}"/>
    <cellStyle name="40% - Accent5 2 3 4 2 2" xfId="7976" xr:uid="{00000000-0005-0000-0000-000076060000}"/>
    <cellStyle name="40% - Accent5 2 3 4 2 2 2" xfId="16405" xr:uid="{ED2A9C90-822C-4A6E-8E1B-B8663C1F609E}"/>
    <cellStyle name="40% - Accent5 2 3 4 2 3" xfId="12187" xr:uid="{19F0D0E9-E773-4342-B2BA-0BDA675925D4}"/>
    <cellStyle name="40% - Accent5 2 3 4 3" xfId="5831" xr:uid="{00000000-0005-0000-0000-000077060000}"/>
    <cellStyle name="40% - Accent5 2 3 4 3 2" xfId="14260" xr:uid="{7590193F-B226-4041-8A65-5A1C1A947460}"/>
    <cellStyle name="40% - Accent5 2 3 4 4" xfId="10042" xr:uid="{280F95AC-1D98-4ED8-B78F-8670725F73A7}"/>
    <cellStyle name="40% - Accent5 2 3 5" xfId="1936" xr:uid="{00000000-0005-0000-0000-000078060000}"/>
    <cellStyle name="40% - Accent5 2 3 5 2" xfId="4165" xr:uid="{00000000-0005-0000-0000-000079060000}"/>
    <cellStyle name="40% - Accent5 2 3 5 2 2" xfId="8389" xr:uid="{00000000-0005-0000-0000-00007A060000}"/>
    <cellStyle name="40% - Accent5 2 3 5 2 2 2" xfId="16818" xr:uid="{129133B6-F159-4B10-B236-A39F05AA1D2A}"/>
    <cellStyle name="40% - Accent5 2 3 5 2 3" xfId="12600" xr:uid="{E9119880-56F9-440E-A35C-9EA4E3F9C990}"/>
    <cellStyle name="40% - Accent5 2 3 5 3" xfId="6244" xr:uid="{00000000-0005-0000-0000-00007B060000}"/>
    <cellStyle name="40% - Accent5 2 3 5 3 2" xfId="14673" xr:uid="{5BCF6699-7AF3-4F40-A612-F11689894318}"/>
    <cellStyle name="40% - Accent5 2 3 5 4" xfId="10455" xr:uid="{DF94692D-C5D1-4F19-AD0B-8E8CD0BC2F73}"/>
    <cellStyle name="40% - Accent5 2 3 6" xfId="2349" xr:uid="{00000000-0005-0000-0000-00007C060000}"/>
    <cellStyle name="40% - Accent5 2 3 6 2" xfId="6657" xr:uid="{00000000-0005-0000-0000-00007D060000}"/>
    <cellStyle name="40% - Accent5 2 3 6 2 2" xfId="15086" xr:uid="{0E6454EA-96F2-45B8-98C6-C26E1F113BD3}"/>
    <cellStyle name="40% - Accent5 2 3 6 3" xfId="10868" xr:uid="{C851CB11-1DFB-4049-A2E6-20EC48061339}"/>
    <cellStyle name="40% - Accent5 2 3 7" xfId="4591" xr:uid="{00000000-0005-0000-0000-00007E060000}"/>
    <cellStyle name="40% - Accent5 2 3 7 2" xfId="13020" xr:uid="{1838A345-B379-49D6-9F64-8F5E433AAB5E}"/>
    <cellStyle name="40% - Accent5 2 3 8" xfId="8802" xr:uid="{E2E382CB-C5AF-4323-8CD4-FEBE0C63FAE7}"/>
    <cellStyle name="40% - Accent5 2 4" xfId="652" xr:uid="{00000000-0005-0000-0000-00007F060000}"/>
    <cellStyle name="40% - Accent5 2 4 2" xfId="2923" xr:uid="{00000000-0005-0000-0000-000080060000}"/>
    <cellStyle name="40% - Accent5 2 4 2 2" xfId="7147" xr:uid="{00000000-0005-0000-0000-000081060000}"/>
    <cellStyle name="40% - Accent5 2 4 2 2 2" xfId="15576" xr:uid="{299C1B74-CF1B-492B-88A8-0854D6879CB9}"/>
    <cellStyle name="40% - Accent5 2 4 2 3" xfId="11358" xr:uid="{99B1D01D-51F0-4A3C-8A43-1ABC507CFE7E}"/>
    <cellStyle name="40% - Accent5 2 4 3" xfId="5002" xr:uid="{00000000-0005-0000-0000-000082060000}"/>
    <cellStyle name="40% - Accent5 2 4 3 2" xfId="13431" xr:uid="{09B28148-BE3E-4E7F-961E-DA6B85ADBDDB}"/>
    <cellStyle name="40% - Accent5 2 4 4" xfId="9213" xr:uid="{681582F0-D5C5-4B06-A1A5-55D682A5EBA1}"/>
    <cellStyle name="40% - Accent5 2 5" xfId="1105" xr:uid="{00000000-0005-0000-0000-000083060000}"/>
    <cellStyle name="40% - Accent5 2 5 2" xfId="3336" xr:uid="{00000000-0005-0000-0000-000084060000}"/>
    <cellStyle name="40% - Accent5 2 5 2 2" xfId="7560" xr:uid="{00000000-0005-0000-0000-000085060000}"/>
    <cellStyle name="40% - Accent5 2 5 2 2 2" xfId="15989" xr:uid="{B5DDA78F-BEE1-4854-BB3A-DC3571B6FD84}"/>
    <cellStyle name="40% - Accent5 2 5 2 3" xfId="11771" xr:uid="{CB022F92-AA99-467B-A5CD-4A4B2294CB43}"/>
    <cellStyle name="40% - Accent5 2 5 3" xfId="5415" xr:uid="{00000000-0005-0000-0000-000086060000}"/>
    <cellStyle name="40% - Accent5 2 5 3 2" xfId="13844" xr:uid="{4FFEBEF2-9872-4155-BF15-6DF4C9A9038A}"/>
    <cellStyle name="40% - Accent5 2 5 4" xfId="9626" xr:uid="{8047B257-DB7E-4D52-8411-4A48E46311A6}"/>
    <cellStyle name="40% - Accent5 2 6" xfId="1519" xr:uid="{00000000-0005-0000-0000-000087060000}"/>
    <cellStyle name="40% - Accent5 2 6 2" xfId="3749" xr:uid="{00000000-0005-0000-0000-000088060000}"/>
    <cellStyle name="40% - Accent5 2 6 2 2" xfId="7973" xr:uid="{00000000-0005-0000-0000-000089060000}"/>
    <cellStyle name="40% - Accent5 2 6 2 2 2" xfId="16402" xr:uid="{7A40E8F7-9776-41C5-BB92-344C3676091F}"/>
    <cellStyle name="40% - Accent5 2 6 2 3" xfId="12184" xr:uid="{65FCCC21-494E-43E5-B8C3-7C5796AE8D8B}"/>
    <cellStyle name="40% - Accent5 2 6 3" xfId="5828" xr:uid="{00000000-0005-0000-0000-00008A060000}"/>
    <cellStyle name="40% - Accent5 2 6 3 2" xfId="14257" xr:uid="{411D0F6E-99DB-4D95-8722-3A89322F47D8}"/>
    <cellStyle name="40% - Accent5 2 6 4" xfId="10039" xr:uid="{670DAEDA-C94A-426C-A7F3-FD6825C15855}"/>
    <cellStyle name="40% - Accent5 2 7" xfId="1933" xr:uid="{00000000-0005-0000-0000-00008B060000}"/>
    <cellStyle name="40% - Accent5 2 7 2" xfId="4162" xr:uid="{00000000-0005-0000-0000-00008C060000}"/>
    <cellStyle name="40% - Accent5 2 7 2 2" xfId="8386" xr:uid="{00000000-0005-0000-0000-00008D060000}"/>
    <cellStyle name="40% - Accent5 2 7 2 2 2" xfId="16815" xr:uid="{E0A706CB-13F7-4CF7-A3DA-3322C90A1BB6}"/>
    <cellStyle name="40% - Accent5 2 7 2 3" xfId="12597" xr:uid="{51D56A31-46BE-4EBD-B98F-6EE95A7E1092}"/>
    <cellStyle name="40% - Accent5 2 7 3" xfId="6241" xr:uid="{00000000-0005-0000-0000-00008E060000}"/>
    <cellStyle name="40% - Accent5 2 7 3 2" xfId="14670" xr:uid="{C791BE2C-026B-410E-A35F-02E366EC4F9F}"/>
    <cellStyle name="40% - Accent5 2 7 4" xfId="10452" xr:uid="{20C7CFC1-7885-406C-A9D0-7A767F3E10A0}"/>
    <cellStyle name="40% - Accent5 2 8" xfId="2346" xr:uid="{00000000-0005-0000-0000-00008F060000}"/>
    <cellStyle name="40% - Accent5 2 8 2" xfId="6654" xr:uid="{00000000-0005-0000-0000-000090060000}"/>
    <cellStyle name="40% - Accent5 2 8 2 2" xfId="15083" xr:uid="{4E359F7F-36AE-400B-8241-FC9C450A3CE8}"/>
    <cellStyle name="40% - Accent5 2 8 3" xfId="10865" xr:uid="{49465423-3D17-4FE9-BDDC-7F85AC5901B7}"/>
    <cellStyle name="40% - Accent5 2 9" xfId="4588" xr:uid="{00000000-0005-0000-0000-000091060000}"/>
    <cellStyle name="40% - Accent5 2 9 2" xfId="13017" xr:uid="{CAFA581E-7331-4BC7-9318-EB912C4F76D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2 2" xfId="15581" xr:uid="{A15AB824-AC4B-4184-BC60-741D6FC100EF}"/>
    <cellStyle name="40% - Accent5 3 2 2 2 3" xfId="11363" xr:uid="{59E2D1F4-D51B-4167-8A09-852E38D586D4}"/>
    <cellStyle name="40% - Accent5 3 2 2 3" xfId="5007" xr:uid="{00000000-0005-0000-0000-000097060000}"/>
    <cellStyle name="40% - Accent5 3 2 2 3 2" xfId="13436" xr:uid="{0207E698-3DD1-435A-8973-AD4E5ADAC3AA}"/>
    <cellStyle name="40% - Accent5 3 2 2 4" xfId="9218" xr:uid="{88766A29-C238-44C0-BD1D-90EBD323AA60}"/>
    <cellStyle name="40% - Accent5 3 2 3" xfId="1110" xr:uid="{00000000-0005-0000-0000-000098060000}"/>
    <cellStyle name="40% - Accent5 3 2 3 2" xfId="3341" xr:uid="{00000000-0005-0000-0000-000099060000}"/>
    <cellStyle name="40% - Accent5 3 2 3 2 2" xfId="7565" xr:uid="{00000000-0005-0000-0000-00009A060000}"/>
    <cellStyle name="40% - Accent5 3 2 3 2 2 2" xfId="15994" xr:uid="{51C9CE66-A1EF-49E8-B06E-032977FB643D}"/>
    <cellStyle name="40% - Accent5 3 2 3 2 3" xfId="11776" xr:uid="{69773DFF-76BD-4B42-9561-2FC9B118A647}"/>
    <cellStyle name="40% - Accent5 3 2 3 3" xfId="5420" xr:uid="{00000000-0005-0000-0000-00009B060000}"/>
    <cellStyle name="40% - Accent5 3 2 3 3 2" xfId="13849" xr:uid="{5EE18C1C-7E5C-4114-8FF0-7E680F0DE2F4}"/>
    <cellStyle name="40% - Accent5 3 2 3 4" xfId="9631" xr:uid="{FEE5C06D-F7F5-47D8-9004-A2E122295891}"/>
    <cellStyle name="40% - Accent5 3 2 4" xfId="1524" xr:uid="{00000000-0005-0000-0000-00009C060000}"/>
    <cellStyle name="40% - Accent5 3 2 4 2" xfId="3754" xr:uid="{00000000-0005-0000-0000-00009D060000}"/>
    <cellStyle name="40% - Accent5 3 2 4 2 2" xfId="7978" xr:uid="{00000000-0005-0000-0000-00009E060000}"/>
    <cellStyle name="40% - Accent5 3 2 4 2 2 2" xfId="16407" xr:uid="{04B8A60D-C3C4-47BE-AA95-971EBB59378A}"/>
    <cellStyle name="40% - Accent5 3 2 4 2 3" xfId="12189" xr:uid="{13E40F7F-C599-4927-A540-09A3BD5359CE}"/>
    <cellStyle name="40% - Accent5 3 2 4 3" xfId="5833" xr:uid="{00000000-0005-0000-0000-00009F060000}"/>
    <cellStyle name="40% - Accent5 3 2 4 3 2" xfId="14262" xr:uid="{33B87361-949D-4C68-A10A-53B74F88F41D}"/>
    <cellStyle name="40% - Accent5 3 2 4 4" xfId="10044" xr:uid="{D3D8D829-AEC3-44D1-B3D1-A23EBC983978}"/>
    <cellStyle name="40% - Accent5 3 2 5" xfId="1938" xr:uid="{00000000-0005-0000-0000-0000A0060000}"/>
    <cellStyle name="40% - Accent5 3 2 5 2" xfId="4167" xr:uid="{00000000-0005-0000-0000-0000A1060000}"/>
    <cellStyle name="40% - Accent5 3 2 5 2 2" xfId="8391" xr:uid="{00000000-0005-0000-0000-0000A2060000}"/>
    <cellStyle name="40% - Accent5 3 2 5 2 2 2" xfId="16820" xr:uid="{AD411059-6CD8-4FE0-B517-B83C412B79CB}"/>
    <cellStyle name="40% - Accent5 3 2 5 2 3" xfId="12602" xr:uid="{54D63E7D-538C-4014-B5CA-8585815488DB}"/>
    <cellStyle name="40% - Accent5 3 2 5 3" xfId="6246" xr:uid="{00000000-0005-0000-0000-0000A3060000}"/>
    <cellStyle name="40% - Accent5 3 2 5 3 2" xfId="14675" xr:uid="{A5C5DC3D-63BC-4017-8ED1-E8E212D1723D}"/>
    <cellStyle name="40% - Accent5 3 2 5 4" xfId="10457" xr:uid="{EBC9A26B-8AC4-4944-A982-CCCD0D554DE4}"/>
    <cellStyle name="40% - Accent5 3 2 6" xfId="2351" xr:uid="{00000000-0005-0000-0000-0000A4060000}"/>
    <cellStyle name="40% - Accent5 3 2 6 2" xfId="6659" xr:uid="{00000000-0005-0000-0000-0000A5060000}"/>
    <cellStyle name="40% - Accent5 3 2 6 2 2" xfId="15088" xr:uid="{0FB44A4A-C370-4C1D-9892-7E7BCA8D36DA}"/>
    <cellStyle name="40% - Accent5 3 2 6 3" xfId="10870" xr:uid="{0A153E05-4450-43CF-BBA6-39B30CDAEBE0}"/>
    <cellStyle name="40% - Accent5 3 2 7" xfId="4593" xr:uid="{00000000-0005-0000-0000-0000A6060000}"/>
    <cellStyle name="40% - Accent5 3 2 7 2" xfId="13022" xr:uid="{2A4D03CB-23F8-401B-8DF5-BC6D95E05543}"/>
    <cellStyle name="40% - Accent5 3 2 8" xfId="8804" xr:uid="{A15F4918-6955-4C3D-B130-6C9246BA6CE7}"/>
    <cellStyle name="40% - Accent5 3 3" xfId="656" xr:uid="{00000000-0005-0000-0000-0000A7060000}"/>
    <cellStyle name="40% - Accent5 3 3 2" xfId="2927" xr:uid="{00000000-0005-0000-0000-0000A8060000}"/>
    <cellStyle name="40% - Accent5 3 3 2 2" xfId="7151" xr:uid="{00000000-0005-0000-0000-0000A9060000}"/>
    <cellStyle name="40% - Accent5 3 3 2 2 2" xfId="15580" xr:uid="{2B67D355-93D0-4F3C-BE6A-060C8BCEE672}"/>
    <cellStyle name="40% - Accent5 3 3 2 3" xfId="11362" xr:uid="{0500BA5E-9FA1-429C-9D7A-EB44557E5D5A}"/>
    <cellStyle name="40% - Accent5 3 3 3" xfId="5006" xr:uid="{00000000-0005-0000-0000-0000AA060000}"/>
    <cellStyle name="40% - Accent5 3 3 3 2" xfId="13435" xr:uid="{8A3C560E-5E23-45B8-9A61-0A91AF05A527}"/>
    <cellStyle name="40% - Accent5 3 3 4" xfId="9217" xr:uid="{03991AA1-DC4D-427C-A090-2C98BE4FED01}"/>
    <cellStyle name="40% - Accent5 3 4" xfId="1109" xr:uid="{00000000-0005-0000-0000-0000AB060000}"/>
    <cellStyle name="40% - Accent5 3 4 2" xfId="3340" xr:uid="{00000000-0005-0000-0000-0000AC060000}"/>
    <cellStyle name="40% - Accent5 3 4 2 2" xfId="7564" xr:uid="{00000000-0005-0000-0000-0000AD060000}"/>
    <cellStyle name="40% - Accent5 3 4 2 2 2" xfId="15993" xr:uid="{E2DA6B7F-E20E-458A-9F9B-A6B017667A40}"/>
    <cellStyle name="40% - Accent5 3 4 2 3" xfId="11775" xr:uid="{AFD7DDE4-A0CC-4EC9-922C-01A51A17E3AD}"/>
    <cellStyle name="40% - Accent5 3 4 3" xfId="5419" xr:uid="{00000000-0005-0000-0000-0000AE060000}"/>
    <cellStyle name="40% - Accent5 3 4 3 2" xfId="13848" xr:uid="{1C9F9FF6-9256-4CCA-9F3B-61C256170F96}"/>
    <cellStyle name="40% - Accent5 3 4 4" xfId="9630" xr:uid="{DFFCA238-EF56-440E-98B4-4A4609171F3A}"/>
    <cellStyle name="40% - Accent5 3 5" xfId="1523" xr:uid="{00000000-0005-0000-0000-0000AF060000}"/>
    <cellStyle name="40% - Accent5 3 5 2" xfId="3753" xr:uid="{00000000-0005-0000-0000-0000B0060000}"/>
    <cellStyle name="40% - Accent5 3 5 2 2" xfId="7977" xr:uid="{00000000-0005-0000-0000-0000B1060000}"/>
    <cellStyle name="40% - Accent5 3 5 2 2 2" xfId="16406" xr:uid="{E5105AA5-E55D-40ED-A346-B160D9D3D82D}"/>
    <cellStyle name="40% - Accent5 3 5 2 3" xfId="12188" xr:uid="{B55132B2-4201-4303-AC30-23CFBD019980}"/>
    <cellStyle name="40% - Accent5 3 5 3" xfId="5832" xr:uid="{00000000-0005-0000-0000-0000B2060000}"/>
    <cellStyle name="40% - Accent5 3 5 3 2" xfId="14261" xr:uid="{627DE609-CDD0-4D98-B32D-D2B9DDC566C7}"/>
    <cellStyle name="40% - Accent5 3 5 4" xfId="10043" xr:uid="{86970E37-46F3-4124-9CF1-F5327F3DB244}"/>
    <cellStyle name="40% - Accent5 3 6" xfId="1937" xr:uid="{00000000-0005-0000-0000-0000B3060000}"/>
    <cellStyle name="40% - Accent5 3 6 2" xfId="4166" xr:uid="{00000000-0005-0000-0000-0000B4060000}"/>
    <cellStyle name="40% - Accent5 3 6 2 2" xfId="8390" xr:uid="{00000000-0005-0000-0000-0000B5060000}"/>
    <cellStyle name="40% - Accent5 3 6 2 2 2" xfId="16819" xr:uid="{DE75DFBB-F51D-4796-BB5F-E73E8BC6ECD8}"/>
    <cellStyle name="40% - Accent5 3 6 2 3" xfId="12601" xr:uid="{347A893A-BB94-4491-A0D5-637579FC538B}"/>
    <cellStyle name="40% - Accent5 3 6 3" xfId="6245" xr:uid="{00000000-0005-0000-0000-0000B6060000}"/>
    <cellStyle name="40% - Accent5 3 6 3 2" xfId="14674" xr:uid="{A4DE3C1C-BD4F-4EF0-9274-2A15FDEAFFF5}"/>
    <cellStyle name="40% - Accent5 3 6 4" xfId="10456" xr:uid="{301011EC-9099-47B3-9C03-0AE50195A298}"/>
    <cellStyle name="40% - Accent5 3 7" xfId="2350" xr:uid="{00000000-0005-0000-0000-0000B7060000}"/>
    <cellStyle name="40% - Accent5 3 7 2" xfId="6658" xr:uid="{00000000-0005-0000-0000-0000B8060000}"/>
    <cellStyle name="40% - Accent5 3 7 2 2" xfId="15087" xr:uid="{79CC3E47-0B9C-47A1-87F6-5B271E61FB08}"/>
    <cellStyle name="40% - Accent5 3 7 3" xfId="10869" xr:uid="{302DD5D0-5D5C-4284-A768-E1B7CD881689}"/>
    <cellStyle name="40% - Accent5 3 8" xfId="4592" xr:uid="{00000000-0005-0000-0000-0000B9060000}"/>
    <cellStyle name="40% - Accent5 3 8 2" xfId="13021" xr:uid="{B032835A-B6D5-4635-A38F-A34852E63537}"/>
    <cellStyle name="40% - Accent5 3 9" xfId="8803" xr:uid="{1C216336-F003-46C5-B8B5-3FF160D12581}"/>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2 2" xfId="15582" xr:uid="{E07204B3-27DD-4029-975E-16E8F70DB906}"/>
    <cellStyle name="40% - Accent5 4 2 2 3" xfId="11364" xr:uid="{725CBF6B-792A-4467-B455-74517EAF821F}"/>
    <cellStyle name="40% - Accent5 4 2 3" xfId="5008" xr:uid="{00000000-0005-0000-0000-0000BE060000}"/>
    <cellStyle name="40% - Accent5 4 2 3 2" xfId="13437" xr:uid="{751E5005-A471-48D8-A914-14EB98BC146D}"/>
    <cellStyle name="40% - Accent5 4 2 4" xfId="9219" xr:uid="{2BB4C2E8-E4A1-472B-AB12-36C92B1B25B1}"/>
    <cellStyle name="40% - Accent5 4 3" xfId="1111" xr:uid="{00000000-0005-0000-0000-0000BF060000}"/>
    <cellStyle name="40% - Accent5 4 3 2" xfId="3342" xr:uid="{00000000-0005-0000-0000-0000C0060000}"/>
    <cellStyle name="40% - Accent5 4 3 2 2" xfId="7566" xr:uid="{00000000-0005-0000-0000-0000C1060000}"/>
    <cellStyle name="40% - Accent5 4 3 2 2 2" xfId="15995" xr:uid="{DCE491A6-E39D-4498-A2E2-2AAFD107C2E2}"/>
    <cellStyle name="40% - Accent5 4 3 2 3" xfId="11777" xr:uid="{BB31B790-B98D-4BB3-9AA4-5004E4BF1216}"/>
    <cellStyle name="40% - Accent5 4 3 3" xfId="5421" xr:uid="{00000000-0005-0000-0000-0000C2060000}"/>
    <cellStyle name="40% - Accent5 4 3 3 2" xfId="13850" xr:uid="{C1B3A311-93A8-4963-9609-256C60DA64DA}"/>
    <cellStyle name="40% - Accent5 4 3 4" xfId="9632" xr:uid="{32DC0C79-2813-461D-87F4-DFB4D3895AE0}"/>
    <cellStyle name="40% - Accent5 4 4" xfId="1525" xr:uid="{00000000-0005-0000-0000-0000C3060000}"/>
    <cellStyle name="40% - Accent5 4 4 2" xfId="3755" xr:uid="{00000000-0005-0000-0000-0000C4060000}"/>
    <cellStyle name="40% - Accent5 4 4 2 2" xfId="7979" xr:uid="{00000000-0005-0000-0000-0000C5060000}"/>
    <cellStyle name="40% - Accent5 4 4 2 2 2" xfId="16408" xr:uid="{0FBE716D-C936-44C4-8405-0DDB274AD153}"/>
    <cellStyle name="40% - Accent5 4 4 2 3" xfId="12190" xr:uid="{9D5849CC-689A-455D-8BA4-90D146745330}"/>
    <cellStyle name="40% - Accent5 4 4 3" xfId="5834" xr:uid="{00000000-0005-0000-0000-0000C6060000}"/>
    <cellStyle name="40% - Accent5 4 4 3 2" xfId="14263" xr:uid="{7A8B7A45-7C3C-432A-A452-F76537A0BA17}"/>
    <cellStyle name="40% - Accent5 4 4 4" xfId="10045" xr:uid="{64A41CE9-0A71-42F9-8B68-1E99D1BE38D0}"/>
    <cellStyle name="40% - Accent5 4 5" xfId="1939" xr:uid="{00000000-0005-0000-0000-0000C7060000}"/>
    <cellStyle name="40% - Accent5 4 5 2" xfId="4168" xr:uid="{00000000-0005-0000-0000-0000C8060000}"/>
    <cellStyle name="40% - Accent5 4 5 2 2" xfId="8392" xr:uid="{00000000-0005-0000-0000-0000C9060000}"/>
    <cellStyle name="40% - Accent5 4 5 2 2 2" xfId="16821" xr:uid="{AF05CEB7-1E10-4763-9C21-B39431E42733}"/>
    <cellStyle name="40% - Accent5 4 5 2 3" xfId="12603" xr:uid="{90F66404-9FB6-44C3-8C73-84D00DF4A4F9}"/>
    <cellStyle name="40% - Accent5 4 5 3" xfId="6247" xr:uid="{00000000-0005-0000-0000-0000CA060000}"/>
    <cellStyle name="40% - Accent5 4 5 3 2" xfId="14676" xr:uid="{158FC93E-ADD4-46DA-B1BF-52EF1D360F1A}"/>
    <cellStyle name="40% - Accent5 4 5 4" xfId="10458" xr:uid="{8C36B58F-47F0-46BE-886D-AD5F7E057A36}"/>
    <cellStyle name="40% - Accent5 4 6" xfId="2352" xr:uid="{00000000-0005-0000-0000-0000CB060000}"/>
    <cellStyle name="40% - Accent5 4 6 2" xfId="6660" xr:uid="{00000000-0005-0000-0000-0000CC060000}"/>
    <cellStyle name="40% - Accent5 4 6 2 2" xfId="15089" xr:uid="{04140AF7-A014-4B38-B45A-58BDCD6729FB}"/>
    <cellStyle name="40% - Accent5 4 6 3" xfId="10871" xr:uid="{B281D388-C059-4062-8A4F-D09A90D098D0}"/>
    <cellStyle name="40% - Accent5 4 7" xfId="4594" xr:uid="{00000000-0005-0000-0000-0000CD060000}"/>
    <cellStyle name="40% - Accent5 4 7 2" xfId="13023" xr:uid="{A63CECBA-6A62-404A-A6C2-20759F26D6CB}"/>
    <cellStyle name="40% - Accent5 4 8" xfId="8805" xr:uid="{6727866C-3A40-4334-A258-00AEEBC9E279}"/>
    <cellStyle name="40% - Accent5 5" xfId="651" xr:uid="{00000000-0005-0000-0000-0000CE060000}"/>
    <cellStyle name="40% - Accent5 5 2" xfId="2922" xr:uid="{00000000-0005-0000-0000-0000CF060000}"/>
    <cellStyle name="40% - Accent5 5 2 2" xfId="7146" xr:uid="{00000000-0005-0000-0000-0000D0060000}"/>
    <cellStyle name="40% - Accent5 5 2 2 2" xfId="15575" xr:uid="{82DFD385-7CC3-4127-8FB0-42606F7D97A6}"/>
    <cellStyle name="40% - Accent5 5 2 3" xfId="11357" xr:uid="{9FFED024-ABEE-4EDD-8BC3-E3B16C42BEBC}"/>
    <cellStyle name="40% - Accent5 5 3" xfId="5001" xr:uid="{00000000-0005-0000-0000-0000D1060000}"/>
    <cellStyle name="40% - Accent5 5 3 2" xfId="13430" xr:uid="{C331002B-0F53-4F14-8406-D2189B0EE542}"/>
    <cellStyle name="40% - Accent5 5 4" xfId="9212" xr:uid="{F6E48578-9E8B-4315-BE48-A74ABB62C678}"/>
    <cellStyle name="40% - Accent5 6" xfId="1104" xr:uid="{00000000-0005-0000-0000-0000D2060000}"/>
    <cellStyle name="40% - Accent5 6 2" xfId="3335" xr:uid="{00000000-0005-0000-0000-0000D3060000}"/>
    <cellStyle name="40% - Accent5 6 2 2" xfId="7559" xr:uid="{00000000-0005-0000-0000-0000D4060000}"/>
    <cellStyle name="40% - Accent5 6 2 2 2" xfId="15988" xr:uid="{05874CCE-9EC4-4528-BEBE-34DFD147BABD}"/>
    <cellStyle name="40% - Accent5 6 2 3" xfId="11770" xr:uid="{48E42293-3B93-438E-8201-A137B4577740}"/>
    <cellStyle name="40% - Accent5 6 3" xfId="5414" xr:uid="{00000000-0005-0000-0000-0000D5060000}"/>
    <cellStyle name="40% - Accent5 6 3 2" xfId="13843" xr:uid="{57258D81-ADEC-4AE0-9A93-3A7233C0A93F}"/>
    <cellStyle name="40% - Accent5 6 4" xfId="9625" xr:uid="{EDC7F748-6311-4E0C-ACA7-5C5FA35475AF}"/>
    <cellStyle name="40% - Accent5 7" xfId="1518" xr:uid="{00000000-0005-0000-0000-0000D6060000}"/>
    <cellStyle name="40% - Accent5 7 2" xfId="3748" xr:uid="{00000000-0005-0000-0000-0000D7060000}"/>
    <cellStyle name="40% - Accent5 7 2 2" xfId="7972" xr:uid="{00000000-0005-0000-0000-0000D8060000}"/>
    <cellStyle name="40% - Accent5 7 2 2 2" xfId="16401" xr:uid="{908FB4AF-3598-440F-A3D0-9286D4074042}"/>
    <cellStyle name="40% - Accent5 7 2 3" xfId="12183" xr:uid="{35A73806-E2D0-40F0-B983-6CCD72979E3E}"/>
    <cellStyle name="40% - Accent5 7 3" xfId="5827" xr:uid="{00000000-0005-0000-0000-0000D9060000}"/>
    <cellStyle name="40% - Accent5 7 3 2" xfId="14256" xr:uid="{899A718D-ADFD-4F0F-AB2B-690B9CFD5B24}"/>
    <cellStyle name="40% - Accent5 7 4" xfId="10038" xr:uid="{E5ED19C9-5EBA-4BF5-9D49-0FA874EF1544}"/>
    <cellStyle name="40% - Accent5 8" xfId="1932" xr:uid="{00000000-0005-0000-0000-0000DA060000}"/>
    <cellStyle name="40% - Accent5 8 2" xfId="4161" xr:uid="{00000000-0005-0000-0000-0000DB060000}"/>
    <cellStyle name="40% - Accent5 8 2 2" xfId="8385" xr:uid="{00000000-0005-0000-0000-0000DC060000}"/>
    <cellStyle name="40% - Accent5 8 2 2 2" xfId="16814" xr:uid="{0C1D6408-76CD-44E2-BF39-7B54A3455677}"/>
    <cellStyle name="40% - Accent5 8 2 3" xfId="12596" xr:uid="{5BA85D3D-4669-4B0E-832F-DECEB8E33FA4}"/>
    <cellStyle name="40% - Accent5 8 3" xfId="6240" xr:uid="{00000000-0005-0000-0000-0000DD060000}"/>
    <cellStyle name="40% - Accent5 8 3 2" xfId="14669" xr:uid="{6C23436B-D985-4573-8FAB-1904EC1FB40F}"/>
    <cellStyle name="40% - Accent5 8 4" xfId="10451" xr:uid="{8F21FA26-B4A2-417A-820A-FA590C366F3F}"/>
    <cellStyle name="40% - Accent5 9" xfId="2345" xr:uid="{00000000-0005-0000-0000-0000DE060000}"/>
    <cellStyle name="40% - Accent5 9 2" xfId="6653" xr:uid="{00000000-0005-0000-0000-0000DF060000}"/>
    <cellStyle name="40% - Accent5 9 2 2" xfId="15082" xr:uid="{0058F7ED-5D57-43FE-B33A-1F87A4736A97}"/>
    <cellStyle name="40% - Accent5 9 3" xfId="10864" xr:uid="{46BAE07A-D657-45FD-A92D-35169F568081}"/>
    <cellStyle name="40% - Accent6" xfId="89" builtinId="51" customBuiltin="1"/>
    <cellStyle name="40% - Accent6 10" xfId="4595" xr:uid="{00000000-0005-0000-0000-0000E1060000}"/>
    <cellStyle name="40% - Accent6 10 2" xfId="13024" xr:uid="{4F5AE268-7918-4D0D-9EF7-E06E1766A685}"/>
    <cellStyle name="40% - Accent6 11" xfId="8806" xr:uid="{CF4DD7CE-0034-435C-B5DF-C8D3B4E3BF33}"/>
    <cellStyle name="40% - Accent6 2" xfId="90" xr:uid="{00000000-0005-0000-0000-0000E2060000}"/>
    <cellStyle name="40% - Accent6 2 10" xfId="8807" xr:uid="{2E863EBB-75FC-4CAB-86BB-F5D5F42E3AA9}"/>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2 2" xfId="15586" xr:uid="{6A8E5652-4E35-49E5-9EB1-AAB807E44011}"/>
    <cellStyle name="40% - Accent6 2 2 2 2 2 3" xfId="11368" xr:uid="{8852E926-1873-48D5-8F70-A04379A2FBAE}"/>
    <cellStyle name="40% - Accent6 2 2 2 2 3" xfId="5012" xr:uid="{00000000-0005-0000-0000-0000E8060000}"/>
    <cellStyle name="40% - Accent6 2 2 2 2 3 2" xfId="13441" xr:uid="{05EAA044-B53C-4FBC-A59A-13CE00A00D71}"/>
    <cellStyle name="40% - Accent6 2 2 2 2 4" xfId="9223" xr:uid="{67829191-B0A7-4267-9F6F-EE2073D38FDF}"/>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2 2" xfId="15999" xr:uid="{591F05DA-CA89-4978-A529-AD6369A75865}"/>
    <cellStyle name="40% - Accent6 2 2 2 3 2 3" xfId="11781" xr:uid="{9A39EEA3-5151-4376-903F-CF72873A76FE}"/>
    <cellStyle name="40% - Accent6 2 2 2 3 3" xfId="5425" xr:uid="{00000000-0005-0000-0000-0000EC060000}"/>
    <cellStyle name="40% - Accent6 2 2 2 3 3 2" xfId="13854" xr:uid="{9F61E923-64B7-4CDC-B785-8EA2D9ADC154}"/>
    <cellStyle name="40% - Accent6 2 2 2 3 4" xfId="9636" xr:uid="{54BAB4B3-C93A-41BA-8C05-448A60A7772C}"/>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2 2" xfId="16412" xr:uid="{4B2FFBEC-1580-45C2-9E19-6C9E6EF8D99A}"/>
    <cellStyle name="40% - Accent6 2 2 2 4 2 3" xfId="12194" xr:uid="{042CF8D9-0815-46D6-A7F4-96D7B18D1BCA}"/>
    <cellStyle name="40% - Accent6 2 2 2 4 3" xfId="5838" xr:uid="{00000000-0005-0000-0000-0000F0060000}"/>
    <cellStyle name="40% - Accent6 2 2 2 4 3 2" xfId="14267" xr:uid="{4AEB57C8-24ED-46BE-B214-2698CE78B181}"/>
    <cellStyle name="40% - Accent6 2 2 2 4 4" xfId="10049" xr:uid="{4369B571-B9BF-41CF-A7B4-35F0828D066D}"/>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2 2" xfId="16825" xr:uid="{06EB8BFE-B276-4F30-AF42-B7D245C42E9B}"/>
    <cellStyle name="40% - Accent6 2 2 2 5 2 3" xfId="12607" xr:uid="{A67978CD-2A64-46D1-A602-B27ADFB58FA0}"/>
    <cellStyle name="40% - Accent6 2 2 2 5 3" xfId="6251" xr:uid="{00000000-0005-0000-0000-0000F4060000}"/>
    <cellStyle name="40% - Accent6 2 2 2 5 3 2" xfId="14680" xr:uid="{913240A1-E248-4939-A34F-BDFB05C69D84}"/>
    <cellStyle name="40% - Accent6 2 2 2 5 4" xfId="10462" xr:uid="{382DBC77-4584-4D80-95FA-AF930AFDD5FF}"/>
    <cellStyle name="40% - Accent6 2 2 2 6" xfId="2356" xr:uid="{00000000-0005-0000-0000-0000F5060000}"/>
    <cellStyle name="40% - Accent6 2 2 2 6 2" xfId="6664" xr:uid="{00000000-0005-0000-0000-0000F6060000}"/>
    <cellStyle name="40% - Accent6 2 2 2 6 2 2" xfId="15093" xr:uid="{789725BF-B742-4514-83B1-8E56AF285EA7}"/>
    <cellStyle name="40% - Accent6 2 2 2 6 3" xfId="10875" xr:uid="{112C0191-2858-4463-AB26-2C8341992B6B}"/>
    <cellStyle name="40% - Accent6 2 2 2 7" xfId="4598" xr:uid="{00000000-0005-0000-0000-0000F7060000}"/>
    <cellStyle name="40% - Accent6 2 2 2 7 2" xfId="13027" xr:uid="{C1ED81A4-A02E-45E7-987A-7A7BA2D6EC2C}"/>
    <cellStyle name="40% - Accent6 2 2 2 8" xfId="8809" xr:uid="{24E5A305-070A-42EB-841F-F83DE85E3B13}"/>
    <cellStyle name="40% - Accent6 2 2 3" xfId="661" xr:uid="{00000000-0005-0000-0000-0000F8060000}"/>
    <cellStyle name="40% - Accent6 2 2 3 2" xfId="2932" xr:uid="{00000000-0005-0000-0000-0000F9060000}"/>
    <cellStyle name="40% - Accent6 2 2 3 2 2" xfId="7156" xr:uid="{00000000-0005-0000-0000-0000FA060000}"/>
    <cellStyle name="40% - Accent6 2 2 3 2 2 2" xfId="15585" xr:uid="{1EC3CDB9-7771-4779-8498-6517D71E6403}"/>
    <cellStyle name="40% - Accent6 2 2 3 2 3" xfId="11367" xr:uid="{37A81DE5-D643-4F95-B7D9-EBAEED1BDC2B}"/>
    <cellStyle name="40% - Accent6 2 2 3 3" xfId="5011" xr:uid="{00000000-0005-0000-0000-0000FB060000}"/>
    <cellStyle name="40% - Accent6 2 2 3 3 2" xfId="13440" xr:uid="{D767F69B-FCC7-4C05-9017-D418DADAE80F}"/>
    <cellStyle name="40% - Accent6 2 2 3 4" xfId="9222" xr:uid="{1B496D6C-2CCF-4168-95D3-BD828987AB2F}"/>
    <cellStyle name="40% - Accent6 2 2 4" xfId="1114" xr:uid="{00000000-0005-0000-0000-0000FC060000}"/>
    <cellStyle name="40% - Accent6 2 2 4 2" xfId="3345" xr:uid="{00000000-0005-0000-0000-0000FD060000}"/>
    <cellStyle name="40% - Accent6 2 2 4 2 2" xfId="7569" xr:uid="{00000000-0005-0000-0000-0000FE060000}"/>
    <cellStyle name="40% - Accent6 2 2 4 2 2 2" xfId="15998" xr:uid="{3EA98E1C-B2C5-44C0-B9BA-11BABD7F3A33}"/>
    <cellStyle name="40% - Accent6 2 2 4 2 3" xfId="11780" xr:uid="{BD2CEF40-462B-4444-9940-627A4B3C9200}"/>
    <cellStyle name="40% - Accent6 2 2 4 3" xfId="5424" xr:uid="{00000000-0005-0000-0000-0000FF060000}"/>
    <cellStyle name="40% - Accent6 2 2 4 3 2" xfId="13853" xr:uid="{2F206651-EA69-4E5E-B304-5518BA4DA63F}"/>
    <cellStyle name="40% - Accent6 2 2 4 4" xfId="9635" xr:uid="{C86ED267-F477-430E-B71C-C5B25756C5B0}"/>
    <cellStyle name="40% - Accent6 2 2 5" xfId="1528" xr:uid="{00000000-0005-0000-0000-000000070000}"/>
    <cellStyle name="40% - Accent6 2 2 5 2" xfId="3758" xr:uid="{00000000-0005-0000-0000-000001070000}"/>
    <cellStyle name="40% - Accent6 2 2 5 2 2" xfId="7982" xr:uid="{00000000-0005-0000-0000-000002070000}"/>
    <cellStyle name="40% - Accent6 2 2 5 2 2 2" xfId="16411" xr:uid="{7FBABD8E-6B4E-4C22-914B-8BC8E94A523B}"/>
    <cellStyle name="40% - Accent6 2 2 5 2 3" xfId="12193" xr:uid="{C9C4C52D-3F21-466D-8F6A-48E0DB3CCCCB}"/>
    <cellStyle name="40% - Accent6 2 2 5 3" xfId="5837" xr:uid="{00000000-0005-0000-0000-000003070000}"/>
    <cellStyle name="40% - Accent6 2 2 5 3 2" xfId="14266" xr:uid="{40DD3EA3-77BC-4D76-A932-BB8C4D904A9A}"/>
    <cellStyle name="40% - Accent6 2 2 5 4" xfId="10048" xr:uid="{CB4DCE90-049D-4F0E-B3FC-867D0FED90D4}"/>
    <cellStyle name="40% - Accent6 2 2 6" xfId="1942" xr:uid="{00000000-0005-0000-0000-000004070000}"/>
    <cellStyle name="40% - Accent6 2 2 6 2" xfId="4171" xr:uid="{00000000-0005-0000-0000-000005070000}"/>
    <cellStyle name="40% - Accent6 2 2 6 2 2" xfId="8395" xr:uid="{00000000-0005-0000-0000-000006070000}"/>
    <cellStyle name="40% - Accent6 2 2 6 2 2 2" xfId="16824" xr:uid="{E33FD807-E62E-4971-BC8B-9F23DC08B7F5}"/>
    <cellStyle name="40% - Accent6 2 2 6 2 3" xfId="12606" xr:uid="{953670AD-5C33-4EDC-BEC2-DAFA1FA59F3B}"/>
    <cellStyle name="40% - Accent6 2 2 6 3" xfId="6250" xr:uid="{00000000-0005-0000-0000-000007070000}"/>
    <cellStyle name="40% - Accent6 2 2 6 3 2" xfId="14679" xr:uid="{5EC4812E-F0E1-4D6C-BE65-7E153A69FACA}"/>
    <cellStyle name="40% - Accent6 2 2 6 4" xfId="10461" xr:uid="{8009775A-E086-49D1-960A-74DEBB8EE266}"/>
    <cellStyle name="40% - Accent6 2 2 7" xfId="2355" xr:uid="{00000000-0005-0000-0000-000008070000}"/>
    <cellStyle name="40% - Accent6 2 2 7 2" xfId="6663" xr:uid="{00000000-0005-0000-0000-000009070000}"/>
    <cellStyle name="40% - Accent6 2 2 7 2 2" xfId="15092" xr:uid="{07D835E1-F122-4ECF-A5BC-40A7523E22F1}"/>
    <cellStyle name="40% - Accent6 2 2 7 3" xfId="10874" xr:uid="{58041A68-AA9E-4FC6-9952-39568CBF5574}"/>
    <cellStyle name="40% - Accent6 2 2 8" xfId="4597" xr:uid="{00000000-0005-0000-0000-00000A070000}"/>
    <cellStyle name="40% - Accent6 2 2 8 2" xfId="13026" xr:uid="{E92E6869-88A5-493E-A422-5CD13EA11C06}"/>
    <cellStyle name="40% - Accent6 2 2 9" xfId="8808" xr:uid="{96F24EE6-0048-41C5-86FF-AF9063246B67}"/>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2 2" xfId="15587" xr:uid="{6A33CC6C-6214-40A7-831D-4AC7D82A531B}"/>
    <cellStyle name="40% - Accent6 2 3 2 2 3" xfId="11369" xr:uid="{508578AF-92A0-4CA1-BE29-7CC31247EFBC}"/>
    <cellStyle name="40% - Accent6 2 3 2 3" xfId="5013" xr:uid="{00000000-0005-0000-0000-00000F070000}"/>
    <cellStyle name="40% - Accent6 2 3 2 3 2" xfId="13442" xr:uid="{E14190EF-E400-4D6E-BBC6-F12903EAF412}"/>
    <cellStyle name="40% - Accent6 2 3 2 4" xfId="9224" xr:uid="{7479C5DF-B231-4B38-83BD-32CE3043CF2B}"/>
    <cellStyle name="40% - Accent6 2 3 3" xfId="1116" xr:uid="{00000000-0005-0000-0000-000010070000}"/>
    <cellStyle name="40% - Accent6 2 3 3 2" xfId="3347" xr:uid="{00000000-0005-0000-0000-000011070000}"/>
    <cellStyle name="40% - Accent6 2 3 3 2 2" xfId="7571" xr:uid="{00000000-0005-0000-0000-000012070000}"/>
    <cellStyle name="40% - Accent6 2 3 3 2 2 2" xfId="16000" xr:uid="{2FCDF72D-6C1F-4A9F-BBA4-5DAFF2D83409}"/>
    <cellStyle name="40% - Accent6 2 3 3 2 3" xfId="11782" xr:uid="{2520F35A-4909-4694-BB84-1546035898BC}"/>
    <cellStyle name="40% - Accent6 2 3 3 3" xfId="5426" xr:uid="{00000000-0005-0000-0000-000013070000}"/>
    <cellStyle name="40% - Accent6 2 3 3 3 2" xfId="13855" xr:uid="{79CA3D66-ADF6-467F-89F9-5877F3FACAF4}"/>
    <cellStyle name="40% - Accent6 2 3 3 4" xfId="9637" xr:uid="{FD3DFFDC-B353-47DC-8D0C-D2A993508E15}"/>
    <cellStyle name="40% - Accent6 2 3 4" xfId="1530" xr:uid="{00000000-0005-0000-0000-000014070000}"/>
    <cellStyle name="40% - Accent6 2 3 4 2" xfId="3760" xr:uid="{00000000-0005-0000-0000-000015070000}"/>
    <cellStyle name="40% - Accent6 2 3 4 2 2" xfId="7984" xr:uid="{00000000-0005-0000-0000-000016070000}"/>
    <cellStyle name="40% - Accent6 2 3 4 2 2 2" xfId="16413" xr:uid="{30861ED4-1F7A-41DA-86EB-1E58A566C6E7}"/>
    <cellStyle name="40% - Accent6 2 3 4 2 3" xfId="12195" xr:uid="{0D31E9F0-9F09-4768-AA48-5690A6C5807D}"/>
    <cellStyle name="40% - Accent6 2 3 4 3" xfId="5839" xr:uid="{00000000-0005-0000-0000-000017070000}"/>
    <cellStyle name="40% - Accent6 2 3 4 3 2" xfId="14268" xr:uid="{6C29FCE0-8C94-4484-9977-11A5734A9A2D}"/>
    <cellStyle name="40% - Accent6 2 3 4 4" xfId="10050" xr:uid="{676EBE69-54EE-4142-B23C-9BAFB203A45F}"/>
    <cellStyle name="40% - Accent6 2 3 5" xfId="1944" xr:uid="{00000000-0005-0000-0000-000018070000}"/>
    <cellStyle name="40% - Accent6 2 3 5 2" xfId="4173" xr:uid="{00000000-0005-0000-0000-000019070000}"/>
    <cellStyle name="40% - Accent6 2 3 5 2 2" xfId="8397" xr:uid="{00000000-0005-0000-0000-00001A070000}"/>
    <cellStyle name="40% - Accent6 2 3 5 2 2 2" xfId="16826" xr:uid="{EA3ABEBA-33FA-477E-AAB6-9C4E89C0C463}"/>
    <cellStyle name="40% - Accent6 2 3 5 2 3" xfId="12608" xr:uid="{18841087-AB05-4853-87F3-7DEEB495BE80}"/>
    <cellStyle name="40% - Accent6 2 3 5 3" xfId="6252" xr:uid="{00000000-0005-0000-0000-00001B070000}"/>
    <cellStyle name="40% - Accent6 2 3 5 3 2" xfId="14681" xr:uid="{6681A410-EADA-4CC4-8998-A5225B482385}"/>
    <cellStyle name="40% - Accent6 2 3 5 4" xfId="10463" xr:uid="{A33FDC2D-B179-413E-820B-BF36C3A98E38}"/>
    <cellStyle name="40% - Accent6 2 3 6" xfId="2357" xr:uid="{00000000-0005-0000-0000-00001C070000}"/>
    <cellStyle name="40% - Accent6 2 3 6 2" xfId="6665" xr:uid="{00000000-0005-0000-0000-00001D070000}"/>
    <cellStyle name="40% - Accent6 2 3 6 2 2" xfId="15094" xr:uid="{E977D347-C643-4D7D-BAC1-7522EB19786C}"/>
    <cellStyle name="40% - Accent6 2 3 6 3" xfId="10876" xr:uid="{E03482E7-047F-4967-9311-3E15A36421BF}"/>
    <cellStyle name="40% - Accent6 2 3 7" xfId="4599" xr:uid="{00000000-0005-0000-0000-00001E070000}"/>
    <cellStyle name="40% - Accent6 2 3 7 2" xfId="13028" xr:uid="{7910BC97-4FC2-47B1-971A-4093409413F8}"/>
    <cellStyle name="40% - Accent6 2 3 8" xfId="8810" xr:uid="{895CB977-8751-43CF-BF47-B00742FDB3FC}"/>
    <cellStyle name="40% - Accent6 2 4" xfId="660" xr:uid="{00000000-0005-0000-0000-00001F070000}"/>
    <cellStyle name="40% - Accent6 2 4 2" xfId="2931" xr:uid="{00000000-0005-0000-0000-000020070000}"/>
    <cellStyle name="40% - Accent6 2 4 2 2" xfId="7155" xr:uid="{00000000-0005-0000-0000-000021070000}"/>
    <cellStyle name="40% - Accent6 2 4 2 2 2" xfId="15584" xr:uid="{DEA03D03-BBF3-4C57-A7C8-1A69E565399B}"/>
    <cellStyle name="40% - Accent6 2 4 2 3" xfId="11366" xr:uid="{2B633778-299D-4C0B-9985-856182A15CEA}"/>
    <cellStyle name="40% - Accent6 2 4 3" xfId="5010" xr:uid="{00000000-0005-0000-0000-000022070000}"/>
    <cellStyle name="40% - Accent6 2 4 3 2" xfId="13439" xr:uid="{CFC569F1-1556-431E-B7E5-CAEFFE321680}"/>
    <cellStyle name="40% - Accent6 2 4 4" xfId="9221" xr:uid="{ACEF59D4-FD87-4D41-9E9C-8CD3F6C93C8E}"/>
    <cellStyle name="40% - Accent6 2 5" xfId="1113" xr:uid="{00000000-0005-0000-0000-000023070000}"/>
    <cellStyle name="40% - Accent6 2 5 2" xfId="3344" xr:uid="{00000000-0005-0000-0000-000024070000}"/>
    <cellStyle name="40% - Accent6 2 5 2 2" xfId="7568" xr:uid="{00000000-0005-0000-0000-000025070000}"/>
    <cellStyle name="40% - Accent6 2 5 2 2 2" xfId="15997" xr:uid="{C4FABE02-5C76-439F-B2F1-6349D35B8822}"/>
    <cellStyle name="40% - Accent6 2 5 2 3" xfId="11779" xr:uid="{4DF1A992-70FC-4B44-95FE-6A7F570CB1CD}"/>
    <cellStyle name="40% - Accent6 2 5 3" xfId="5423" xr:uid="{00000000-0005-0000-0000-000026070000}"/>
    <cellStyle name="40% - Accent6 2 5 3 2" xfId="13852" xr:uid="{10BE3AA5-92C4-448D-8B61-FC0E51FAD769}"/>
    <cellStyle name="40% - Accent6 2 5 4" xfId="9634" xr:uid="{507D31E0-4072-4D74-BA27-22192905EA4E}"/>
    <cellStyle name="40% - Accent6 2 6" xfId="1527" xr:uid="{00000000-0005-0000-0000-000027070000}"/>
    <cellStyle name="40% - Accent6 2 6 2" xfId="3757" xr:uid="{00000000-0005-0000-0000-000028070000}"/>
    <cellStyle name="40% - Accent6 2 6 2 2" xfId="7981" xr:uid="{00000000-0005-0000-0000-000029070000}"/>
    <cellStyle name="40% - Accent6 2 6 2 2 2" xfId="16410" xr:uid="{1AC9A28F-4FA6-4B86-8D5B-DB782418022C}"/>
    <cellStyle name="40% - Accent6 2 6 2 3" xfId="12192" xr:uid="{38E89486-D874-431F-BAD4-712CEAD124B8}"/>
    <cellStyle name="40% - Accent6 2 6 3" xfId="5836" xr:uid="{00000000-0005-0000-0000-00002A070000}"/>
    <cellStyle name="40% - Accent6 2 6 3 2" xfId="14265" xr:uid="{69EB1FDC-A4EC-4DAE-929D-C4FF83D28582}"/>
    <cellStyle name="40% - Accent6 2 6 4" xfId="10047" xr:uid="{8D589873-BECC-4899-8A74-44EEF6A2743B}"/>
    <cellStyle name="40% - Accent6 2 7" xfId="1941" xr:uid="{00000000-0005-0000-0000-00002B070000}"/>
    <cellStyle name="40% - Accent6 2 7 2" xfId="4170" xr:uid="{00000000-0005-0000-0000-00002C070000}"/>
    <cellStyle name="40% - Accent6 2 7 2 2" xfId="8394" xr:uid="{00000000-0005-0000-0000-00002D070000}"/>
    <cellStyle name="40% - Accent6 2 7 2 2 2" xfId="16823" xr:uid="{648CD3E0-E88A-49BB-8F88-49790AEFF974}"/>
    <cellStyle name="40% - Accent6 2 7 2 3" xfId="12605" xr:uid="{52D8F013-BA18-45A3-A6D3-C5F7B8D14D1B}"/>
    <cellStyle name="40% - Accent6 2 7 3" xfId="6249" xr:uid="{00000000-0005-0000-0000-00002E070000}"/>
    <cellStyle name="40% - Accent6 2 7 3 2" xfId="14678" xr:uid="{81B29F99-F5C4-4035-8A8E-82C2F67487DD}"/>
    <cellStyle name="40% - Accent6 2 7 4" xfId="10460" xr:uid="{D5038EC0-8BF2-4DA7-AF3E-C102F547C1EA}"/>
    <cellStyle name="40% - Accent6 2 8" xfId="2354" xr:uid="{00000000-0005-0000-0000-00002F070000}"/>
    <cellStyle name="40% - Accent6 2 8 2" xfId="6662" xr:uid="{00000000-0005-0000-0000-000030070000}"/>
    <cellStyle name="40% - Accent6 2 8 2 2" xfId="15091" xr:uid="{0A7EAAC4-B07B-4892-90D1-0502AE9F2EA2}"/>
    <cellStyle name="40% - Accent6 2 8 3" xfId="10873" xr:uid="{0561ADAD-FF34-4450-8D31-25D27A89381E}"/>
    <cellStyle name="40% - Accent6 2 9" xfId="4596" xr:uid="{00000000-0005-0000-0000-000031070000}"/>
    <cellStyle name="40% - Accent6 2 9 2" xfId="13025" xr:uid="{DD76201D-68E3-4CDD-814B-86326E21EAB5}"/>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2 2" xfId="15589" xr:uid="{6A400337-A2C9-43EA-B6F2-A1E01D86A0E6}"/>
    <cellStyle name="40% - Accent6 3 2 2 2 3" xfId="11371" xr:uid="{C29EC26A-7E42-49BF-92C3-F4A33063C244}"/>
    <cellStyle name="40% - Accent6 3 2 2 3" xfId="5015" xr:uid="{00000000-0005-0000-0000-000037070000}"/>
    <cellStyle name="40% - Accent6 3 2 2 3 2" xfId="13444" xr:uid="{531BD42E-5E1A-479D-932B-0E58554DAC71}"/>
    <cellStyle name="40% - Accent6 3 2 2 4" xfId="9226" xr:uid="{9E7F9876-8FC2-42A8-8837-06100F39B826}"/>
    <cellStyle name="40% - Accent6 3 2 3" xfId="1118" xr:uid="{00000000-0005-0000-0000-000038070000}"/>
    <cellStyle name="40% - Accent6 3 2 3 2" xfId="3349" xr:uid="{00000000-0005-0000-0000-000039070000}"/>
    <cellStyle name="40% - Accent6 3 2 3 2 2" xfId="7573" xr:uid="{00000000-0005-0000-0000-00003A070000}"/>
    <cellStyle name="40% - Accent6 3 2 3 2 2 2" xfId="16002" xr:uid="{F0438C3C-E58B-4709-AE71-CCA0AE49BD5F}"/>
    <cellStyle name="40% - Accent6 3 2 3 2 3" xfId="11784" xr:uid="{2E2003E6-F5A8-4B1C-A913-F942FE1262FB}"/>
    <cellStyle name="40% - Accent6 3 2 3 3" xfId="5428" xr:uid="{00000000-0005-0000-0000-00003B070000}"/>
    <cellStyle name="40% - Accent6 3 2 3 3 2" xfId="13857" xr:uid="{B21FE934-23BA-4A31-930C-E7AA768ABE36}"/>
    <cellStyle name="40% - Accent6 3 2 3 4" xfId="9639" xr:uid="{379EBF97-3217-4A70-AB25-B1E8B1BC85E7}"/>
    <cellStyle name="40% - Accent6 3 2 4" xfId="1532" xr:uid="{00000000-0005-0000-0000-00003C070000}"/>
    <cellStyle name="40% - Accent6 3 2 4 2" xfId="3762" xr:uid="{00000000-0005-0000-0000-00003D070000}"/>
    <cellStyle name="40% - Accent6 3 2 4 2 2" xfId="7986" xr:uid="{00000000-0005-0000-0000-00003E070000}"/>
    <cellStyle name="40% - Accent6 3 2 4 2 2 2" xfId="16415" xr:uid="{FBF97BCE-528B-4557-A47B-DC90BAA6D2A2}"/>
    <cellStyle name="40% - Accent6 3 2 4 2 3" xfId="12197" xr:uid="{BBEC905D-966F-4864-BFD5-27FCD6EB64FD}"/>
    <cellStyle name="40% - Accent6 3 2 4 3" xfId="5841" xr:uid="{00000000-0005-0000-0000-00003F070000}"/>
    <cellStyle name="40% - Accent6 3 2 4 3 2" xfId="14270" xr:uid="{9E4F7DF1-96E4-4D83-A592-984F6AFCF20D}"/>
    <cellStyle name="40% - Accent6 3 2 4 4" xfId="10052" xr:uid="{881004A9-B0B5-4D55-BE35-C43C273F896D}"/>
    <cellStyle name="40% - Accent6 3 2 5" xfId="1946" xr:uid="{00000000-0005-0000-0000-000040070000}"/>
    <cellStyle name="40% - Accent6 3 2 5 2" xfId="4175" xr:uid="{00000000-0005-0000-0000-000041070000}"/>
    <cellStyle name="40% - Accent6 3 2 5 2 2" xfId="8399" xr:uid="{00000000-0005-0000-0000-000042070000}"/>
    <cellStyle name="40% - Accent6 3 2 5 2 2 2" xfId="16828" xr:uid="{35D38ABE-233F-4059-A3B4-E480675FC534}"/>
    <cellStyle name="40% - Accent6 3 2 5 2 3" xfId="12610" xr:uid="{1FC7044C-4B0B-4BDB-B614-036ED6B457E7}"/>
    <cellStyle name="40% - Accent6 3 2 5 3" xfId="6254" xr:uid="{00000000-0005-0000-0000-000043070000}"/>
    <cellStyle name="40% - Accent6 3 2 5 3 2" xfId="14683" xr:uid="{05AA7136-D604-45DB-990B-D3941F47D977}"/>
    <cellStyle name="40% - Accent6 3 2 5 4" xfId="10465" xr:uid="{7DD56EF2-88E5-4E47-8037-BFC22D1E691E}"/>
    <cellStyle name="40% - Accent6 3 2 6" xfId="2359" xr:uid="{00000000-0005-0000-0000-000044070000}"/>
    <cellStyle name="40% - Accent6 3 2 6 2" xfId="6667" xr:uid="{00000000-0005-0000-0000-000045070000}"/>
    <cellStyle name="40% - Accent6 3 2 6 2 2" xfId="15096" xr:uid="{55B14A1B-80C4-430E-A8BC-1AA01AA11C01}"/>
    <cellStyle name="40% - Accent6 3 2 6 3" xfId="10878" xr:uid="{2DB492E7-FA70-4CEC-8500-97323B77EB18}"/>
    <cellStyle name="40% - Accent6 3 2 7" xfId="4601" xr:uid="{00000000-0005-0000-0000-000046070000}"/>
    <cellStyle name="40% - Accent6 3 2 7 2" xfId="13030" xr:uid="{51FFC81C-DF65-4266-BD2D-678403D4124D}"/>
    <cellStyle name="40% - Accent6 3 2 8" xfId="8812" xr:uid="{128EB783-2271-45E4-85D8-209B3A5D425B}"/>
    <cellStyle name="40% - Accent6 3 3" xfId="664" xr:uid="{00000000-0005-0000-0000-000047070000}"/>
    <cellStyle name="40% - Accent6 3 3 2" xfId="2935" xr:uid="{00000000-0005-0000-0000-000048070000}"/>
    <cellStyle name="40% - Accent6 3 3 2 2" xfId="7159" xr:uid="{00000000-0005-0000-0000-000049070000}"/>
    <cellStyle name="40% - Accent6 3 3 2 2 2" xfId="15588" xr:uid="{245AB88D-77C5-4E03-A314-5463A35F5BBC}"/>
    <cellStyle name="40% - Accent6 3 3 2 3" xfId="11370" xr:uid="{AC8DFB10-94FB-44E4-BCEB-75E4FA04153E}"/>
    <cellStyle name="40% - Accent6 3 3 3" xfId="5014" xr:uid="{00000000-0005-0000-0000-00004A070000}"/>
    <cellStyle name="40% - Accent6 3 3 3 2" xfId="13443" xr:uid="{93D75070-CA88-422A-A48A-363D98609348}"/>
    <cellStyle name="40% - Accent6 3 3 4" xfId="9225" xr:uid="{E007F4AD-11A4-4BE4-ACF3-EA904CEC3924}"/>
    <cellStyle name="40% - Accent6 3 4" xfId="1117" xr:uid="{00000000-0005-0000-0000-00004B070000}"/>
    <cellStyle name="40% - Accent6 3 4 2" xfId="3348" xr:uid="{00000000-0005-0000-0000-00004C070000}"/>
    <cellStyle name="40% - Accent6 3 4 2 2" xfId="7572" xr:uid="{00000000-0005-0000-0000-00004D070000}"/>
    <cellStyle name="40% - Accent6 3 4 2 2 2" xfId="16001" xr:uid="{3931AA1B-80B7-421F-8352-A8E0D99C7D55}"/>
    <cellStyle name="40% - Accent6 3 4 2 3" xfId="11783" xr:uid="{54E2AE70-1A44-40A3-8DF8-6AA5970D8B0C}"/>
    <cellStyle name="40% - Accent6 3 4 3" xfId="5427" xr:uid="{00000000-0005-0000-0000-00004E070000}"/>
    <cellStyle name="40% - Accent6 3 4 3 2" xfId="13856" xr:uid="{5BF146A7-B848-441D-AB56-37107CEE0E4A}"/>
    <cellStyle name="40% - Accent6 3 4 4" xfId="9638" xr:uid="{116C6255-80A8-43FC-ACFD-E93AC8ACC36D}"/>
    <cellStyle name="40% - Accent6 3 5" xfId="1531" xr:uid="{00000000-0005-0000-0000-00004F070000}"/>
    <cellStyle name="40% - Accent6 3 5 2" xfId="3761" xr:uid="{00000000-0005-0000-0000-000050070000}"/>
    <cellStyle name="40% - Accent6 3 5 2 2" xfId="7985" xr:uid="{00000000-0005-0000-0000-000051070000}"/>
    <cellStyle name="40% - Accent6 3 5 2 2 2" xfId="16414" xr:uid="{8C99CC63-ABA3-46B1-A2F9-36AC4BFCC7A9}"/>
    <cellStyle name="40% - Accent6 3 5 2 3" xfId="12196" xr:uid="{2CF5E2AE-474F-436F-BF0C-0EC6F6EBD0ED}"/>
    <cellStyle name="40% - Accent6 3 5 3" xfId="5840" xr:uid="{00000000-0005-0000-0000-000052070000}"/>
    <cellStyle name="40% - Accent6 3 5 3 2" xfId="14269" xr:uid="{5B854EE4-CD15-40B7-A8BC-628023AA8902}"/>
    <cellStyle name="40% - Accent6 3 5 4" xfId="10051" xr:uid="{4F08E15C-AEC8-438B-9F7B-C64C1F01E24A}"/>
    <cellStyle name="40% - Accent6 3 6" xfId="1945" xr:uid="{00000000-0005-0000-0000-000053070000}"/>
    <cellStyle name="40% - Accent6 3 6 2" xfId="4174" xr:uid="{00000000-0005-0000-0000-000054070000}"/>
    <cellStyle name="40% - Accent6 3 6 2 2" xfId="8398" xr:uid="{00000000-0005-0000-0000-000055070000}"/>
    <cellStyle name="40% - Accent6 3 6 2 2 2" xfId="16827" xr:uid="{D3DE91E5-A06A-4928-82DA-571234415D28}"/>
    <cellStyle name="40% - Accent6 3 6 2 3" xfId="12609" xr:uid="{461EB735-48B7-4281-AA98-7CD501472ACF}"/>
    <cellStyle name="40% - Accent6 3 6 3" xfId="6253" xr:uid="{00000000-0005-0000-0000-000056070000}"/>
    <cellStyle name="40% - Accent6 3 6 3 2" xfId="14682" xr:uid="{662883C2-315F-421E-946A-F9DA4FAD69F5}"/>
    <cellStyle name="40% - Accent6 3 6 4" xfId="10464" xr:uid="{2D75D1A7-BF39-4370-A8EB-9A331A0D0C3C}"/>
    <cellStyle name="40% - Accent6 3 7" xfId="2358" xr:uid="{00000000-0005-0000-0000-000057070000}"/>
    <cellStyle name="40% - Accent6 3 7 2" xfId="6666" xr:uid="{00000000-0005-0000-0000-000058070000}"/>
    <cellStyle name="40% - Accent6 3 7 2 2" xfId="15095" xr:uid="{DB4F67F4-6B14-4726-B1A1-73E3E6DE7A3D}"/>
    <cellStyle name="40% - Accent6 3 7 3" xfId="10877" xr:uid="{494D15E9-C73F-4769-A5AC-533FD317CAE8}"/>
    <cellStyle name="40% - Accent6 3 8" xfId="4600" xr:uid="{00000000-0005-0000-0000-000059070000}"/>
    <cellStyle name="40% - Accent6 3 8 2" xfId="13029" xr:uid="{9E6BF6E6-F283-40F4-AC3C-5E21E996629A}"/>
    <cellStyle name="40% - Accent6 3 9" xfId="8811" xr:uid="{377EACE1-B6D7-4311-A2B7-E055DD6F8F2F}"/>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2 2" xfId="15590" xr:uid="{64D443B6-41C9-40AA-BB30-125328EE03CF}"/>
    <cellStyle name="40% - Accent6 4 2 2 3" xfId="11372" xr:uid="{3B860B12-FDDF-4C5F-BCC8-16BFFDB40F76}"/>
    <cellStyle name="40% - Accent6 4 2 3" xfId="5016" xr:uid="{00000000-0005-0000-0000-00005E070000}"/>
    <cellStyle name="40% - Accent6 4 2 3 2" xfId="13445" xr:uid="{C415E81A-334E-46B2-BDFB-46A68BB06A59}"/>
    <cellStyle name="40% - Accent6 4 2 4" xfId="9227" xr:uid="{CD264AD1-9BC4-4BB8-8620-D8E5E4D643D9}"/>
    <cellStyle name="40% - Accent6 4 3" xfId="1119" xr:uid="{00000000-0005-0000-0000-00005F070000}"/>
    <cellStyle name="40% - Accent6 4 3 2" xfId="3350" xr:uid="{00000000-0005-0000-0000-000060070000}"/>
    <cellStyle name="40% - Accent6 4 3 2 2" xfId="7574" xr:uid="{00000000-0005-0000-0000-000061070000}"/>
    <cellStyle name="40% - Accent6 4 3 2 2 2" xfId="16003" xr:uid="{9888D93C-B1D1-48B9-9C37-8A5E9A053404}"/>
    <cellStyle name="40% - Accent6 4 3 2 3" xfId="11785" xr:uid="{4E3873FE-DB1E-4103-BB41-E921F9B66DFE}"/>
    <cellStyle name="40% - Accent6 4 3 3" xfId="5429" xr:uid="{00000000-0005-0000-0000-000062070000}"/>
    <cellStyle name="40% - Accent6 4 3 3 2" xfId="13858" xr:uid="{001DEA0E-AF8B-4B4B-92E0-49E6450FC47B}"/>
    <cellStyle name="40% - Accent6 4 3 4" xfId="9640" xr:uid="{0E5D7C4E-7A2F-485B-8F39-91FF95238AFA}"/>
    <cellStyle name="40% - Accent6 4 4" xfId="1533" xr:uid="{00000000-0005-0000-0000-000063070000}"/>
    <cellStyle name="40% - Accent6 4 4 2" xfId="3763" xr:uid="{00000000-0005-0000-0000-000064070000}"/>
    <cellStyle name="40% - Accent6 4 4 2 2" xfId="7987" xr:uid="{00000000-0005-0000-0000-000065070000}"/>
    <cellStyle name="40% - Accent6 4 4 2 2 2" xfId="16416" xr:uid="{DCB4B494-AABB-4763-BDC0-2783F6B1B6ED}"/>
    <cellStyle name="40% - Accent6 4 4 2 3" xfId="12198" xr:uid="{F4545317-BDEF-487C-ABB6-A083703F73B8}"/>
    <cellStyle name="40% - Accent6 4 4 3" xfId="5842" xr:uid="{00000000-0005-0000-0000-000066070000}"/>
    <cellStyle name="40% - Accent6 4 4 3 2" xfId="14271" xr:uid="{F021B5F8-085F-4108-9BD4-6D74D5287577}"/>
    <cellStyle name="40% - Accent6 4 4 4" xfId="10053" xr:uid="{E8D549F4-BA3B-46FF-8BBB-34E07C172EFC}"/>
    <cellStyle name="40% - Accent6 4 5" xfId="1947" xr:uid="{00000000-0005-0000-0000-000067070000}"/>
    <cellStyle name="40% - Accent6 4 5 2" xfId="4176" xr:uid="{00000000-0005-0000-0000-000068070000}"/>
    <cellStyle name="40% - Accent6 4 5 2 2" xfId="8400" xr:uid="{00000000-0005-0000-0000-000069070000}"/>
    <cellStyle name="40% - Accent6 4 5 2 2 2" xfId="16829" xr:uid="{42B6931F-7E0E-4A7F-9B5E-5C1AE379482A}"/>
    <cellStyle name="40% - Accent6 4 5 2 3" xfId="12611" xr:uid="{FA11E640-9207-4BEB-BBB7-33DDBF9F5DED}"/>
    <cellStyle name="40% - Accent6 4 5 3" xfId="6255" xr:uid="{00000000-0005-0000-0000-00006A070000}"/>
    <cellStyle name="40% - Accent6 4 5 3 2" xfId="14684" xr:uid="{0409C5C1-4796-4D88-87C8-C4FD26C98BCE}"/>
    <cellStyle name="40% - Accent6 4 5 4" xfId="10466" xr:uid="{740114A3-DBE5-48A5-A611-00346964C181}"/>
    <cellStyle name="40% - Accent6 4 6" xfId="2360" xr:uid="{00000000-0005-0000-0000-00006B070000}"/>
    <cellStyle name="40% - Accent6 4 6 2" xfId="6668" xr:uid="{00000000-0005-0000-0000-00006C070000}"/>
    <cellStyle name="40% - Accent6 4 6 2 2" xfId="15097" xr:uid="{B65163F3-978F-4298-9264-167AE5C8E5EE}"/>
    <cellStyle name="40% - Accent6 4 6 3" xfId="10879" xr:uid="{B2CF5C7F-9D02-4B8B-9592-8CC16545E1E3}"/>
    <cellStyle name="40% - Accent6 4 7" xfId="4602" xr:uid="{00000000-0005-0000-0000-00006D070000}"/>
    <cellStyle name="40% - Accent6 4 7 2" xfId="13031" xr:uid="{2BD41296-BDBE-4830-B7D6-26E72469E895}"/>
    <cellStyle name="40% - Accent6 4 8" xfId="8813" xr:uid="{5BA6E3D2-2960-4C36-9142-E11CA0D926F5}"/>
    <cellStyle name="40% - Accent6 5" xfId="659" xr:uid="{00000000-0005-0000-0000-00006E070000}"/>
    <cellStyle name="40% - Accent6 5 2" xfId="2930" xr:uid="{00000000-0005-0000-0000-00006F070000}"/>
    <cellStyle name="40% - Accent6 5 2 2" xfId="7154" xr:uid="{00000000-0005-0000-0000-000070070000}"/>
    <cellStyle name="40% - Accent6 5 2 2 2" xfId="15583" xr:uid="{CE2D7558-6AC7-4271-80CB-4AE48AC28689}"/>
    <cellStyle name="40% - Accent6 5 2 3" xfId="11365" xr:uid="{0FC639BA-59E7-41CF-9AE1-EBCD8C169969}"/>
    <cellStyle name="40% - Accent6 5 3" xfId="5009" xr:uid="{00000000-0005-0000-0000-000071070000}"/>
    <cellStyle name="40% - Accent6 5 3 2" xfId="13438" xr:uid="{2AC43749-ECBD-44E4-8D58-A778B403D030}"/>
    <cellStyle name="40% - Accent6 5 4" xfId="9220" xr:uid="{A4207082-2558-4786-BC24-132EEDEBD373}"/>
    <cellStyle name="40% - Accent6 6" xfId="1112" xr:uid="{00000000-0005-0000-0000-000072070000}"/>
    <cellStyle name="40% - Accent6 6 2" xfId="3343" xr:uid="{00000000-0005-0000-0000-000073070000}"/>
    <cellStyle name="40% - Accent6 6 2 2" xfId="7567" xr:uid="{00000000-0005-0000-0000-000074070000}"/>
    <cellStyle name="40% - Accent6 6 2 2 2" xfId="15996" xr:uid="{6A96F6AE-F403-4AE0-985D-EBB52616A81F}"/>
    <cellStyle name="40% - Accent6 6 2 3" xfId="11778" xr:uid="{272A2983-F364-4019-952B-13BD7F5F5A9A}"/>
    <cellStyle name="40% - Accent6 6 3" xfId="5422" xr:uid="{00000000-0005-0000-0000-000075070000}"/>
    <cellStyle name="40% - Accent6 6 3 2" xfId="13851" xr:uid="{21DE2194-27E5-425D-A6FD-2B39E11620B2}"/>
    <cellStyle name="40% - Accent6 6 4" xfId="9633" xr:uid="{E9D3B158-5D8A-492B-B3DD-5A8F1CD3F625}"/>
    <cellStyle name="40% - Accent6 7" xfId="1526" xr:uid="{00000000-0005-0000-0000-000076070000}"/>
    <cellStyle name="40% - Accent6 7 2" xfId="3756" xr:uid="{00000000-0005-0000-0000-000077070000}"/>
    <cellStyle name="40% - Accent6 7 2 2" xfId="7980" xr:uid="{00000000-0005-0000-0000-000078070000}"/>
    <cellStyle name="40% - Accent6 7 2 2 2" xfId="16409" xr:uid="{CDED6B21-9B0E-483E-8BE7-216CB46398E0}"/>
    <cellStyle name="40% - Accent6 7 2 3" xfId="12191" xr:uid="{6AD2734F-50AF-46A4-BFDA-C715B8DC8248}"/>
    <cellStyle name="40% - Accent6 7 3" xfId="5835" xr:uid="{00000000-0005-0000-0000-000079070000}"/>
    <cellStyle name="40% - Accent6 7 3 2" xfId="14264" xr:uid="{9D09868E-F888-42A4-B504-072A801ED99C}"/>
    <cellStyle name="40% - Accent6 7 4" xfId="10046" xr:uid="{8BBFAEC0-E208-41DD-9C46-734A525946D4}"/>
    <cellStyle name="40% - Accent6 8" xfId="1940" xr:uid="{00000000-0005-0000-0000-00007A070000}"/>
    <cellStyle name="40% - Accent6 8 2" xfId="4169" xr:uid="{00000000-0005-0000-0000-00007B070000}"/>
    <cellStyle name="40% - Accent6 8 2 2" xfId="8393" xr:uid="{00000000-0005-0000-0000-00007C070000}"/>
    <cellStyle name="40% - Accent6 8 2 2 2" xfId="16822" xr:uid="{BA39B3AC-5A2B-48FD-8CAA-BA26B7115156}"/>
    <cellStyle name="40% - Accent6 8 2 3" xfId="12604" xr:uid="{AC7C064C-69C6-4642-B817-3DC06330A8B1}"/>
    <cellStyle name="40% - Accent6 8 3" xfId="6248" xr:uid="{00000000-0005-0000-0000-00007D070000}"/>
    <cellStyle name="40% - Accent6 8 3 2" xfId="14677" xr:uid="{4D65372B-2E07-468D-A45D-8B9ACF73C703}"/>
    <cellStyle name="40% - Accent6 8 4" xfId="10459" xr:uid="{6DB1CDCD-DCB0-4E99-8604-9C002FED1237}"/>
    <cellStyle name="40% - Accent6 9" xfId="2353" xr:uid="{00000000-0005-0000-0000-00007E070000}"/>
    <cellStyle name="40% - Accent6 9 2" xfId="6661" xr:uid="{00000000-0005-0000-0000-00007F070000}"/>
    <cellStyle name="40% - Accent6 9 2 2" xfId="15090" xr:uid="{13C380EF-139C-4270-AEBC-FEE097BF455F}"/>
    <cellStyle name="40% - Accent6 9 3" xfId="10872" xr:uid="{49D76C02-9616-482D-AC49-B801691EA4BC}"/>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2 2" xfId="15415" xr:uid="{5987E9AD-71F9-48FF-AA31-AD96D91EBF15}"/>
    <cellStyle name="Comma 4 2 2 2 10 3" xfId="11197" xr:uid="{91ABD99D-72D6-4451-B556-F5B17878A844}"/>
    <cellStyle name="Comma 4 2 2 2 11" xfId="4603" xr:uid="{00000000-0005-0000-0000-0000A3070000}"/>
    <cellStyle name="Comma 4 2 2 2 11 2" xfId="13032" xr:uid="{B0F2EFB5-6DB5-40D9-A023-065538B7F430}"/>
    <cellStyle name="Comma 4 2 2 2 12" xfId="8814" xr:uid="{79F5D7CE-8311-43A7-9324-92D5BD636CFC}"/>
    <cellStyle name="Comma 4 2 2 2 2" xfId="129" xr:uid="{00000000-0005-0000-0000-0000A4070000}"/>
    <cellStyle name="Comma 4 2 2 2 2 10" xfId="4604" xr:uid="{00000000-0005-0000-0000-0000A5070000}"/>
    <cellStyle name="Comma 4 2 2 2 2 10 2" xfId="13033" xr:uid="{F1153883-CB40-4491-B93A-45670D0C26ED}"/>
    <cellStyle name="Comma 4 2 2 2 2 11" xfId="8815" xr:uid="{0118F054-7F32-48A3-AA0F-246D8147F8E7}"/>
    <cellStyle name="Comma 4 2 2 2 2 2" xfId="130" xr:uid="{00000000-0005-0000-0000-0000A6070000}"/>
    <cellStyle name="Comma 4 2 2 2 2 2 10" xfId="8816" xr:uid="{782925B3-5532-40E3-A7BA-057005348ED4}"/>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2 2" xfId="15593" xr:uid="{FA06125F-5A72-4982-B3C0-924128C569F8}"/>
    <cellStyle name="Comma 4 2 2 2 2 2 2 2 3" xfId="11375" xr:uid="{D28C39F1-2EF1-45E2-BFB1-290FDDFB954A}"/>
    <cellStyle name="Comma 4 2 2 2 2 2 2 3" xfId="5019" xr:uid="{00000000-0005-0000-0000-0000AA070000}"/>
    <cellStyle name="Comma 4 2 2 2 2 2 2 3 2" xfId="13448" xr:uid="{827B55F3-0213-4F3C-9E58-98CDF5C7F872}"/>
    <cellStyle name="Comma 4 2 2 2 2 2 2 4" xfId="9230" xr:uid="{02C61C7B-051B-416B-84BC-3008AF7A996A}"/>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2 2" xfId="16006" xr:uid="{E8D98772-6E91-415A-B390-90D3CE9EEE85}"/>
    <cellStyle name="Comma 4 2 2 2 2 2 3 2 3" xfId="11788" xr:uid="{E1FA353D-71F6-4F6D-AF6F-EE319CA57040}"/>
    <cellStyle name="Comma 4 2 2 2 2 2 3 3" xfId="5432" xr:uid="{00000000-0005-0000-0000-0000AE070000}"/>
    <cellStyle name="Comma 4 2 2 2 2 2 3 3 2" xfId="13861" xr:uid="{C336D890-56AA-4519-8546-C1FC885EA713}"/>
    <cellStyle name="Comma 4 2 2 2 2 2 3 4" xfId="9643" xr:uid="{26D598E9-2082-4D4A-9762-B0D0F6AF1B4A}"/>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2 2" xfId="16419" xr:uid="{0B9C2294-E196-4410-90BE-FC83CD7DE284}"/>
    <cellStyle name="Comma 4 2 2 2 2 2 4 2 3" xfId="12201" xr:uid="{22B49F30-AE91-4F61-B318-9003425C4FC7}"/>
    <cellStyle name="Comma 4 2 2 2 2 2 4 3" xfId="5845" xr:uid="{00000000-0005-0000-0000-0000B2070000}"/>
    <cellStyle name="Comma 4 2 2 2 2 2 4 3 2" xfId="14274" xr:uid="{F6058B04-9AE7-4CD5-8F54-AFA42B37E29B}"/>
    <cellStyle name="Comma 4 2 2 2 2 2 4 4" xfId="10056" xr:uid="{1E5597AD-82A2-4148-8C42-A9AF77822B84}"/>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2 2" xfId="16832" xr:uid="{147D5825-ADA5-4274-A0B0-99B7BA442086}"/>
    <cellStyle name="Comma 4 2 2 2 2 2 5 2 3" xfId="12614" xr:uid="{DF8E0693-EB63-4D02-8F8C-2342E9A57FA6}"/>
    <cellStyle name="Comma 4 2 2 2 2 2 5 3" xfId="6258" xr:uid="{00000000-0005-0000-0000-0000B6070000}"/>
    <cellStyle name="Comma 4 2 2 2 2 2 5 3 2" xfId="14687" xr:uid="{97BA3AB4-ED40-46B7-9314-C0D601A444E0}"/>
    <cellStyle name="Comma 4 2 2 2 2 2 5 4" xfId="10469" xr:uid="{C9FD7362-1FF9-4B3B-960C-BEF61C9ED820}"/>
    <cellStyle name="Comma 4 2 2 2 2 2 6" xfId="2385" xr:uid="{00000000-0005-0000-0000-0000B7070000}"/>
    <cellStyle name="Comma 4 2 2 2 2 2 6 2" xfId="6671" xr:uid="{00000000-0005-0000-0000-0000B8070000}"/>
    <cellStyle name="Comma 4 2 2 2 2 2 6 2 2" xfId="15100" xr:uid="{FB2E86D1-1300-4F4D-913F-5DE840A99A6F}"/>
    <cellStyle name="Comma 4 2 2 2 2 2 6 3" xfId="10882" xr:uid="{96CC7F60-4768-4CF8-B807-52E42869F92F}"/>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2 2" xfId="15417" xr:uid="{C20F8FEB-7A45-4852-8D2D-BD13C7E15783}"/>
    <cellStyle name="Comma 4 2 2 2 2 2 8 3" xfId="11199" xr:uid="{5FD99860-FFA4-48D0-B228-7FA7A090DEC4}"/>
    <cellStyle name="Comma 4 2 2 2 2 2 9" xfId="4605" xr:uid="{00000000-0005-0000-0000-0000BC070000}"/>
    <cellStyle name="Comma 4 2 2 2 2 2 9 2" xfId="13034" xr:uid="{E40987DA-86FB-443D-9EDC-0D33A00BB88B}"/>
    <cellStyle name="Comma 4 2 2 2 2 3" xfId="668" xr:uid="{00000000-0005-0000-0000-0000BD070000}"/>
    <cellStyle name="Comma 4 2 2 2 2 3 2" xfId="2939" xr:uid="{00000000-0005-0000-0000-0000BE070000}"/>
    <cellStyle name="Comma 4 2 2 2 2 3 2 2" xfId="7163" xr:uid="{00000000-0005-0000-0000-0000BF070000}"/>
    <cellStyle name="Comma 4 2 2 2 2 3 2 2 2" xfId="15592" xr:uid="{72011B63-7F1D-4464-B2BC-A1D13FCF0410}"/>
    <cellStyle name="Comma 4 2 2 2 2 3 2 3" xfId="11374" xr:uid="{4ECCFF37-2EDF-4839-AA67-15E1590CE433}"/>
    <cellStyle name="Comma 4 2 2 2 2 3 3" xfId="5018" xr:uid="{00000000-0005-0000-0000-0000C0070000}"/>
    <cellStyle name="Comma 4 2 2 2 2 3 3 2" xfId="13447" xr:uid="{EDFB8237-25D7-4B8C-A2B7-FF20FEAED5AF}"/>
    <cellStyle name="Comma 4 2 2 2 2 3 4" xfId="9229" xr:uid="{7C962501-EC4A-4E74-9822-9B2A55FC407B}"/>
    <cellStyle name="Comma 4 2 2 2 2 4" xfId="1121" xr:uid="{00000000-0005-0000-0000-0000C1070000}"/>
    <cellStyle name="Comma 4 2 2 2 2 4 2" xfId="3352" xr:uid="{00000000-0005-0000-0000-0000C2070000}"/>
    <cellStyle name="Comma 4 2 2 2 2 4 2 2" xfId="7576" xr:uid="{00000000-0005-0000-0000-0000C3070000}"/>
    <cellStyle name="Comma 4 2 2 2 2 4 2 2 2" xfId="16005" xr:uid="{093D1257-A1E3-4BCA-A13F-69146FD03AE5}"/>
    <cellStyle name="Comma 4 2 2 2 2 4 2 3" xfId="11787" xr:uid="{A814C8CF-DB12-4568-B6B1-FB2421569054}"/>
    <cellStyle name="Comma 4 2 2 2 2 4 3" xfId="5431" xr:uid="{00000000-0005-0000-0000-0000C4070000}"/>
    <cellStyle name="Comma 4 2 2 2 2 4 3 2" xfId="13860" xr:uid="{C37F3F07-3D67-485F-A217-CB97A7AEA0D4}"/>
    <cellStyle name="Comma 4 2 2 2 2 4 4" xfId="9642" xr:uid="{26BB17D9-BA4D-417E-AD29-B59F440DCE71}"/>
    <cellStyle name="Comma 4 2 2 2 2 5" xfId="1535" xr:uid="{00000000-0005-0000-0000-0000C5070000}"/>
    <cellStyle name="Comma 4 2 2 2 2 5 2" xfId="3765" xr:uid="{00000000-0005-0000-0000-0000C6070000}"/>
    <cellStyle name="Comma 4 2 2 2 2 5 2 2" xfId="7989" xr:uid="{00000000-0005-0000-0000-0000C7070000}"/>
    <cellStyle name="Comma 4 2 2 2 2 5 2 2 2" xfId="16418" xr:uid="{88D415F8-92F3-4DE4-9F2B-AB25C39246AB}"/>
    <cellStyle name="Comma 4 2 2 2 2 5 2 3" xfId="12200" xr:uid="{4CC1D6DC-328E-4FAB-90FF-4D04A69D9AED}"/>
    <cellStyle name="Comma 4 2 2 2 2 5 3" xfId="5844" xr:uid="{00000000-0005-0000-0000-0000C8070000}"/>
    <cellStyle name="Comma 4 2 2 2 2 5 3 2" xfId="14273" xr:uid="{81300E2D-0C80-489A-BF91-FFC7FD5090A7}"/>
    <cellStyle name="Comma 4 2 2 2 2 5 4" xfId="10055" xr:uid="{1E040748-525E-4701-8D2D-70725BCC3001}"/>
    <cellStyle name="Comma 4 2 2 2 2 6" xfId="1949" xr:uid="{00000000-0005-0000-0000-0000C9070000}"/>
    <cellStyle name="Comma 4 2 2 2 2 6 2" xfId="4178" xr:uid="{00000000-0005-0000-0000-0000CA070000}"/>
    <cellStyle name="Comma 4 2 2 2 2 6 2 2" xfId="8402" xr:uid="{00000000-0005-0000-0000-0000CB070000}"/>
    <cellStyle name="Comma 4 2 2 2 2 6 2 2 2" xfId="16831" xr:uid="{65C6B812-D8B6-42B9-AA7A-29E0D59E1007}"/>
    <cellStyle name="Comma 4 2 2 2 2 6 2 3" xfId="12613" xr:uid="{6D89B7F6-3B33-4B4D-9CE2-5580F15DA4E2}"/>
    <cellStyle name="Comma 4 2 2 2 2 6 3" xfId="6257" xr:uid="{00000000-0005-0000-0000-0000CC070000}"/>
    <cellStyle name="Comma 4 2 2 2 2 6 3 2" xfId="14686" xr:uid="{31424FA5-4A04-4274-8304-E67993F78F8C}"/>
    <cellStyle name="Comma 4 2 2 2 2 6 4" xfId="10468" xr:uid="{144191B0-D803-42F0-B154-7C9C74198790}"/>
    <cellStyle name="Comma 4 2 2 2 2 7" xfId="2384" xr:uid="{00000000-0005-0000-0000-0000CD070000}"/>
    <cellStyle name="Comma 4 2 2 2 2 7 2" xfId="6670" xr:uid="{00000000-0005-0000-0000-0000CE070000}"/>
    <cellStyle name="Comma 4 2 2 2 2 7 2 2" xfId="15099" xr:uid="{92CAA7C8-4C1C-44AE-9670-9D401BAA131E}"/>
    <cellStyle name="Comma 4 2 2 2 2 7 3" xfId="10881" xr:uid="{CD332A37-16CD-4C37-8C0F-EA90989D98BE}"/>
    <cellStyle name="Comma 4 2 2 2 2 8" xfId="2381" xr:uid="{00000000-0005-0000-0000-0000CF070000}"/>
    <cellStyle name="Comma 4 2 2 2 2 9" xfId="2762" xr:uid="{00000000-0005-0000-0000-0000D0070000}"/>
    <cellStyle name="Comma 4 2 2 2 2 9 2" xfId="6987" xr:uid="{00000000-0005-0000-0000-0000D1070000}"/>
    <cellStyle name="Comma 4 2 2 2 2 9 2 2" xfId="15416" xr:uid="{1DCCA43C-A26E-4005-AD80-71FAC074A010}"/>
    <cellStyle name="Comma 4 2 2 2 2 9 3" xfId="11198" xr:uid="{3A59CD56-BD55-49DF-B774-AF4FEB7C28A9}"/>
    <cellStyle name="Comma 4 2 2 2 3" xfId="131" xr:uid="{00000000-0005-0000-0000-0000D2070000}"/>
    <cellStyle name="Comma 4 2 2 2 3 10" xfId="8817" xr:uid="{3C34AD3B-A78F-4BE7-AFF1-28F5A49E0503}"/>
    <cellStyle name="Comma 4 2 2 2 3 2" xfId="670" xr:uid="{00000000-0005-0000-0000-0000D3070000}"/>
    <cellStyle name="Comma 4 2 2 2 3 2 2" xfId="2941" xr:uid="{00000000-0005-0000-0000-0000D4070000}"/>
    <cellStyle name="Comma 4 2 2 2 3 2 2 2" xfId="7165" xr:uid="{00000000-0005-0000-0000-0000D5070000}"/>
    <cellStyle name="Comma 4 2 2 2 3 2 2 2 2" xfId="15594" xr:uid="{0B8A01DC-6313-4186-B938-FE7A32605872}"/>
    <cellStyle name="Comma 4 2 2 2 3 2 2 3" xfId="11376" xr:uid="{4131BDE8-6FF2-41F3-9C33-FDF2C92ECAE0}"/>
    <cellStyle name="Comma 4 2 2 2 3 2 3" xfId="5020" xr:uid="{00000000-0005-0000-0000-0000D6070000}"/>
    <cellStyle name="Comma 4 2 2 2 3 2 3 2" xfId="13449" xr:uid="{33CB7F49-5616-4274-B16C-71BCBC04EF22}"/>
    <cellStyle name="Comma 4 2 2 2 3 2 4" xfId="9231" xr:uid="{D849E58E-340C-42A7-8232-C31204A66511}"/>
    <cellStyle name="Comma 4 2 2 2 3 3" xfId="1123" xr:uid="{00000000-0005-0000-0000-0000D7070000}"/>
    <cellStyle name="Comma 4 2 2 2 3 3 2" xfId="3354" xr:uid="{00000000-0005-0000-0000-0000D8070000}"/>
    <cellStyle name="Comma 4 2 2 2 3 3 2 2" xfId="7578" xr:uid="{00000000-0005-0000-0000-0000D9070000}"/>
    <cellStyle name="Comma 4 2 2 2 3 3 2 2 2" xfId="16007" xr:uid="{E89FD52F-9291-43DF-BCA0-DEB596AAE0B7}"/>
    <cellStyle name="Comma 4 2 2 2 3 3 2 3" xfId="11789" xr:uid="{A3DD3A77-94C3-49D1-86BF-DE638E06C145}"/>
    <cellStyle name="Comma 4 2 2 2 3 3 3" xfId="5433" xr:uid="{00000000-0005-0000-0000-0000DA070000}"/>
    <cellStyle name="Comma 4 2 2 2 3 3 3 2" xfId="13862" xr:uid="{45A3BF90-DBC7-4DD8-B96F-BB3B4B4346E7}"/>
    <cellStyle name="Comma 4 2 2 2 3 3 4" xfId="9644" xr:uid="{9C7C1B51-3625-4E8A-9B1B-4AAA5741AA50}"/>
    <cellStyle name="Comma 4 2 2 2 3 4" xfId="1537" xr:uid="{00000000-0005-0000-0000-0000DB070000}"/>
    <cellStyle name="Comma 4 2 2 2 3 4 2" xfId="3767" xr:uid="{00000000-0005-0000-0000-0000DC070000}"/>
    <cellStyle name="Comma 4 2 2 2 3 4 2 2" xfId="7991" xr:uid="{00000000-0005-0000-0000-0000DD070000}"/>
    <cellStyle name="Comma 4 2 2 2 3 4 2 2 2" xfId="16420" xr:uid="{1EE03211-2E57-4193-88A2-F24038AB4222}"/>
    <cellStyle name="Comma 4 2 2 2 3 4 2 3" xfId="12202" xr:uid="{3EBBCF4C-1B05-467C-B6D8-489E49B854BA}"/>
    <cellStyle name="Comma 4 2 2 2 3 4 3" xfId="5846" xr:uid="{00000000-0005-0000-0000-0000DE070000}"/>
    <cellStyle name="Comma 4 2 2 2 3 4 3 2" xfId="14275" xr:uid="{97FD1790-CB62-491F-8812-835722A41915}"/>
    <cellStyle name="Comma 4 2 2 2 3 4 4" xfId="10057" xr:uid="{54715524-B7C8-456E-BE5C-EF05E5B731B6}"/>
    <cellStyle name="Comma 4 2 2 2 3 5" xfId="1951" xr:uid="{00000000-0005-0000-0000-0000DF070000}"/>
    <cellStyle name="Comma 4 2 2 2 3 5 2" xfId="4180" xr:uid="{00000000-0005-0000-0000-0000E0070000}"/>
    <cellStyle name="Comma 4 2 2 2 3 5 2 2" xfId="8404" xr:uid="{00000000-0005-0000-0000-0000E1070000}"/>
    <cellStyle name="Comma 4 2 2 2 3 5 2 2 2" xfId="16833" xr:uid="{ABE27149-E749-4F0E-AB36-28CEA563362C}"/>
    <cellStyle name="Comma 4 2 2 2 3 5 2 3" xfId="12615" xr:uid="{9AF3F82B-BF14-4D67-8D20-A54DDE515650}"/>
    <cellStyle name="Comma 4 2 2 2 3 5 3" xfId="6259" xr:uid="{00000000-0005-0000-0000-0000E2070000}"/>
    <cellStyle name="Comma 4 2 2 2 3 5 3 2" xfId="14688" xr:uid="{149F4B11-4D26-41A7-9A66-8D43BA307E65}"/>
    <cellStyle name="Comma 4 2 2 2 3 5 4" xfId="10470" xr:uid="{DF63938B-88DD-496C-8A3E-3D19ADFBB339}"/>
    <cellStyle name="Comma 4 2 2 2 3 6" xfId="2386" xr:uid="{00000000-0005-0000-0000-0000E3070000}"/>
    <cellStyle name="Comma 4 2 2 2 3 6 2" xfId="6672" xr:uid="{00000000-0005-0000-0000-0000E4070000}"/>
    <cellStyle name="Comma 4 2 2 2 3 6 2 2" xfId="15101" xr:uid="{2D26ABC0-3447-496F-B9C3-73310A8457AC}"/>
    <cellStyle name="Comma 4 2 2 2 3 6 3" xfId="10883" xr:uid="{57A18E50-A079-4F98-9F50-B53DFBDF548E}"/>
    <cellStyle name="Comma 4 2 2 2 3 7" xfId="2379" xr:uid="{00000000-0005-0000-0000-0000E5070000}"/>
    <cellStyle name="Comma 4 2 2 2 3 8" xfId="2764" xr:uid="{00000000-0005-0000-0000-0000E6070000}"/>
    <cellStyle name="Comma 4 2 2 2 3 8 2" xfId="6989" xr:uid="{00000000-0005-0000-0000-0000E7070000}"/>
    <cellStyle name="Comma 4 2 2 2 3 8 2 2" xfId="15418" xr:uid="{B684BF3D-3FF9-43BB-9B07-D1DBE13C2194}"/>
    <cellStyle name="Comma 4 2 2 2 3 8 3" xfId="11200" xr:uid="{667762FF-6042-4F8D-AFB8-6032A23F4107}"/>
    <cellStyle name="Comma 4 2 2 2 3 9" xfId="4606" xr:uid="{00000000-0005-0000-0000-0000E8070000}"/>
    <cellStyle name="Comma 4 2 2 2 3 9 2" xfId="13035" xr:uid="{9B1B34F1-37EB-475A-A12D-851F02C37F85}"/>
    <cellStyle name="Comma 4 2 2 2 4" xfId="667" xr:uid="{00000000-0005-0000-0000-0000E9070000}"/>
    <cellStyle name="Comma 4 2 2 2 4 2" xfId="2938" xr:uid="{00000000-0005-0000-0000-0000EA070000}"/>
    <cellStyle name="Comma 4 2 2 2 4 2 2" xfId="7162" xr:uid="{00000000-0005-0000-0000-0000EB070000}"/>
    <cellStyle name="Comma 4 2 2 2 4 2 2 2" xfId="15591" xr:uid="{94A71432-58AE-4035-8C30-9D2E87067E14}"/>
    <cellStyle name="Comma 4 2 2 2 4 2 3" xfId="11373" xr:uid="{933A3FCE-9642-440F-9FB1-1E7FACECE9FC}"/>
    <cellStyle name="Comma 4 2 2 2 4 3" xfId="5017" xr:uid="{00000000-0005-0000-0000-0000EC070000}"/>
    <cellStyle name="Comma 4 2 2 2 4 3 2" xfId="13446" xr:uid="{3534C52D-2318-46CA-AD9C-A99AC18CCBE5}"/>
    <cellStyle name="Comma 4 2 2 2 4 4" xfId="9228" xr:uid="{82B36493-EA63-4F55-BCC9-9DB4152D25A2}"/>
    <cellStyle name="Comma 4 2 2 2 5" xfId="1120" xr:uid="{00000000-0005-0000-0000-0000ED070000}"/>
    <cellStyle name="Comma 4 2 2 2 5 2" xfId="3351" xr:uid="{00000000-0005-0000-0000-0000EE070000}"/>
    <cellStyle name="Comma 4 2 2 2 5 2 2" xfId="7575" xr:uid="{00000000-0005-0000-0000-0000EF070000}"/>
    <cellStyle name="Comma 4 2 2 2 5 2 2 2" xfId="16004" xr:uid="{3CCB2808-6121-4078-81C3-0C1FC78CEADD}"/>
    <cellStyle name="Comma 4 2 2 2 5 2 3" xfId="11786" xr:uid="{F56DF1B6-7C8C-4A24-B714-3A1DE17AE630}"/>
    <cellStyle name="Comma 4 2 2 2 5 3" xfId="5430" xr:uid="{00000000-0005-0000-0000-0000F0070000}"/>
    <cellStyle name="Comma 4 2 2 2 5 3 2" xfId="13859" xr:uid="{6C59BDBA-69A3-413C-94D2-C9104191DA45}"/>
    <cellStyle name="Comma 4 2 2 2 5 4" xfId="9641" xr:uid="{CB1EAD2B-2EDB-48BB-8685-D4C6BD3902A9}"/>
    <cellStyle name="Comma 4 2 2 2 6" xfId="1534" xr:uid="{00000000-0005-0000-0000-0000F1070000}"/>
    <cellStyle name="Comma 4 2 2 2 6 2" xfId="3764" xr:uid="{00000000-0005-0000-0000-0000F2070000}"/>
    <cellStyle name="Comma 4 2 2 2 6 2 2" xfId="7988" xr:uid="{00000000-0005-0000-0000-0000F3070000}"/>
    <cellStyle name="Comma 4 2 2 2 6 2 2 2" xfId="16417" xr:uid="{4E9FCEC5-CCDF-4297-BE28-B0CF319DDF5D}"/>
    <cellStyle name="Comma 4 2 2 2 6 2 3" xfId="12199" xr:uid="{AA05FB56-7489-49C0-AA4D-28D8ED44331E}"/>
    <cellStyle name="Comma 4 2 2 2 6 3" xfId="5843" xr:uid="{00000000-0005-0000-0000-0000F4070000}"/>
    <cellStyle name="Comma 4 2 2 2 6 3 2" xfId="14272" xr:uid="{131E0E74-9EBA-47BA-BB22-B6AC0BAACEC8}"/>
    <cellStyle name="Comma 4 2 2 2 6 4" xfId="10054" xr:uid="{4FBCCF6E-4975-4C4D-963A-C9C756C0CEBD}"/>
    <cellStyle name="Comma 4 2 2 2 7" xfId="1948" xr:uid="{00000000-0005-0000-0000-0000F5070000}"/>
    <cellStyle name="Comma 4 2 2 2 7 2" xfId="4177" xr:uid="{00000000-0005-0000-0000-0000F6070000}"/>
    <cellStyle name="Comma 4 2 2 2 7 2 2" xfId="8401" xr:uid="{00000000-0005-0000-0000-0000F7070000}"/>
    <cellStyle name="Comma 4 2 2 2 7 2 2 2" xfId="16830" xr:uid="{71CF7413-FE51-41AC-801A-B1385CC72F9A}"/>
    <cellStyle name="Comma 4 2 2 2 7 2 3" xfId="12612" xr:uid="{3C4E7D4F-2F10-4A4B-909B-CC904EB42E4B}"/>
    <cellStyle name="Comma 4 2 2 2 7 3" xfId="6256" xr:uid="{00000000-0005-0000-0000-0000F8070000}"/>
    <cellStyle name="Comma 4 2 2 2 7 3 2" xfId="14685" xr:uid="{AFF6A861-BF9B-462F-8A43-C4B6D7DBBC45}"/>
    <cellStyle name="Comma 4 2 2 2 7 4" xfId="10467" xr:uid="{744C4D8F-C939-4AA3-895E-108848C604E5}"/>
    <cellStyle name="Comma 4 2 2 2 8" xfId="2383" xr:uid="{00000000-0005-0000-0000-0000F9070000}"/>
    <cellStyle name="Comma 4 2 2 2 8 2" xfId="6669" xr:uid="{00000000-0005-0000-0000-0000FA070000}"/>
    <cellStyle name="Comma 4 2 2 2 8 2 2" xfId="15098" xr:uid="{195D5B1C-A71E-4A26-952A-B31E8F261CC7}"/>
    <cellStyle name="Comma 4 2 2 2 8 3" xfId="10880" xr:uid="{289900FB-394D-4447-8517-2A3DC6230567}"/>
    <cellStyle name="Comma 4 2 2 2 9" xfId="2382" xr:uid="{00000000-0005-0000-0000-0000FB070000}"/>
    <cellStyle name="Comma 4 2 2 3" xfId="132" xr:uid="{00000000-0005-0000-0000-0000FC070000}"/>
    <cellStyle name="Comma 4 2 2 3 10" xfId="4607" xr:uid="{00000000-0005-0000-0000-0000FD070000}"/>
    <cellStyle name="Comma 4 2 2 3 10 2" xfId="13036" xr:uid="{52B21335-90E9-4120-82CB-50CBADA6D9A2}"/>
    <cellStyle name="Comma 4 2 2 3 11" xfId="8818" xr:uid="{FE86A6B8-B481-4C3F-B0D5-9D960A1E408E}"/>
    <cellStyle name="Comma 4 2 2 3 2" xfId="133" xr:uid="{00000000-0005-0000-0000-0000FE070000}"/>
    <cellStyle name="Comma 4 2 2 3 2 10" xfId="8819" xr:uid="{24C2C799-0925-4D9D-9672-835CA199CB34}"/>
    <cellStyle name="Comma 4 2 2 3 2 2" xfId="672" xr:uid="{00000000-0005-0000-0000-0000FF070000}"/>
    <cellStyle name="Comma 4 2 2 3 2 2 2" xfId="2943" xr:uid="{00000000-0005-0000-0000-000000080000}"/>
    <cellStyle name="Comma 4 2 2 3 2 2 2 2" xfId="7167" xr:uid="{00000000-0005-0000-0000-000001080000}"/>
    <cellStyle name="Comma 4 2 2 3 2 2 2 2 2" xfId="15596" xr:uid="{F4B4E300-41A7-4986-9032-DBD7CCE925FF}"/>
    <cellStyle name="Comma 4 2 2 3 2 2 2 3" xfId="11378" xr:uid="{DD460D9D-040F-47DF-A669-A85459EC2CB6}"/>
    <cellStyle name="Comma 4 2 2 3 2 2 3" xfId="5022" xr:uid="{00000000-0005-0000-0000-000002080000}"/>
    <cellStyle name="Comma 4 2 2 3 2 2 3 2" xfId="13451" xr:uid="{C069B597-88F2-4233-965A-710090825F58}"/>
    <cellStyle name="Comma 4 2 2 3 2 2 4" xfId="9233" xr:uid="{1CD1A4EC-EEEF-4E0A-A2CD-6165B6B02B73}"/>
    <cellStyle name="Comma 4 2 2 3 2 3" xfId="1125" xr:uid="{00000000-0005-0000-0000-000003080000}"/>
    <cellStyle name="Comma 4 2 2 3 2 3 2" xfId="3356" xr:uid="{00000000-0005-0000-0000-000004080000}"/>
    <cellStyle name="Comma 4 2 2 3 2 3 2 2" xfId="7580" xr:uid="{00000000-0005-0000-0000-000005080000}"/>
    <cellStyle name="Comma 4 2 2 3 2 3 2 2 2" xfId="16009" xr:uid="{0B776ACE-BE32-4199-9D6F-53CF11DA1F1C}"/>
    <cellStyle name="Comma 4 2 2 3 2 3 2 3" xfId="11791" xr:uid="{78F3331E-0066-475D-808E-1277A79EB621}"/>
    <cellStyle name="Comma 4 2 2 3 2 3 3" xfId="5435" xr:uid="{00000000-0005-0000-0000-000006080000}"/>
    <cellStyle name="Comma 4 2 2 3 2 3 3 2" xfId="13864" xr:uid="{402EA931-6FFE-401E-B2F0-85FEC7C1542C}"/>
    <cellStyle name="Comma 4 2 2 3 2 3 4" xfId="9646" xr:uid="{4CD9DED2-45E5-4228-AC5C-92151699E107}"/>
    <cellStyle name="Comma 4 2 2 3 2 4" xfId="1539" xr:uid="{00000000-0005-0000-0000-000007080000}"/>
    <cellStyle name="Comma 4 2 2 3 2 4 2" xfId="3769" xr:uid="{00000000-0005-0000-0000-000008080000}"/>
    <cellStyle name="Comma 4 2 2 3 2 4 2 2" xfId="7993" xr:uid="{00000000-0005-0000-0000-000009080000}"/>
    <cellStyle name="Comma 4 2 2 3 2 4 2 2 2" xfId="16422" xr:uid="{44241688-3FD9-4D04-8E09-7F5612924B6B}"/>
    <cellStyle name="Comma 4 2 2 3 2 4 2 3" xfId="12204" xr:uid="{2B30FF25-86A2-4F4E-A283-CCB579D26A7C}"/>
    <cellStyle name="Comma 4 2 2 3 2 4 3" xfId="5848" xr:uid="{00000000-0005-0000-0000-00000A080000}"/>
    <cellStyle name="Comma 4 2 2 3 2 4 3 2" xfId="14277" xr:uid="{85ABDD54-7558-4203-99DE-0C1B87B4C618}"/>
    <cellStyle name="Comma 4 2 2 3 2 4 4" xfId="10059" xr:uid="{94AF3E04-0627-4C46-A918-7337DC582C43}"/>
    <cellStyle name="Comma 4 2 2 3 2 5" xfId="1953" xr:uid="{00000000-0005-0000-0000-00000B080000}"/>
    <cellStyle name="Comma 4 2 2 3 2 5 2" xfId="4182" xr:uid="{00000000-0005-0000-0000-00000C080000}"/>
    <cellStyle name="Comma 4 2 2 3 2 5 2 2" xfId="8406" xr:uid="{00000000-0005-0000-0000-00000D080000}"/>
    <cellStyle name="Comma 4 2 2 3 2 5 2 2 2" xfId="16835" xr:uid="{C9D2521A-87CF-48C4-957B-31E9B091672A}"/>
    <cellStyle name="Comma 4 2 2 3 2 5 2 3" xfId="12617" xr:uid="{3100354B-0558-4203-9DB5-A81ED7968759}"/>
    <cellStyle name="Comma 4 2 2 3 2 5 3" xfId="6261" xr:uid="{00000000-0005-0000-0000-00000E080000}"/>
    <cellStyle name="Comma 4 2 2 3 2 5 3 2" xfId="14690" xr:uid="{518DE70F-B618-438A-AE97-F4C7D6F107FD}"/>
    <cellStyle name="Comma 4 2 2 3 2 5 4" xfId="10472" xr:uid="{F3C5DD7D-5A36-42F9-ACF9-7454DCC2480B}"/>
    <cellStyle name="Comma 4 2 2 3 2 6" xfId="2388" xr:uid="{00000000-0005-0000-0000-00000F080000}"/>
    <cellStyle name="Comma 4 2 2 3 2 6 2" xfId="6674" xr:uid="{00000000-0005-0000-0000-000010080000}"/>
    <cellStyle name="Comma 4 2 2 3 2 6 2 2" xfId="15103" xr:uid="{3AFE9877-89E5-410C-B51C-5F8A7942EF7F}"/>
    <cellStyle name="Comma 4 2 2 3 2 6 3" xfId="10885" xr:uid="{CE80FB68-9BB2-499E-A6E8-9009FC449961}"/>
    <cellStyle name="Comma 4 2 2 3 2 7" xfId="2377" xr:uid="{00000000-0005-0000-0000-000011080000}"/>
    <cellStyle name="Comma 4 2 2 3 2 8" xfId="2766" xr:uid="{00000000-0005-0000-0000-000012080000}"/>
    <cellStyle name="Comma 4 2 2 3 2 8 2" xfId="6991" xr:uid="{00000000-0005-0000-0000-000013080000}"/>
    <cellStyle name="Comma 4 2 2 3 2 8 2 2" xfId="15420" xr:uid="{64573501-14C2-4FF9-BB0A-947065284682}"/>
    <cellStyle name="Comma 4 2 2 3 2 8 3" xfId="11202" xr:uid="{FDA4DF02-EC96-4226-B26C-91307D134637}"/>
    <cellStyle name="Comma 4 2 2 3 2 9" xfId="4608" xr:uid="{00000000-0005-0000-0000-000014080000}"/>
    <cellStyle name="Comma 4 2 2 3 2 9 2" xfId="13037" xr:uid="{8AEBB346-83D9-4596-9344-D2451E8AB4EC}"/>
    <cellStyle name="Comma 4 2 2 3 3" xfId="671" xr:uid="{00000000-0005-0000-0000-000015080000}"/>
    <cellStyle name="Comma 4 2 2 3 3 2" xfId="2942" xr:uid="{00000000-0005-0000-0000-000016080000}"/>
    <cellStyle name="Comma 4 2 2 3 3 2 2" xfId="7166" xr:uid="{00000000-0005-0000-0000-000017080000}"/>
    <cellStyle name="Comma 4 2 2 3 3 2 2 2" xfId="15595" xr:uid="{9628D791-74E8-42A1-95B4-B23AF7574F09}"/>
    <cellStyle name="Comma 4 2 2 3 3 2 3" xfId="11377" xr:uid="{17F04FAC-AB85-457D-9FA3-37FB0A01838F}"/>
    <cellStyle name="Comma 4 2 2 3 3 3" xfId="5021" xr:uid="{00000000-0005-0000-0000-000018080000}"/>
    <cellStyle name="Comma 4 2 2 3 3 3 2" xfId="13450" xr:uid="{EEFF3631-20EE-4684-96A6-CC54A4295BBA}"/>
    <cellStyle name="Comma 4 2 2 3 3 4" xfId="9232" xr:uid="{3D221EA1-D488-437B-86CC-11E7DE23992C}"/>
    <cellStyle name="Comma 4 2 2 3 4" xfId="1124" xr:uid="{00000000-0005-0000-0000-000019080000}"/>
    <cellStyle name="Comma 4 2 2 3 4 2" xfId="3355" xr:uid="{00000000-0005-0000-0000-00001A080000}"/>
    <cellStyle name="Comma 4 2 2 3 4 2 2" xfId="7579" xr:uid="{00000000-0005-0000-0000-00001B080000}"/>
    <cellStyle name="Comma 4 2 2 3 4 2 2 2" xfId="16008" xr:uid="{26F21A0A-3850-45DA-8245-B993BFD51E1A}"/>
    <cellStyle name="Comma 4 2 2 3 4 2 3" xfId="11790" xr:uid="{C8EC395D-95AF-4644-8494-EDD6E2DD69C0}"/>
    <cellStyle name="Comma 4 2 2 3 4 3" xfId="5434" xr:uid="{00000000-0005-0000-0000-00001C080000}"/>
    <cellStyle name="Comma 4 2 2 3 4 3 2" xfId="13863" xr:uid="{81EB5B51-CDD2-4A99-9219-18AE04B58B05}"/>
    <cellStyle name="Comma 4 2 2 3 4 4" xfId="9645" xr:uid="{2A83E4D3-B3D2-43CF-BBB1-FC2D6F38935B}"/>
    <cellStyle name="Comma 4 2 2 3 5" xfId="1538" xr:uid="{00000000-0005-0000-0000-00001D080000}"/>
    <cellStyle name="Comma 4 2 2 3 5 2" xfId="3768" xr:uid="{00000000-0005-0000-0000-00001E080000}"/>
    <cellStyle name="Comma 4 2 2 3 5 2 2" xfId="7992" xr:uid="{00000000-0005-0000-0000-00001F080000}"/>
    <cellStyle name="Comma 4 2 2 3 5 2 2 2" xfId="16421" xr:uid="{8F65A0B8-C997-49DA-BA7C-175AB477527E}"/>
    <cellStyle name="Comma 4 2 2 3 5 2 3" xfId="12203" xr:uid="{55677082-63B1-4C03-A879-F59879A214E5}"/>
    <cellStyle name="Comma 4 2 2 3 5 3" xfId="5847" xr:uid="{00000000-0005-0000-0000-000020080000}"/>
    <cellStyle name="Comma 4 2 2 3 5 3 2" xfId="14276" xr:uid="{B6B2C45A-3E48-4CEF-AD6A-1D1420E0C2AB}"/>
    <cellStyle name="Comma 4 2 2 3 5 4" xfId="10058" xr:uid="{B4B717DE-BAF1-4B52-856F-684305B4F8DF}"/>
    <cellStyle name="Comma 4 2 2 3 6" xfId="1952" xr:uid="{00000000-0005-0000-0000-000021080000}"/>
    <cellStyle name="Comma 4 2 2 3 6 2" xfId="4181" xr:uid="{00000000-0005-0000-0000-000022080000}"/>
    <cellStyle name="Comma 4 2 2 3 6 2 2" xfId="8405" xr:uid="{00000000-0005-0000-0000-000023080000}"/>
    <cellStyle name="Comma 4 2 2 3 6 2 2 2" xfId="16834" xr:uid="{3FF9B95A-6E2F-46F4-9B64-FF0335FD1CA8}"/>
    <cellStyle name="Comma 4 2 2 3 6 2 3" xfId="12616" xr:uid="{732A6B29-84B3-4438-9568-8293217A8931}"/>
    <cellStyle name="Comma 4 2 2 3 6 3" xfId="6260" xr:uid="{00000000-0005-0000-0000-000024080000}"/>
    <cellStyle name="Comma 4 2 2 3 6 3 2" xfId="14689" xr:uid="{169DCF8D-F679-424A-A7DB-24A4CB48BCF7}"/>
    <cellStyle name="Comma 4 2 2 3 6 4" xfId="10471" xr:uid="{353B2106-F3A1-459E-9426-5E4885A6BD51}"/>
    <cellStyle name="Comma 4 2 2 3 7" xfId="2387" xr:uid="{00000000-0005-0000-0000-000025080000}"/>
    <cellStyle name="Comma 4 2 2 3 7 2" xfId="6673" xr:uid="{00000000-0005-0000-0000-000026080000}"/>
    <cellStyle name="Comma 4 2 2 3 7 2 2" xfId="15102" xr:uid="{5AE7A53C-2006-4E62-8A37-ECC8E0DE5C16}"/>
    <cellStyle name="Comma 4 2 2 3 7 3" xfId="10884" xr:uid="{99263E86-53DC-44CF-8F47-CCDE596A5B8A}"/>
    <cellStyle name="Comma 4 2 2 3 8" xfId="2378" xr:uid="{00000000-0005-0000-0000-000027080000}"/>
    <cellStyle name="Comma 4 2 2 3 9" xfId="2765" xr:uid="{00000000-0005-0000-0000-000028080000}"/>
    <cellStyle name="Comma 4 2 2 3 9 2" xfId="6990" xr:uid="{00000000-0005-0000-0000-000029080000}"/>
    <cellStyle name="Comma 4 2 2 3 9 2 2" xfId="15419" xr:uid="{F2B36C11-E1A3-4615-8DEB-BDC7E00209F8}"/>
    <cellStyle name="Comma 4 2 2 3 9 3" xfId="11201" xr:uid="{AB1A0BBC-30DE-442B-873F-4B69472E4082}"/>
    <cellStyle name="Comma 4 2 2 4" xfId="134" xr:uid="{00000000-0005-0000-0000-00002A080000}"/>
    <cellStyle name="Comma 4 2 2 4 10" xfId="8820" xr:uid="{17C86610-B40D-48CB-BB6E-37B442AA65ED}"/>
    <cellStyle name="Comma 4 2 2 4 2" xfId="673" xr:uid="{00000000-0005-0000-0000-00002B080000}"/>
    <cellStyle name="Comma 4 2 2 4 2 2" xfId="2944" xr:uid="{00000000-0005-0000-0000-00002C080000}"/>
    <cellStyle name="Comma 4 2 2 4 2 2 2" xfId="7168" xr:uid="{00000000-0005-0000-0000-00002D080000}"/>
    <cellStyle name="Comma 4 2 2 4 2 2 2 2" xfId="15597" xr:uid="{1F740352-2A43-4AA4-BED6-A85DB5C26D89}"/>
    <cellStyle name="Comma 4 2 2 4 2 2 3" xfId="11379" xr:uid="{BE931168-56B6-43EF-A76D-6EC32B6FD79E}"/>
    <cellStyle name="Comma 4 2 2 4 2 3" xfId="5023" xr:uid="{00000000-0005-0000-0000-00002E080000}"/>
    <cellStyle name="Comma 4 2 2 4 2 3 2" xfId="13452" xr:uid="{2C8496EB-B30C-4304-990E-B5B89ACC3371}"/>
    <cellStyle name="Comma 4 2 2 4 2 4" xfId="9234" xr:uid="{A92F9721-7591-40DF-B740-D8497F014CDA}"/>
    <cellStyle name="Comma 4 2 2 4 3" xfId="1126" xr:uid="{00000000-0005-0000-0000-00002F080000}"/>
    <cellStyle name="Comma 4 2 2 4 3 2" xfId="3357" xr:uid="{00000000-0005-0000-0000-000030080000}"/>
    <cellStyle name="Comma 4 2 2 4 3 2 2" xfId="7581" xr:uid="{00000000-0005-0000-0000-000031080000}"/>
    <cellStyle name="Comma 4 2 2 4 3 2 2 2" xfId="16010" xr:uid="{CED7913E-B2BD-4757-BB99-D3D68BCE2E54}"/>
    <cellStyle name="Comma 4 2 2 4 3 2 3" xfId="11792" xr:uid="{085F8073-A782-4BF5-B427-2F6568B33044}"/>
    <cellStyle name="Comma 4 2 2 4 3 3" xfId="5436" xr:uid="{00000000-0005-0000-0000-000032080000}"/>
    <cellStyle name="Comma 4 2 2 4 3 3 2" xfId="13865" xr:uid="{4E45647B-7CFA-4664-B991-7E535E1E0603}"/>
    <cellStyle name="Comma 4 2 2 4 3 4" xfId="9647" xr:uid="{A6F1B7DD-C173-46AD-92A5-9FE70B2A3C76}"/>
    <cellStyle name="Comma 4 2 2 4 4" xfId="1540" xr:uid="{00000000-0005-0000-0000-000033080000}"/>
    <cellStyle name="Comma 4 2 2 4 4 2" xfId="3770" xr:uid="{00000000-0005-0000-0000-000034080000}"/>
    <cellStyle name="Comma 4 2 2 4 4 2 2" xfId="7994" xr:uid="{00000000-0005-0000-0000-000035080000}"/>
    <cellStyle name="Comma 4 2 2 4 4 2 2 2" xfId="16423" xr:uid="{6094F4B5-8B82-4D84-9CB6-5A136EFC4974}"/>
    <cellStyle name="Comma 4 2 2 4 4 2 3" xfId="12205" xr:uid="{F25C2CE8-67E5-4C55-98C3-5EEE0EBCCE47}"/>
    <cellStyle name="Comma 4 2 2 4 4 3" xfId="5849" xr:uid="{00000000-0005-0000-0000-000036080000}"/>
    <cellStyle name="Comma 4 2 2 4 4 3 2" xfId="14278" xr:uid="{38E4A77B-D4FE-4236-B42E-13563271E8EB}"/>
    <cellStyle name="Comma 4 2 2 4 4 4" xfId="10060" xr:uid="{23324418-FF27-4382-84ED-AD5F70860B5E}"/>
    <cellStyle name="Comma 4 2 2 4 5" xfId="1954" xr:uid="{00000000-0005-0000-0000-000037080000}"/>
    <cellStyle name="Comma 4 2 2 4 5 2" xfId="4183" xr:uid="{00000000-0005-0000-0000-000038080000}"/>
    <cellStyle name="Comma 4 2 2 4 5 2 2" xfId="8407" xr:uid="{00000000-0005-0000-0000-000039080000}"/>
    <cellStyle name="Comma 4 2 2 4 5 2 2 2" xfId="16836" xr:uid="{579D201A-0C89-433C-BC05-604EF3BDC82D}"/>
    <cellStyle name="Comma 4 2 2 4 5 2 3" xfId="12618" xr:uid="{51CEAE1B-44C9-419C-A13A-9223A89F64D6}"/>
    <cellStyle name="Comma 4 2 2 4 5 3" xfId="6262" xr:uid="{00000000-0005-0000-0000-00003A080000}"/>
    <cellStyle name="Comma 4 2 2 4 5 3 2" xfId="14691" xr:uid="{B9ABB187-86DD-4FE9-BA32-2ACD07ABC970}"/>
    <cellStyle name="Comma 4 2 2 4 5 4" xfId="10473" xr:uid="{0EFE53CB-B92E-4976-B049-FA1F8C0F1EB1}"/>
    <cellStyle name="Comma 4 2 2 4 6" xfId="2389" xr:uid="{00000000-0005-0000-0000-00003B080000}"/>
    <cellStyle name="Comma 4 2 2 4 6 2" xfId="6675" xr:uid="{00000000-0005-0000-0000-00003C080000}"/>
    <cellStyle name="Comma 4 2 2 4 6 2 2" xfId="15104" xr:uid="{66DF9D31-47B0-46A0-A8B8-59E72270B309}"/>
    <cellStyle name="Comma 4 2 2 4 6 3" xfId="10886" xr:uid="{9CD9AC1D-D921-4F49-920D-968337EE5B86}"/>
    <cellStyle name="Comma 4 2 2 4 7" xfId="2376" xr:uid="{00000000-0005-0000-0000-00003D080000}"/>
    <cellStyle name="Comma 4 2 2 4 8" xfId="2767" xr:uid="{00000000-0005-0000-0000-00003E080000}"/>
    <cellStyle name="Comma 4 2 2 4 8 2" xfId="6992" xr:uid="{00000000-0005-0000-0000-00003F080000}"/>
    <cellStyle name="Comma 4 2 2 4 8 2 2" xfId="15421" xr:uid="{D3EBFFE3-8C8B-41D1-89E9-3561AB90D902}"/>
    <cellStyle name="Comma 4 2 2 4 8 3" xfId="11203" xr:uid="{5F9070E1-403D-4AD2-98EE-404A0007EF1D}"/>
    <cellStyle name="Comma 4 2 2 4 9" xfId="4609" xr:uid="{00000000-0005-0000-0000-000040080000}"/>
    <cellStyle name="Comma 4 2 2 4 9 2" xfId="13038" xr:uid="{69D2F8F9-7DC1-4656-B940-D83B91C51D04}"/>
    <cellStyle name="Comma 4 2 2 5" xfId="135" xr:uid="{00000000-0005-0000-0000-000041080000}"/>
    <cellStyle name="Comma 4 2 2 5 10" xfId="8821" xr:uid="{94738596-F772-44BB-B437-753CF8F26D05}"/>
    <cellStyle name="Comma 4 2 2 5 2" xfId="674" xr:uid="{00000000-0005-0000-0000-000042080000}"/>
    <cellStyle name="Comma 4 2 2 5 2 2" xfId="2945" xr:uid="{00000000-0005-0000-0000-000043080000}"/>
    <cellStyle name="Comma 4 2 2 5 2 2 2" xfId="7169" xr:uid="{00000000-0005-0000-0000-000044080000}"/>
    <cellStyle name="Comma 4 2 2 5 2 2 2 2" xfId="15598" xr:uid="{633BC6ED-7420-44AD-ACBD-9CF057D641BA}"/>
    <cellStyle name="Comma 4 2 2 5 2 2 3" xfId="11380" xr:uid="{1FCB6565-1549-4B54-BC6D-CF56AB5240F2}"/>
    <cellStyle name="Comma 4 2 2 5 2 3" xfId="5024" xr:uid="{00000000-0005-0000-0000-000045080000}"/>
    <cellStyle name="Comma 4 2 2 5 2 3 2" xfId="13453" xr:uid="{F8D45441-245C-4491-881F-F00FB27A9940}"/>
    <cellStyle name="Comma 4 2 2 5 2 4" xfId="9235" xr:uid="{6951168D-3966-4E71-8CBD-82A3BAAB5FFC}"/>
    <cellStyle name="Comma 4 2 2 5 3" xfId="1127" xr:uid="{00000000-0005-0000-0000-000046080000}"/>
    <cellStyle name="Comma 4 2 2 5 3 2" xfId="3358" xr:uid="{00000000-0005-0000-0000-000047080000}"/>
    <cellStyle name="Comma 4 2 2 5 3 2 2" xfId="7582" xr:uid="{00000000-0005-0000-0000-000048080000}"/>
    <cellStyle name="Comma 4 2 2 5 3 2 2 2" xfId="16011" xr:uid="{892877D4-60C9-485E-8447-498E62087B7C}"/>
    <cellStyle name="Comma 4 2 2 5 3 2 3" xfId="11793" xr:uid="{FB6710EE-AADA-4CEA-B5EB-9907BE3CB1CF}"/>
    <cellStyle name="Comma 4 2 2 5 3 3" xfId="5437" xr:uid="{00000000-0005-0000-0000-000049080000}"/>
    <cellStyle name="Comma 4 2 2 5 3 3 2" xfId="13866" xr:uid="{9F985AB3-3897-43DA-8886-DE5E769F5595}"/>
    <cellStyle name="Comma 4 2 2 5 3 4" xfId="9648" xr:uid="{C55BF154-4242-4DBC-B45D-B814D6711E9D}"/>
    <cellStyle name="Comma 4 2 2 5 4" xfId="1541" xr:uid="{00000000-0005-0000-0000-00004A080000}"/>
    <cellStyle name="Comma 4 2 2 5 4 2" xfId="3771" xr:uid="{00000000-0005-0000-0000-00004B080000}"/>
    <cellStyle name="Comma 4 2 2 5 4 2 2" xfId="7995" xr:uid="{00000000-0005-0000-0000-00004C080000}"/>
    <cellStyle name="Comma 4 2 2 5 4 2 2 2" xfId="16424" xr:uid="{A64EC3D2-69BF-401D-A29E-4EC0380C7FD2}"/>
    <cellStyle name="Comma 4 2 2 5 4 2 3" xfId="12206" xr:uid="{5829E133-9313-49B6-9A84-92A5E2D0BC1D}"/>
    <cellStyle name="Comma 4 2 2 5 4 3" xfId="5850" xr:uid="{00000000-0005-0000-0000-00004D080000}"/>
    <cellStyle name="Comma 4 2 2 5 4 3 2" xfId="14279" xr:uid="{F3B6F0C3-4392-4C1A-9E59-92A141CE24A8}"/>
    <cellStyle name="Comma 4 2 2 5 4 4" xfId="10061" xr:uid="{79709FA5-1E6F-425C-8996-A6EEC3479E62}"/>
    <cellStyle name="Comma 4 2 2 5 5" xfId="1955" xr:uid="{00000000-0005-0000-0000-00004E080000}"/>
    <cellStyle name="Comma 4 2 2 5 5 2" xfId="4184" xr:uid="{00000000-0005-0000-0000-00004F080000}"/>
    <cellStyle name="Comma 4 2 2 5 5 2 2" xfId="8408" xr:uid="{00000000-0005-0000-0000-000050080000}"/>
    <cellStyle name="Comma 4 2 2 5 5 2 2 2" xfId="16837" xr:uid="{E0A6F9C4-0090-4BB9-BE5F-61F49430065D}"/>
    <cellStyle name="Comma 4 2 2 5 5 2 3" xfId="12619" xr:uid="{4A37E985-0E2F-491A-BF4C-1F491F257CE7}"/>
    <cellStyle name="Comma 4 2 2 5 5 3" xfId="6263" xr:uid="{00000000-0005-0000-0000-000051080000}"/>
    <cellStyle name="Comma 4 2 2 5 5 3 2" xfId="14692" xr:uid="{B17A3395-72EE-467E-ABE5-AF14EC0C09BF}"/>
    <cellStyle name="Comma 4 2 2 5 5 4" xfId="10474" xr:uid="{7F4F2CDC-4F92-4F23-B8AF-7313C079994B}"/>
    <cellStyle name="Comma 4 2 2 5 6" xfId="2390" xr:uid="{00000000-0005-0000-0000-000052080000}"/>
    <cellStyle name="Comma 4 2 2 5 6 2" xfId="6676" xr:uid="{00000000-0005-0000-0000-000053080000}"/>
    <cellStyle name="Comma 4 2 2 5 6 2 2" xfId="15105" xr:uid="{4C1B6186-ED66-450B-8B52-0D4898A2B973}"/>
    <cellStyle name="Comma 4 2 2 5 6 3" xfId="10887" xr:uid="{60499574-CF08-44E4-8CA9-1B106EEF1A73}"/>
    <cellStyle name="Comma 4 2 2 5 7" xfId="2375" xr:uid="{00000000-0005-0000-0000-000054080000}"/>
    <cellStyle name="Comma 4 2 2 5 8" xfId="2768" xr:uid="{00000000-0005-0000-0000-000055080000}"/>
    <cellStyle name="Comma 4 2 2 5 8 2" xfId="6993" xr:uid="{00000000-0005-0000-0000-000056080000}"/>
    <cellStyle name="Comma 4 2 2 5 8 2 2" xfId="15422" xr:uid="{2AB2AD9D-9671-411C-B689-9D64CD24C460}"/>
    <cellStyle name="Comma 4 2 2 5 8 3" xfId="11204" xr:uid="{753F70DD-6D42-4CC0-8408-38036EA82C5E}"/>
    <cellStyle name="Comma 4 2 2 5 9" xfId="4610" xr:uid="{00000000-0005-0000-0000-000057080000}"/>
    <cellStyle name="Comma 4 2 2 5 9 2" xfId="13039" xr:uid="{37F9B8F0-4493-4413-8C9C-081CE4726FBD}"/>
    <cellStyle name="Comma 4 2 3" xfId="136" xr:uid="{00000000-0005-0000-0000-000058080000}"/>
    <cellStyle name="Comma 4 2 3 10" xfId="2769" xr:uid="{00000000-0005-0000-0000-000059080000}"/>
    <cellStyle name="Comma 4 2 3 10 2" xfId="6994" xr:uid="{00000000-0005-0000-0000-00005A080000}"/>
    <cellStyle name="Comma 4 2 3 10 2 2" xfId="15423" xr:uid="{D932A43B-8090-4E85-BC53-1BCB6F058D7C}"/>
    <cellStyle name="Comma 4 2 3 10 3" xfId="11205" xr:uid="{82471B34-B79C-4B4A-9282-0FFA2682F830}"/>
    <cellStyle name="Comma 4 2 3 11" xfId="4611" xr:uid="{00000000-0005-0000-0000-00005B080000}"/>
    <cellStyle name="Comma 4 2 3 11 2" xfId="13040" xr:uid="{7F68B1F7-A76B-4FE7-9D75-BBBE5333C20D}"/>
    <cellStyle name="Comma 4 2 3 12" xfId="8822" xr:uid="{DAC6C013-CA1B-407F-AEF8-D4C35D15D345}"/>
    <cellStyle name="Comma 4 2 3 2" xfId="137" xr:uid="{00000000-0005-0000-0000-00005C080000}"/>
    <cellStyle name="Comma 4 2 3 2 10" xfId="4612" xr:uid="{00000000-0005-0000-0000-00005D080000}"/>
    <cellStyle name="Comma 4 2 3 2 10 2" xfId="13041" xr:uid="{3B0B93B9-8B4A-4217-8986-49CB78ACEA23}"/>
    <cellStyle name="Comma 4 2 3 2 11" xfId="8823" xr:uid="{299A500B-4BD9-4BB6-B2CA-A984B87B2F4E}"/>
    <cellStyle name="Comma 4 2 3 2 2" xfId="138" xr:uid="{00000000-0005-0000-0000-00005E080000}"/>
    <cellStyle name="Comma 4 2 3 2 2 10" xfId="8824" xr:uid="{4F3E2B50-93BC-4AD2-B797-BB3D20D1A694}"/>
    <cellStyle name="Comma 4 2 3 2 2 2" xfId="677" xr:uid="{00000000-0005-0000-0000-00005F080000}"/>
    <cellStyle name="Comma 4 2 3 2 2 2 2" xfId="2948" xr:uid="{00000000-0005-0000-0000-000060080000}"/>
    <cellStyle name="Comma 4 2 3 2 2 2 2 2" xfId="7172" xr:uid="{00000000-0005-0000-0000-000061080000}"/>
    <cellStyle name="Comma 4 2 3 2 2 2 2 2 2" xfId="15601" xr:uid="{94E40DDA-0F45-4A26-8A2F-A41D66F5B0AE}"/>
    <cellStyle name="Comma 4 2 3 2 2 2 2 3" xfId="11383" xr:uid="{8BC10818-8918-4282-A5D5-3119E301D6CC}"/>
    <cellStyle name="Comma 4 2 3 2 2 2 3" xfId="5027" xr:uid="{00000000-0005-0000-0000-000062080000}"/>
    <cellStyle name="Comma 4 2 3 2 2 2 3 2" xfId="13456" xr:uid="{EBC8006C-9275-4771-AF09-49BFA1C60968}"/>
    <cellStyle name="Comma 4 2 3 2 2 2 4" xfId="9238" xr:uid="{2C0F3D34-FFEA-4768-98B0-5960F72732D8}"/>
    <cellStyle name="Comma 4 2 3 2 2 3" xfId="1130" xr:uid="{00000000-0005-0000-0000-000063080000}"/>
    <cellStyle name="Comma 4 2 3 2 2 3 2" xfId="3361" xr:uid="{00000000-0005-0000-0000-000064080000}"/>
    <cellStyle name="Comma 4 2 3 2 2 3 2 2" xfId="7585" xr:uid="{00000000-0005-0000-0000-000065080000}"/>
    <cellStyle name="Comma 4 2 3 2 2 3 2 2 2" xfId="16014" xr:uid="{C685273A-2DF1-4896-AC00-4A409BE9F6CB}"/>
    <cellStyle name="Comma 4 2 3 2 2 3 2 3" xfId="11796" xr:uid="{DD7063A5-8DF9-487A-B501-6C68964BD7D8}"/>
    <cellStyle name="Comma 4 2 3 2 2 3 3" xfId="5440" xr:uid="{00000000-0005-0000-0000-000066080000}"/>
    <cellStyle name="Comma 4 2 3 2 2 3 3 2" xfId="13869" xr:uid="{02111970-CEA5-49ED-B090-00E7C098EF36}"/>
    <cellStyle name="Comma 4 2 3 2 2 3 4" xfId="9651" xr:uid="{3D1A4B19-B17D-41C6-A53F-CB8E4632C3E9}"/>
    <cellStyle name="Comma 4 2 3 2 2 4" xfId="1544" xr:uid="{00000000-0005-0000-0000-000067080000}"/>
    <cellStyle name="Comma 4 2 3 2 2 4 2" xfId="3774" xr:uid="{00000000-0005-0000-0000-000068080000}"/>
    <cellStyle name="Comma 4 2 3 2 2 4 2 2" xfId="7998" xr:uid="{00000000-0005-0000-0000-000069080000}"/>
    <cellStyle name="Comma 4 2 3 2 2 4 2 2 2" xfId="16427" xr:uid="{B11571C9-9D29-4805-AC77-7FC0BC4995FE}"/>
    <cellStyle name="Comma 4 2 3 2 2 4 2 3" xfId="12209" xr:uid="{CED871E9-925C-44BE-B220-5B386C77431E}"/>
    <cellStyle name="Comma 4 2 3 2 2 4 3" xfId="5853" xr:uid="{00000000-0005-0000-0000-00006A080000}"/>
    <cellStyle name="Comma 4 2 3 2 2 4 3 2" xfId="14282" xr:uid="{593C5DDD-EEEA-4B76-94B6-11C877C217F4}"/>
    <cellStyle name="Comma 4 2 3 2 2 4 4" xfId="10064" xr:uid="{6FB12901-D2B6-4525-A7A1-17B05CE99B41}"/>
    <cellStyle name="Comma 4 2 3 2 2 5" xfId="1958" xr:uid="{00000000-0005-0000-0000-00006B080000}"/>
    <cellStyle name="Comma 4 2 3 2 2 5 2" xfId="4187" xr:uid="{00000000-0005-0000-0000-00006C080000}"/>
    <cellStyle name="Comma 4 2 3 2 2 5 2 2" xfId="8411" xr:uid="{00000000-0005-0000-0000-00006D080000}"/>
    <cellStyle name="Comma 4 2 3 2 2 5 2 2 2" xfId="16840" xr:uid="{D020D0DD-3D6E-43C5-96EC-E9613B74BE72}"/>
    <cellStyle name="Comma 4 2 3 2 2 5 2 3" xfId="12622" xr:uid="{D1FC9483-6004-4769-818D-8753B9F032A3}"/>
    <cellStyle name="Comma 4 2 3 2 2 5 3" xfId="6266" xr:uid="{00000000-0005-0000-0000-00006E080000}"/>
    <cellStyle name="Comma 4 2 3 2 2 5 3 2" xfId="14695" xr:uid="{8C4D8594-5120-4AC7-B03D-AE239AF94143}"/>
    <cellStyle name="Comma 4 2 3 2 2 5 4" xfId="10477" xr:uid="{A4263951-58EE-45F1-A9A2-8C95BF582327}"/>
    <cellStyle name="Comma 4 2 3 2 2 6" xfId="2393" xr:uid="{00000000-0005-0000-0000-00006F080000}"/>
    <cellStyle name="Comma 4 2 3 2 2 6 2" xfId="6679" xr:uid="{00000000-0005-0000-0000-000070080000}"/>
    <cellStyle name="Comma 4 2 3 2 2 6 2 2" xfId="15108" xr:uid="{F6CBCDD6-DB84-48B3-AF9B-BC31862E14D3}"/>
    <cellStyle name="Comma 4 2 3 2 2 6 3" xfId="10890" xr:uid="{92016FF3-EB2C-4FEC-9BE6-DB009B812372}"/>
    <cellStyle name="Comma 4 2 3 2 2 7" xfId="2372" xr:uid="{00000000-0005-0000-0000-000071080000}"/>
    <cellStyle name="Comma 4 2 3 2 2 8" xfId="2771" xr:uid="{00000000-0005-0000-0000-000072080000}"/>
    <cellStyle name="Comma 4 2 3 2 2 8 2" xfId="6996" xr:uid="{00000000-0005-0000-0000-000073080000}"/>
    <cellStyle name="Comma 4 2 3 2 2 8 2 2" xfId="15425" xr:uid="{E094E4AF-0A31-4D4F-8525-FB203AE40DD4}"/>
    <cellStyle name="Comma 4 2 3 2 2 8 3" xfId="11207" xr:uid="{99161BC5-1D8C-4E73-AFFC-190DAB4016E2}"/>
    <cellStyle name="Comma 4 2 3 2 2 9" xfId="4613" xr:uid="{00000000-0005-0000-0000-000074080000}"/>
    <cellStyle name="Comma 4 2 3 2 2 9 2" xfId="13042" xr:uid="{1B24CDCB-81E0-4F55-85D0-03FBB2770F49}"/>
    <cellStyle name="Comma 4 2 3 2 3" xfId="676" xr:uid="{00000000-0005-0000-0000-000075080000}"/>
    <cellStyle name="Comma 4 2 3 2 3 2" xfId="2947" xr:uid="{00000000-0005-0000-0000-000076080000}"/>
    <cellStyle name="Comma 4 2 3 2 3 2 2" xfId="7171" xr:uid="{00000000-0005-0000-0000-000077080000}"/>
    <cellStyle name="Comma 4 2 3 2 3 2 2 2" xfId="15600" xr:uid="{4DCCAA4E-D64E-4E8D-82DC-07D1C758F034}"/>
    <cellStyle name="Comma 4 2 3 2 3 2 3" xfId="11382" xr:uid="{BD380D6D-F587-4A20-92A7-608D789BB892}"/>
    <cellStyle name="Comma 4 2 3 2 3 3" xfId="5026" xr:uid="{00000000-0005-0000-0000-000078080000}"/>
    <cellStyle name="Comma 4 2 3 2 3 3 2" xfId="13455" xr:uid="{9717C305-2A13-4328-9B3E-E4BB6E0C287F}"/>
    <cellStyle name="Comma 4 2 3 2 3 4" xfId="9237" xr:uid="{B2920DB8-88D3-4F61-BA3C-57B765B17F08}"/>
    <cellStyle name="Comma 4 2 3 2 4" xfId="1129" xr:uid="{00000000-0005-0000-0000-000079080000}"/>
    <cellStyle name="Comma 4 2 3 2 4 2" xfId="3360" xr:uid="{00000000-0005-0000-0000-00007A080000}"/>
    <cellStyle name="Comma 4 2 3 2 4 2 2" xfId="7584" xr:uid="{00000000-0005-0000-0000-00007B080000}"/>
    <cellStyle name="Comma 4 2 3 2 4 2 2 2" xfId="16013" xr:uid="{2F741FA9-4C30-460A-9EC8-3BE3467AC4DD}"/>
    <cellStyle name="Comma 4 2 3 2 4 2 3" xfId="11795" xr:uid="{73CA69B9-5613-4E97-AF3C-D5B232C86FA2}"/>
    <cellStyle name="Comma 4 2 3 2 4 3" xfId="5439" xr:uid="{00000000-0005-0000-0000-00007C080000}"/>
    <cellStyle name="Comma 4 2 3 2 4 3 2" xfId="13868" xr:uid="{D84F9120-AA45-4D90-B695-9CB1634B63A3}"/>
    <cellStyle name="Comma 4 2 3 2 4 4" xfId="9650" xr:uid="{CA9DCB9A-8AEB-4513-92DA-098BF2B35FD2}"/>
    <cellStyle name="Comma 4 2 3 2 5" xfId="1543" xr:uid="{00000000-0005-0000-0000-00007D080000}"/>
    <cellStyle name="Comma 4 2 3 2 5 2" xfId="3773" xr:uid="{00000000-0005-0000-0000-00007E080000}"/>
    <cellStyle name="Comma 4 2 3 2 5 2 2" xfId="7997" xr:uid="{00000000-0005-0000-0000-00007F080000}"/>
    <cellStyle name="Comma 4 2 3 2 5 2 2 2" xfId="16426" xr:uid="{9AB531BD-0172-467C-A5EC-7B8EFA4E28BA}"/>
    <cellStyle name="Comma 4 2 3 2 5 2 3" xfId="12208" xr:uid="{AADE9974-F11E-4893-80D8-505E432350C4}"/>
    <cellStyle name="Comma 4 2 3 2 5 3" xfId="5852" xr:uid="{00000000-0005-0000-0000-000080080000}"/>
    <cellStyle name="Comma 4 2 3 2 5 3 2" xfId="14281" xr:uid="{A5B0DA60-467F-4921-A612-A1BACD411C2E}"/>
    <cellStyle name="Comma 4 2 3 2 5 4" xfId="10063" xr:uid="{85622E13-EFF1-433E-903F-05FB1F2EECA9}"/>
    <cellStyle name="Comma 4 2 3 2 6" xfId="1957" xr:uid="{00000000-0005-0000-0000-000081080000}"/>
    <cellStyle name="Comma 4 2 3 2 6 2" xfId="4186" xr:uid="{00000000-0005-0000-0000-000082080000}"/>
    <cellStyle name="Comma 4 2 3 2 6 2 2" xfId="8410" xr:uid="{00000000-0005-0000-0000-000083080000}"/>
    <cellStyle name="Comma 4 2 3 2 6 2 2 2" xfId="16839" xr:uid="{E8A49426-9B26-461D-8910-5A7BB1D09D8D}"/>
    <cellStyle name="Comma 4 2 3 2 6 2 3" xfId="12621" xr:uid="{140F8F63-9310-452E-8290-850E81541FB2}"/>
    <cellStyle name="Comma 4 2 3 2 6 3" xfId="6265" xr:uid="{00000000-0005-0000-0000-000084080000}"/>
    <cellStyle name="Comma 4 2 3 2 6 3 2" xfId="14694" xr:uid="{FF40A230-4DF1-4E27-9F3F-4D65EB92749A}"/>
    <cellStyle name="Comma 4 2 3 2 6 4" xfId="10476" xr:uid="{122A2404-FD4B-496B-B320-FF9A5BF49C20}"/>
    <cellStyle name="Comma 4 2 3 2 7" xfId="2392" xr:uid="{00000000-0005-0000-0000-000085080000}"/>
    <cellStyle name="Comma 4 2 3 2 7 2" xfId="6678" xr:uid="{00000000-0005-0000-0000-000086080000}"/>
    <cellStyle name="Comma 4 2 3 2 7 2 2" xfId="15107" xr:uid="{F0433266-9D6B-48F8-B560-F215D61C4554}"/>
    <cellStyle name="Comma 4 2 3 2 7 3" xfId="10889" xr:uid="{16ED35E3-AC04-4690-8769-9EE6AE34CF11}"/>
    <cellStyle name="Comma 4 2 3 2 8" xfId="2373" xr:uid="{00000000-0005-0000-0000-000087080000}"/>
    <cellStyle name="Comma 4 2 3 2 9" xfId="2770" xr:uid="{00000000-0005-0000-0000-000088080000}"/>
    <cellStyle name="Comma 4 2 3 2 9 2" xfId="6995" xr:uid="{00000000-0005-0000-0000-000089080000}"/>
    <cellStyle name="Comma 4 2 3 2 9 2 2" xfId="15424" xr:uid="{6DD64008-0E0F-4EA2-839A-7A37443A5113}"/>
    <cellStyle name="Comma 4 2 3 2 9 3" xfId="11206" xr:uid="{D1F25EF0-0E95-41C7-B9A9-BFFE66AB9B8B}"/>
    <cellStyle name="Comma 4 2 3 3" xfId="139" xr:uid="{00000000-0005-0000-0000-00008A080000}"/>
    <cellStyle name="Comma 4 2 3 3 10" xfId="8825" xr:uid="{19323248-F96D-44C1-BD76-673D141A74C3}"/>
    <cellStyle name="Comma 4 2 3 3 2" xfId="678" xr:uid="{00000000-0005-0000-0000-00008B080000}"/>
    <cellStyle name="Comma 4 2 3 3 2 2" xfId="2949" xr:uid="{00000000-0005-0000-0000-00008C080000}"/>
    <cellStyle name="Comma 4 2 3 3 2 2 2" xfId="7173" xr:uid="{00000000-0005-0000-0000-00008D080000}"/>
    <cellStyle name="Comma 4 2 3 3 2 2 2 2" xfId="15602" xr:uid="{B27B2CB6-DDC9-4272-A165-97770497A7BC}"/>
    <cellStyle name="Comma 4 2 3 3 2 2 3" xfId="11384" xr:uid="{1F89DB9F-9A44-4020-990F-FCBA09D72C01}"/>
    <cellStyle name="Comma 4 2 3 3 2 3" xfId="5028" xr:uid="{00000000-0005-0000-0000-00008E080000}"/>
    <cellStyle name="Comma 4 2 3 3 2 3 2" xfId="13457" xr:uid="{39A5C9BE-869F-474C-A82D-F3AB6A6E16E2}"/>
    <cellStyle name="Comma 4 2 3 3 2 4" xfId="9239" xr:uid="{A561C502-0492-4F03-A294-42A554248361}"/>
    <cellStyle name="Comma 4 2 3 3 3" xfId="1131" xr:uid="{00000000-0005-0000-0000-00008F080000}"/>
    <cellStyle name="Comma 4 2 3 3 3 2" xfId="3362" xr:uid="{00000000-0005-0000-0000-000090080000}"/>
    <cellStyle name="Comma 4 2 3 3 3 2 2" xfId="7586" xr:uid="{00000000-0005-0000-0000-000091080000}"/>
    <cellStyle name="Comma 4 2 3 3 3 2 2 2" xfId="16015" xr:uid="{BA0BE36E-A551-49CE-A8E9-C0434ED24647}"/>
    <cellStyle name="Comma 4 2 3 3 3 2 3" xfId="11797" xr:uid="{A488E3FE-613C-463E-BFBC-BEB753D9B411}"/>
    <cellStyle name="Comma 4 2 3 3 3 3" xfId="5441" xr:uid="{00000000-0005-0000-0000-000092080000}"/>
    <cellStyle name="Comma 4 2 3 3 3 3 2" xfId="13870" xr:uid="{A720F0A9-E658-4BE7-A373-8F32DE48A2E8}"/>
    <cellStyle name="Comma 4 2 3 3 3 4" xfId="9652" xr:uid="{1B555EF0-0F15-4BE3-AEDE-9BE35E4077F9}"/>
    <cellStyle name="Comma 4 2 3 3 4" xfId="1545" xr:uid="{00000000-0005-0000-0000-000093080000}"/>
    <cellStyle name="Comma 4 2 3 3 4 2" xfId="3775" xr:uid="{00000000-0005-0000-0000-000094080000}"/>
    <cellStyle name="Comma 4 2 3 3 4 2 2" xfId="7999" xr:uid="{00000000-0005-0000-0000-000095080000}"/>
    <cellStyle name="Comma 4 2 3 3 4 2 2 2" xfId="16428" xr:uid="{D35DB7C5-A12B-4A9D-A17E-600D5438E385}"/>
    <cellStyle name="Comma 4 2 3 3 4 2 3" xfId="12210" xr:uid="{87A19554-669D-4C05-8B55-ED5DEE490B2F}"/>
    <cellStyle name="Comma 4 2 3 3 4 3" xfId="5854" xr:uid="{00000000-0005-0000-0000-000096080000}"/>
    <cellStyle name="Comma 4 2 3 3 4 3 2" xfId="14283" xr:uid="{AFA38BCC-CBA9-4E28-B23B-1AFA2C82270D}"/>
    <cellStyle name="Comma 4 2 3 3 4 4" xfId="10065" xr:uid="{5D80CB46-26C0-498E-9A8E-028866CDB01B}"/>
    <cellStyle name="Comma 4 2 3 3 5" xfId="1959" xr:uid="{00000000-0005-0000-0000-000097080000}"/>
    <cellStyle name="Comma 4 2 3 3 5 2" xfId="4188" xr:uid="{00000000-0005-0000-0000-000098080000}"/>
    <cellStyle name="Comma 4 2 3 3 5 2 2" xfId="8412" xr:uid="{00000000-0005-0000-0000-000099080000}"/>
    <cellStyle name="Comma 4 2 3 3 5 2 2 2" xfId="16841" xr:uid="{154604E7-4E9B-4720-8294-11F7D526BE15}"/>
    <cellStyle name="Comma 4 2 3 3 5 2 3" xfId="12623" xr:uid="{765BA8B7-98D9-41F8-81CB-EA8A86AE1FD4}"/>
    <cellStyle name="Comma 4 2 3 3 5 3" xfId="6267" xr:uid="{00000000-0005-0000-0000-00009A080000}"/>
    <cellStyle name="Comma 4 2 3 3 5 3 2" xfId="14696" xr:uid="{920AC8D7-8671-440D-9A3C-B02A0F61ACB0}"/>
    <cellStyle name="Comma 4 2 3 3 5 4" xfId="10478" xr:uid="{B319BADE-3747-462C-B999-05DB41CD8D17}"/>
    <cellStyle name="Comma 4 2 3 3 6" xfId="2394" xr:uid="{00000000-0005-0000-0000-00009B080000}"/>
    <cellStyle name="Comma 4 2 3 3 6 2" xfId="6680" xr:uid="{00000000-0005-0000-0000-00009C080000}"/>
    <cellStyle name="Comma 4 2 3 3 6 2 2" xfId="15109" xr:uid="{124D5E4F-62D0-42C2-A7D1-B7E6DB168E21}"/>
    <cellStyle name="Comma 4 2 3 3 6 3" xfId="10891" xr:uid="{30B899D2-B631-42DF-B409-A90884EF61C7}"/>
    <cellStyle name="Comma 4 2 3 3 7" xfId="2371" xr:uid="{00000000-0005-0000-0000-00009D080000}"/>
    <cellStyle name="Comma 4 2 3 3 8" xfId="2772" xr:uid="{00000000-0005-0000-0000-00009E080000}"/>
    <cellStyle name="Comma 4 2 3 3 8 2" xfId="6997" xr:uid="{00000000-0005-0000-0000-00009F080000}"/>
    <cellStyle name="Comma 4 2 3 3 8 2 2" xfId="15426" xr:uid="{E1204CC6-5FA4-462E-93F5-A94D3ED9C1BA}"/>
    <cellStyle name="Comma 4 2 3 3 8 3" xfId="11208" xr:uid="{90E34504-E452-41A7-8640-491411E91E2C}"/>
    <cellStyle name="Comma 4 2 3 3 9" xfId="4614" xr:uid="{00000000-0005-0000-0000-0000A0080000}"/>
    <cellStyle name="Comma 4 2 3 3 9 2" xfId="13043" xr:uid="{CBA57B31-E048-4B67-B1D7-1479367B8558}"/>
    <cellStyle name="Comma 4 2 3 4" xfId="675" xr:uid="{00000000-0005-0000-0000-0000A1080000}"/>
    <cellStyle name="Comma 4 2 3 4 2" xfId="2946" xr:uid="{00000000-0005-0000-0000-0000A2080000}"/>
    <cellStyle name="Comma 4 2 3 4 2 2" xfId="7170" xr:uid="{00000000-0005-0000-0000-0000A3080000}"/>
    <cellStyle name="Comma 4 2 3 4 2 2 2" xfId="15599" xr:uid="{5F058AC3-737B-44AE-A42D-378DAB0DF252}"/>
    <cellStyle name="Comma 4 2 3 4 2 3" xfId="11381" xr:uid="{8C708CF6-A114-470D-971C-B50EFEE3B7EE}"/>
    <cellStyle name="Comma 4 2 3 4 3" xfId="5025" xr:uid="{00000000-0005-0000-0000-0000A4080000}"/>
    <cellStyle name="Comma 4 2 3 4 3 2" xfId="13454" xr:uid="{1E84CCBA-63BE-445F-98BE-E64751D88D1A}"/>
    <cellStyle name="Comma 4 2 3 4 4" xfId="9236" xr:uid="{8C5938B8-C15C-4045-96D0-83E9B2BA2F17}"/>
    <cellStyle name="Comma 4 2 3 5" xfId="1128" xr:uid="{00000000-0005-0000-0000-0000A5080000}"/>
    <cellStyle name="Comma 4 2 3 5 2" xfId="3359" xr:uid="{00000000-0005-0000-0000-0000A6080000}"/>
    <cellStyle name="Comma 4 2 3 5 2 2" xfId="7583" xr:uid="{00000000-0005-0000-0000-0000A7080000}"/>
    <cellStyle name="Comma 4 2 3 5 2 2 2" xfId="16012" xr:uid="{101C15B1-1A55-4A93-86C5-38805221A903}"/>
    <cellStyle name="Comma 4 2 3 5 2 3" xfId="11794" xr:uid="{9D6C31C0-4193-4F98-BBE8-63DF311F74B8}"/>
    <cellStyle name="Comma 4 2 3 5 3" xfId="5438" xr:uid="{00000000-0005-0000-0000-0000A8080000}"/>
    <cellStyle name="Comma 4 2 3 5 3 2" xfId="13867" xr:uid="{44ED9E2E-FAB5-4060-84F6-BDA61F4B1676}"/>
    <cellStyle name="Comma 4 2 3 5 4" xfId="9649" xr:uid="{D37CDC0F-4B1A-42B2-B87C-A8DAFACAAE60}"/>
    <cellStyle name="Comma 4 2 3 6" xfId="1542" xr:uid="{00000000-0005-0000-0000-0000A9080000}"/>
    <cellStyle name="Comma 4 2 3 6 2" xfId="3772" xr:uid="{00000000-0005-0000-0000-0000AA080000}"/>
    <cellStyle name="Comma 4 2 3 6 2 2" xfId="7996" xr:uid="{00000000-0005-0000-0000-0000AB080000}"/>
    <cellStyle name="Comma 4 2 3 6 2 2 2" xfId="16425" xr:uid="{A7C55B8A-BCB7-4960-9AE6-D8E8F3586C46}"/>
    <cellStyle name="Comma 4 2 3 6 2 3" xfId="12207" xr:uid="{DA0411CF-0A31-4A32-8FFB-D1CA0BBED925}"/>
    <cellStyle name="Comma 4 2 3 6 3" xfId="5851" xr:uid="{00000000-0005-0000-0000-0000AC080000}"/>
    <cellStyle name="Comma 4 2 3 6 3 2" xfId="14280" xr:uid="{F341AAF8-9C52-4171-88E5-750F79382340}"/>
    <cellStyle name="Comma 4 2 3 6 4" xfId="10062" xr:uid="{3F493B66-F02F-4A08-9A32-73209F90F51A}"/>
    <cellStyle name="Comma 4 2 3 7" xfId="1956" xr:uid="{00000000-0005-0000-0000-0000AD080000}"/>
    <cellStyle name="Comma 4 2 3 7 2" xfId="4185" xr:uid="{00000000-0005-0000-0000-0000AE080000}"/>
    <cellStyle name="Comma 4 2 3 7 2 2" xfId="8409" xr:uid="{00000000-0005-0000-0000-0000AF080000}"/>
    <cellStyle name="Comma 4 2 3 7 2 2 2" xfId="16838" xr:uid="{24DA994C-8EBE-431A-ABBC-2EB95863DA94}"/>
    <cellStyle name="Comma 4 2 3 7 2 3" xfId="12620" xr:uid="{485A8D59-31E8-42FF-8FB6-54553B2D524C}"/>
    <cellStyle name="Comma 4 2 3 7 3" xfId="6264" xr:uid="{00000000-0005-0000-0000-0000B0080000}"/>
    <cellStyle name="Comma 4 2 3 7 3 2" xfId="14693" xr:uid="{885E12EB-7502-4C4C-AC4F-05F4084AB63A}"/>
    <cellStyle name="Comma 4 2 3 7 4" xfId="10475" xr:uid="{171739BB-1C13-4A1D-97C8-6232F8B2EC18}"/>
    <cellStyle name="Comma 4 2 3 8" xfId="2391" xr:uid="{00000000-0005-0000-0000-0000B1080000}"/>
    <cellStyle name="Comma 4 2 3 8 2" xfId="6677" xr:uid="{00000000-0005-0000-0000-0000B2080000}"/>
    <cellStyle name="Comma 4 2 3 8 2 2" xfId="15106" xr:uid="{F4D64B4D-0BDD-434F-B1B4-1E25163C1EBE}"/>
    <cellStyle name="Comma 4 2 3 8 3" xfId="10888" xr:uid="{7DB2F581-63F3-4DCD-9E01-196EA4D68020}"/>
    <cellStyle name="Comma 4 2 3 9" xfId="2374" xr:uid="{00000000-0005-0000-0000-0000B3080000}"/>
    <cellStyle name="Comma 4 2 4" xfId="140" xr:uid="{00000000-0005-0000-0000-0000B4080000}"/>
    <cellStyle name="Comma 4 2 4 10" xfId="4615" xr:uid="{00000000-0005-0000-0000-0000B5080000}"/>
    <cellStyle name="Comma 4 2 4 10 2" xfId="13044" xr:uid="{CCBC4384-354E-4724-A887-65A1F8747DA8}"/>
    <cellStyle name="Comma 4 2 4 11" xfId="8826" xr:uid="{0B174E8C-133C-4C54-B119-F5C2F43C6A00}"/>
    <cellStyle name="Comma 4 2 4 2" xfId="141" xr:uid="{00000000-0005-0000-0000-0000B6080000}"/>
    <cellStyle name="Comma 4 2 4 2 10" xfId="8827" xr:uid="{89081E30-5B74-4C23-A86E-49DBB39B6287}"/>
    <cellStyle name="Comma 4 2 4 2 2" xfId="680" xr:uid="{00000000-0005-0000-0000-0000B7080000}"/>
    <cellStyle name="Comma 4 2 4 2 2 2" xfId="2951" xr:uid="{00000000-0005-0000-0000-0000B8080000}"/>
    <cellStyle name="Comma 4 2 4 2 2 2 2" xfId="7175" xr:uid="{00000000-0005-0000-0000-0000B9080000}"/>
    <cellStyle name="Comma 4 2 4 2 2 2 2 2" xfId="15604" xr:uid="{884C4281-F0CB-4592-BEE1-91EFEB8E4928}"/>
    <cellStyle name="Comma 4 2 4 2 2 2 3" xfId="11386" xr:uid="{B293D34F-1692-466C-96C4-E3FE433A4599}"/>
    <cellStyle name="Comma 4 2 4 2 2 3" xfId="5030" xr:uid="{00000000-0005-0000-0000-0000BA080000}"/>
    <cellStyle name="Comma 4 2 4 2 2 3 2" xfId="13459" xr:uid="{2D4D7119-AB40-4FC1-8D7B-6232FD94A8FC}"/>
    <cellStyle name="Comma 4 2 4 2 2 4" xfId="9241" xr:uid="{E7178102-DF48-4746-8D95-FAE4DBC9D987}"/>
    <cellStyle name="Comma 4 2 4 2 3" xfId="1133" xr:uid="{00000000-0005-0000-0000-0000BB080000}"/>
    <cellStyle name="Comma 4 2 4 2 3 2" xfId="3364" xr:uid="{00000000-0005-0000-0000-0000BC080000}"/>
    <cellStyle name="Comma 4 2 4 2 3 2 2" xfId="7588" xr:uid="{00000000-0005-0000-0000-0000BD080000}"/>
    <cellStyle name="Comma 4 2 4 2 3 2 2 2" xfId="16017" xr:uid="{BAE25C77-839D-4A86-B78E-C7CB6DF79A16}"/>
    <cellStyle name="Comma 4 2 4 2 3 2 3" xfId="11799" xr:uid="{A0811D0B-33D7-4CC6-866C-AA922985AE20}"/>
    <cellStyle name="Comma 4 2 4 2 3 3" xfId="5443" xr:uid="{00000000-0005-0000-0000-0000BE080000}"/>
    <cellStyle name="Comma 4 2 4 2 3 3 2" xfId="13872" xr:uid="{32A76CD1-B792-4A65-92BF-6790F32728E5}"/>
    <cellStyle name="Comma 4 2 4 2 3 4" xfId="9654" xr:uid="{AA168FB4-F2C3-44A6-83A1-2FCF50AEFFA3}"/>
    <cellStyle name="Comma 4 2 4 2 4" xfId="1547" xr:uid="{00000000-0005-0000-0000-0000BF080000}"/>
    <cellStyle name="Comma 4 2 4 2 4 2" xfId="3777" xr:uid="{00000000-0005-0000-0000-0000C0080000}"/>
    <cellStyle name="Comma 4 2 4 2 4 2 2" xfId="8001" xr:uid="{00000000-0005-0000-0000-0000C1080000}"/>
    <cellStyle name="Comma 4 2 4 2 4 2 2 2" xfId="16430" xr:uid="{17E8D884-3F40-4D32-AD33-F67ADCF537D0}"/>
    <cellStyle name="Comma 4 2 4 2 4 2 3" xfId="12212" xr:uid="{F5DCC1DB-92F5-4980-BFA1-C9F3575DB355}"/>
    <cellStyle name="Comma 4 2 4 2 4 3" xfId="5856" xr:uid="{00000000-0005-0000-0000-0000C2080000}"/>
    <cellStyle name="Comma 4 2 4 2 4 3 2" xfId="14285" xr:uid="{6BE53D40-B1E2-4150-B4AA-5A9DFCD7231B}"/>
    <cellStyle name="Comma 4 2 4 2 4 4" xfId="10067" xr:uid="{8EFFC0A6-A819-47C8-AB2B-6B56536CABFB}"/>
    <cellStyle name="Comma 4 2 4 2 5" xfId="1961" xr:uid="{00000000-0005-0000-0000-0000C3080000}"/>
    <cellStyle name="Comma 4 2 4 2 5 2" xfId="4190" xr:uid="{00000000-0005-0000-0000-0000C4080000}"/>
    <cellStyle name="Comma 4 2 4 2 5 2 2" xfId="8414" xr:uid="{00000000-0005-0000-0000-0000C5080000}"/>
    <cellStyle name="Comma 4 2 4 2 5 2 2 2" xfId="16843" xr:uid="{3896631A-2519-4AE5-A134-EDDE25363CD9}"/>
    <cellStyle name="Comma 4 2 4 2 5 2 3" xfId="12625" xr:uid="{B661C8D0-D625-476B-8841-D74062A6F25A}"/>
    <cellStyle name="Comma 4 2 4 2 5 3" xfId="6269" xr:uid="{00000000-0005-0000-0000-0000C6080000}"/>
    <cellStyle name="Comma 4 2 4 2 5 3 2" xfId="14698" xr:uid="{0AAF1B2B-765E-4EF4-94E4-6B91DEEC5A15}"/>
    <cellStyle name="Comma 4 2 4 2 5 4" xfId="10480" xr:uid="{FFEA5697-8CF0-4C9E-BAB0-10C44AC48A21}"/>
    <cellStyle name="Comma 4 2 4 2 6" xfId="2396" xr:uid="{00000000-0005-0000-0000-0000C7080000}"/>
    <cellStyle name="Comma 4 2 4 2 6 2" xfId="6682" xr:uid="{00000000-0005-0000-0000-0000C8080000}"/>
    <cellStyle name="Comma 4 2 4 2 6 2 2" xfId="15111" xr:uid="{0477F7B8-F0E5-46F3-B582-AFE762EECBB4}"/>
    <cellStyle name="Comma 4 2 4 2 6 3" xfId="10893" xr:uid="{DA9B8216-D8AA-4D12-8AF1-CFCBAE9727A2}"/>
    <cellStyle name="Comma 4 2 4 2 7" xfId="2369" xr:uid="{00000000-0005-0000-0000-0000C9080000}"/>
    <cellStyle name="Comma 4 2 4 2 8" xfId="2774" xr:uid="{00000000-0005-0000-0000-0000CA080000}"/>
    <cellStyle name="Comma 4 2 4 2 8 2" xfId="6999" xr:uid="{00000000-0005-0000-0000-0000CB080000}"/>
    <cellStyle name="Comma 4 2 4 2 8 2 2" xfId="15428" xr:uid="{00EA48CB-E969-4870-8766-6A8B68F462F9}"/>
    <cellStyle name="Comma 4 2 4 2 8 3" xfId="11210" xr:uid="{54272857-C2F2-457D-AB5C-D5CCAE16B337}"/>
    <cellStyle name="Comma 4 2 4 2 9" xfId="4616" xr:uid="{00000000-0005-0000-0000-0000CC080000}"/>
    <cellStyle name="Comma 4 2 4 2 9 2" xfId="13045" xr:uid="{E871994B-74C8-4638-8739-22D7F0044A2B}"/>
    <cellStyle name="Comma 4 2 4 3" xfId="679" xr:uid="{00000000-0005-0000-0000-0000CD080000}"/>
    <cellStyle name="Comma 4 2 4 3 2" xfId="2950" xr:uid="{00000000-0005-0000-0000-0000CE080000}"/>
    <cellStyle name="Comma 4 2 4 3 2 2" xfId="7174" xr:uid="{00000000-0005-0000-0000-0000CF080000}"/>
    <cellStyle name="Comma 4 2 4 3 2 2 2" xfId="15603" xr:uid="{9231C002-6CA0-4FDE-B375-96B254ECD941}"/>
    <cellStyle name="Comma 4 2 4 3 2 3" xfId="11385" xr:uid="{E5590B6A-9267-4B27-8183-84B6B48847E0}"/>
    <cellStyle name="Comma 4 2 4 3 3" xfId="5029" xr:uid="{00000000-0005-0000-0000-0000D0080000}"/>
    <cellStyle name="Comma 4 2 4 3 3 2" xfId="13458" xr:uid="{DCA94823-2D8E-42BE-B845-53B654F36B03}"/>
    <cellStyle name="Comma 4 2 4 3 4" xfId="9240" xr:uid="{054C73FF-B04C-441E-AC84-A930FAB95942}"/>
    <cellStyle name="Comma 4 2 4 4" xfId="1132" xr:uid="{00000000-0005-0000-0000-0000D1080000}"/>
    <cellStyle name="Comma 4 2 4 4 2" xfId="3363" xr:uid="{00000000-0005-0000-0000-0000D2080000}"/>
    <cellStyle name="Comma 4 2 4 4 2 2" xfId="7587" xr:uid="{00000000-0005-0000-0000-0000D3080000}"/>
    <cellStyle name="Comma 4 2 4 4 2 2 2" xfId="16016" xr:uid="{364D2EF0-A27C-4A1E-A77D-B9FC8946A178}"/>
    <cellStyle name="Comma 4 2 4 4 2 3" xfId="11798" xr:uid="{C35AFD86-FAEB-4DF5-A364-B19A756082D7}"/>
    <cellStyle name="Comma 4 2 4 4 3" xfId="5442" xr:uid="{00000000-0005-0000-0000-0000D4080000}"/>
    <cellStyle name="Comma 4 2 4 4 3 2" xfId="13871" xr:uid="{3D0C3E98-6F2F-4C9F-AB3B-15689E343F16}"/>
    <cellStyle name="Comma 4 2 4 4 4" xfId="9653" xr:uid="{29688B9C-48D9-4C9E-A087-B913A67764E3}"/>
    <cellStyle name="Comma 4 2 4 5" xfId="1546" xr:uid="{00000000-0005-0000-0000-0000D5080000}"/>
    <cellStyle name="Comma 4 2 4 5 2" xfId="3776" xr:uid="{00000000-0005-0000-0000-0000D6080000}"/>
    <cellStyle name="Comma 4 2 4 5 2 2" xfId="8000" xr:uid="{00000000-0005-0000-0000-0000D7080000}"/>
    <cellStyle name="Comma 4 2 4 5 2 2 2" xfId="16429" xr:uid="{3F4971F9-41B3-4D2F-91A6-DF5827D33379}"/>
    <cellStyle name="Comma 4 2 4 5 2 3" xfId="12211" xr:uid="{76791B81-DEDF-4372-98A7-0FB1660087F5}"/>
    <cellStyle name="Comma 4 2 4 5 3" xfId="5855" xr:uid="{00000000-0005-0000-0000-0000D8080000}"/>
    <cellStyle name="Comma 4 2 4 5 3 2" xfId="14284" xr:uid="{75214494-142D-4919-A3AA-580ED327EF43}"/>
    <cellStyle name="Comma 4 2 4 5 4" xfId="10066" xr:uid="{61DA55A2-1B88-4ADF-BC21-6E74B9CFCEEF}"/>
    <cellStyle name="Comma 4 2 4 6" xfId="1960" xr:uid="{00000000-0005-0000-0000-0000D9080000}"/>
    <cellStyle name="Comma 4 2 4 6 2" xfId="4189" xr:uid="{00000000-0005-0000-0000-0000DA080000}"/>
    <cellStyle name="Comma 4 2 4 6 2 2" xfId="8413" xr:uid="{00000000-0005-0000-0000-0000DB080000}"/>
    <cellStyle name="Comma 4 2 4 6 2 2 2" xfId="16842" xr:uid="{B1E33AC8-8208-4C02-9717-270C090A9E55}"/>
    <cellStyle name="Comma 4 2 4 6 2 3" xfId="12624" xr:uid="{4AD9D074-8DF0-4B5A-916B-D0B4721FA168}"/>
    <cellStyle name="Comma 4 2 4 6 3" xfId="6268" xr:uid="{00000000-0005-0000-0000-0000DC080000}"/>
    <cellStyle name="Comma 4 2 4 6 3 2" xfId="14697" xr:uid="{6DDCA725-B1CC-4D74-A418-B2243BF429ED}"/>
    <cellStyle name="Comma 4 2 4 6 4" xfId="10479" xr:uid="{49B1B9B4-4F94-486C-BACA-7A368B513945}"/>
    <cellStyle name="Comma 4 2 4 7" xfId="2395" xr:uid="{00000000-0005-0000-0000-0000DD080000}"/>
    <cellStyle name="Comma 4 2 4 7 2" xfId="6681" xr:uid="{00000000-0005-0000-0000-0000DE080000}"/>
    <cellStyle name="Comma 4 2 4 7 2 2" xfId="15110" xr:uid="{0BC8BFDD-DA92-40E7-878F-7A1998CE8145}"/>
    <cellStyle name="Comma 4 2 4 7 3" xfId="10892" xr:uid="{96B4CA22-75A8-41C3-A25E-58031891A13A}"/>
    <cellStyle name="Comma 4 2 4 8" xfId="2370" xr:uid="{00000000-0005-0000-0000-0000DF080000}"/>
    <cellStyle name="Comma 4 2 4 9" xfId="2773" xr:uid="{00000000-0005-0000-0000-0000E0080000}"/>
    <cellStyle name="Comma 4 2 4 9 2" xfId="6998" xr:uid="{00000000-0005-0000-0000-0000E1080000}"/>
    <cellStyle name="Comma 4 2 4 9 2 2" xfId="15427" xr:uid="{478014B5-A996-4926-BC06-0F1CA750E8F9}"/>
    <cellStyle name="Comma 4 2 4 9 3" xfId="11209" xr:uid="{57F62666-C7E3-4E87-BCCA-A22319DCFEA2}"/>
    <cellStyle name="Comma 4 2 5" xfId="142" xr:uid="{00000000-0005-0000-0000-0000E2080000}"/>
    <cellStyle name="Comma 4 2 5 10" xfId="8828" xr:uid="{83D23DDD-6CCF-4637-9412-150F3E1ED571}"/>
    <cellStyle name="Comma 4 2 5 2" xfId="681" xr:uid="{00000000-0005-0000-0000-0000E3080000}"/>
    <cellStyle name="Comma 4 2 5 2 2" xfId="2952" xr:uid="{00000000-0005-0000-0000-0000E4080000}"/>
    <cellStyle name="Comma 4 2 5 2 2 2" xfId="7176" xr:uid="{00000000-0005-0000-0000-0000E5080000}"/>
    <cellStyle name="Comma 4 2 5 2 2 2 2" xfId="15605" xr:uid="{B1CF8C73-CB30-4E86-9B40-6000EB106BDF}"/>
    <cellStyle name="Comma 4 2 5 2 2 3" xfId="11387" xr:uid="{DF43FE48-6007-4B4C-A0AE-55A2F4DA196C}"/>
    <cellStyle name="Comma 4 2 5 2 3" xfId="5031" xr:uid="{00000000-0005-0000-0000-0000E6080000}"/>
    <cellStyle name="Comma 4 2 5 2 3 2" xfId="13460" xr:uid="{F1B887F1-E354-4530-A003-44BD04E44BF9}"/>
    <cellStyle name="Comma 4 2 5 2 4" xfId="9242" xr:uid="{B1DD85E9-983C-42B2-B176-D8D015A977F0}"/>
    <cellStyle name="Comma 4 2 5 3" xfId="1134" xr:uid="{00000000-0005-0000-0000-0000E7080000}"/>
    <cellStyle name="Comma 4 2 5 3 2" xfId="3365" xr:uid="{00000000-0005-0000-0000-0000E8080000}"/>
    <cellStyle name="Comma 4 2 5 3 2 2" xfId="7589" xr:uid="{00000000-0005-0000-0000-0000E9080000}"/>
    <cellStyle name="Comma 4 2 5 3 2 2 2" xfId="16018" xr:uid="{2E306B98-04F0-466F-87B3-C7339A3ED15E}"/>
    <cellStyle name="Comma 4 2 5 3 2 3" xfId="11800" xr:uid="{3FAF8902-B697-4FDD-A78F-C667112CA01F}"/>
    <cellStyle name="Comma 4 2 5 3 3" xfId="5444" xr:uid="{00000000-0005-0000-0000-0000EA080000}"/>
    <cellStyle name="Comma 4 2 5 3 3 2" xfId="13873" xr:uid="{47B197DF-07B5-49DC-AB9C-67AFA9768AE3}"/>
    <cellStyle name="Comma 4 2 5 3 4" xfId="9655" xr:uid="{7C967FC3-EF72-4A27-A51A-38BC78AC336F}"/>
    <cellStyle name="Comma 4 2 5 4" xfId="1548" xr:uid="{00000000-0005-0000-0000-0000EB080000}"/>
    <cellStyle name="Comma 4 2 5 4 2" xfId="3778" xr:uid="{00000000-0005-0000-0000-0000EC080000}"/>
    <cellStyle name="Comma 4 2 5 4 2 2" xfId="8002" xr:uid="{00000000-0005-0000-0000-0000ED080000}"/>
    <cellStyle name="Comma 4 2 5 4 2 2 2" xfId="16431" xr:uid="{C51C1D7D-0AA5-42AE-9F47-D39AD76DF798}"/>
    <cellStyle name="Comma 4 2 5 4 2 3" xfId="12213" xr:uid="{8C9368C0-C9EE-494F-8F27-AC4D8B33CE3E}"/>
    <cellStyle name="Comma 4 2 5 4 3" xfId="5857" xr:uid="{00000000-0005-0000-0000-0000EE080000}"/>
    <cellStyle name="Comma 4 2 5 4 3 2" xfId="14286" xr:uid="{659AECA6-DE49-4DE6-8E91-5C75C07BB76A}"/>
    <cellStyle name="Comma 4 2 5 4 4" xfId="10068" xr:uid="{0AFE9462-E0D5-4495-A8AE-93CC21B24DC7}"/>
    <cellStyle name="Comma 4 2 5 5" xfId="1962" xr:uid="{00000000-0005-0000-0000-0000EF080000}"/>
    <cellStyle name="Comma 4 2 5 5 2" xfId="4191" xr:uid="{00000000-0005-0000-0000-0000F0080000}"/>
    <cellStyle name="Comma 4 2 5 5 2 2" xfId="8415" xr:uid="{00000000-0005-0000-0000-0000F1080000}"/>
    <cellStyle name="Comma 4 2 5 5 2 2 2" xfId="16844" xr:uid="{58DE0CF0-B303-4C4E-BD05-647BDA7244B1}"/>
    <cellStyle name="Comma 4 2 5 5 2 3" xfId="12626" xr:uid="{5D4D97BC-E7AC-4D93-B8C2-BC728B6CDB34}"/>
    <cellStyle name="Comma 4 2 5 5 3" xfId="6270" xr:uid="{00000000-0005-0000-0000-0000F2080000}"/>
    <cellStyle name="Comma 4 2 5 5 3 2" xfId="14699" xr:uid="{659ECD6D-6AFE-457B-AD60-5571EFB7A3E0}"/>
    <cellStyle name="Comma 4 2 5 5 4" xfId="10481" xr:uid="{E7DF4A21-4F46-4D81-A770-2E4169C05393}"/>
    <cellStyle name="Comma 4 2 5 6" xfId="2397" xr:uid="{00000000-0005-0000-0000-0000F3080000}"/>
    <cellStyle name="Comma 4 2 5 6 2" xfId="6683" xr:uid="{00000000-0005-0000-0000-0000F4080000}"/>
    <cellStyle name="Comma 4 2 5 6 2 2" xfId="15112" xr:uid="{2BD57A0C-C10D-425C-B5B7-516902C396B1}"/>
    <cellStyle name="Comma 4 2 5 6 3" xfId="10894" xr:uid="{D39CB4D2-CB7D-4B4E-8536-21CAFD4C6CAB}"/>
    <cellStyle name="Comma 4 2 5 7" xfId="2368" xr:uid="{00000000-0005-0000-0000-0000F5080000}"/>
    <cellStyle name="Comma 4 2 5 8" xfId="2775" xr:uid="{00000000-0005-0000-0000-0000F6080000}"/>
    <cellStyle name="Comma 4 2 5 8 2" xfId="7000" xr:uid="{00000000-0005-0000-0000-0000F7080000}"/>
    <cellStyle name="Comma 4 2 5 8 2 2" xfId="15429" xr:uid="{E5C73B03-0556-4A71-AA8B-3E9E9BA632DD}"/>
    <cellStyle name="Comma 4 2 5 8 3" xfId="11211" xr:uid="{CBE2D2CC-3EBF-4328-88FE-1635A52BDB3A}"/>
    <cellStyle name="Comma 4 2 5 9" xfId="4617" xr:uid="{00000000-0005-0000-0000-0000F8080000}"/>
    <cellStyle name="Comma 4 2 5 9 2" xfId="13046" xr:uid="{8A8D9F40-8CAD-4A4D-840F-BEC62A77B06E}"/>
    <cellStyle name="Comma 4 2 6" xfId="143" xr:uid="{00000000-0005-0000-0000-0000F9080000}"/>
    <cellStyle name="Comma 4 2 6 10" xfId="8829" xr:uid="{379EB523-0B46-49CC-BF2A-FA2F858E0A14}"/>
    <cellStyle name="Comma 4 2 6 2" xfId="682" xr:uid="{00000000-0005-0000-0000-0000FA080000}"/>
    <cellStyle name="Comma 4 2 6 2 2" xfId="2953" xr:uid="{00000000-0005-0000-0000-0000FB080000}"/>
    <cellStyle name="Comma 4 2 6 2 2 2" xfId="7177" xr:uid="{00000000-0005-0000-0000-0000FC080000}"/>
    <cellStyle name="Comma 4 2 6 2 2 2 2" xfId="15606" xr:uid="{88ED3F5D-772A-49F3-89A0-934C27A7857D}"/>
    <cellStyle name="Comma 4 2 6 2 2 3" xfId="11388" xr:uid="{7512E83C-48BA-4836-A84F-6CAF39E6C3A8}"/>
    <cellStyle name="Comma 4 2 6 2 3" xfId="5032" xr:uid="{00000000-0005-0000-0000-0000FD080000}"/>
    <cellStyle name="Comma 4 2 6 2 3 2" xfId="13461" xr:uid="{A53DC1E0-15B6-45CD-8116-C80A530F19B8}"/>
    <cellStyle name="Comma 4 2 6 2 4" xfId="9243" xr:uid="{55A4290A-5DF1-4534-B961-D2A52D546042}"/>
    <cellStyle name="Comma 4 2 6 3" xfId="1135" xr:uid="{00000000-0005-0000-0000-0000FE080000}"/>
    <cellStyle name="Comma 4 2 6 3 2" xfId="3366" xr:uid="{00000000-0005-0000-0000-0000FF080000}"/>
    <cellStyle name="Comma 4 2 6 3 2 2" xfId="7590" xr:uid="{00000000-0005-0000-0000-000000090000}"/>
    <cellStyle name="Comma 4 2 6 3 2 2 2" xfId="16019" xr:uid="{4254B2B9-BBDF-4F3E-8992-014DAE86949D}"/>
    <cellStyle name="Comma 4 2 6 3 2 3" xfId="11801" xr:uid="{0DA61785-7D2D-4CD7-BA99-9F7F870FB317}"/>
    <cellStyle name="Comma 4 2 6 3 3" xfId="5445" xr:uid="{00000000-0005-0000-0000-000001090000}"/>
    <cellStyle name="Comma 4 2 6 3 3 2" xfId="13874" xr:uid="{09267CC7-D7DC-4E0F-BD5B-E9B6FD9539FA}"/>
    <cellStyle name="Comma 4 2 6 3 4" xfId="9656" xr:uid="{939CFC81-4CBE-4121-9E1C-C2DCA5288B76}"/>
    <cellStyle name="Comma 4 2 6 4" xfId="1549" xr:uid="{00000000-0005-0000-0000-000002090000}"/>
    <cellStyle name="Comma 4 2 6 4 2" xfId="3779" xr:uid="{00000000-0005-0000-0000-000003090000}"/>
    <cellStyle name="Comma 4 2 6 4 2 2" xfId="8003" xr:uid="{00000000-0005-0000-0000-000004090000}"/>
    <cellStyle name="Comma 4 2 6 4 2 2 2" xfId="16432" xr:uid="{394C0307-D351-44EF-9F0B-8EDD09EEBCEA}"/>
    <cellStyle name="Comma 4 2 6 4 2 3" xfId="12214" xr:uid="{6D4D1184-56B1-453F-A5C1-8F51E169643E}"/>
    <cellStyle name="Comma 4 2 6 4 3" xfId="5858" xr:uid="{00000000-0005-0000-0000-000005090000}"/>
    <cellStyle name="Comma 4 2 6 4 3 2" xfId="14287" xr:uid="{4C57F641-3BE7-4C66-9033-90C898BF3D17}"/>
    <cellStyle name="Comma 4 2 6 4 4" xfId="10069" xr:uid="{67174A13-99C1-48D4-900D-BED8548F2951}"/>
    <cellStyle name="Comma 4 2 6 5" xfId="1963" xr:uid="{00000000-0005-0000-0000-000006090000}"/>
    <cellStyle name="Comma 4 2 6 5 2" xfId="4192" xr:uid="{00000000-0005-0000-0000-000007090000}"/>
    <cellStyle name="Comma 4 2 6 5 2 2" xfId="8416" xr:uid="{00000000-0005-0000-0000-000008090000}"/>
    <cellStyle name="Comma 4 2 6 5 2 2 2" xfId="16845" xr:uid="{7BE9137D-3D43-40AF-85A0-E2BD0E14921A}"/>
    <cellStyle name="Comma 4 2 6 5 2 3" xfId="12627" xr:uid="{21E8811F-0660-499C-9A72-3FFC270AEA8B}"/>
    <cellStyle name="Comma 4 2 6 5 3" xfId="6271" xr:uid="{00000000-0005-0000-0000-000009090000}"/>
    <cellStyle name="Comma 4 2 6 5 3 2" xfId="14700" xr:uid="{E823315D-FFEB-4089-8B7A-67E3C0F1EB75}"/>
    <cellStyle name="Comma 4 2 6 5 4" xfId="10482" xr:uid="{FB1FB422-C3B2-46FB-81CA-0975CE0BB5D0}"/>
    <cellStyle name="Comma 4 2 6 6" xfId="2398" xr:uid="{00000000-0005-0000-0000-00000A090000}"/>
    <cellStyle name="Comma 4 2 6 6 2" xfId="6684" xr:uid="{00000000-0005-0000-0000-00000B090000}"/>
    <cellStyle name="Comma 4 2 6 6 2 2" xfId="15113" xr:uid="{EBBF49B0-0E58-4704-926D-C924FED6023E}"/>
    <cellStyle name="Comma 4 2 6 6 3" xfId="10895" xr:uid="{39AD92CC-0E90-4A1E-A545-5B59B65F733A}"/>
    <cellStyle name="Comma 4 2 6 7" xfId="2367" xr:uid="{00000000-0005-0000-0000-00000C090000}"/>
    <cellStyle name="Comma 4 2 6 8" xfId="2776" xr:uid="{00000000-0005-0000-0000-00000D090000}"/>
    <cellStyle name="Comma 4 2 6 8 2" xfId="7001" xr:uid="{00000000-0005-0000-0000-00000E090000}"/>
    <cellStyle name="Comma 4 2 6 8 2 2" xfId="15430" xr:uid="{EEC1E057-A8E4-4272-85BC-F831A98EE1D4}"/>
    <cellStyle name="Comma 4 2 6 8 3" xfId="11212" xr:uid="{B1F3FFE0-EE4F-42CE-BBF4-CB7645F83326}"/>
    <cellStyle name="Comma 4 2 6 9" xfId="4618" xr:uid="{00000000-0005-0000-0000-00000F090000}"/>
    <cellStyle name="Comma 4 2 6 9 2" xfId="13047" xr:uid="{FD62D610-3D2A-4B23-B9F8-A6FFDBDDD4B6}"/>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2 2" xfId="15431" xr:uid="{D7EACED9-84A7-40FD-B9FF-40F6864CBC1C}"/>
    <cellStyle name="Comma 4 3 2 10 3" xfId="11213" xr:uid="{7A4E4970-E9F0-4355-A2A5-BA57C26F2EE1}"/>
    <cellStyle name="Comma 4 3 2 11" xfId="4619" xr:uid="{00000000-0005-0000-0000-000014090000}"/>
    <cellStyle name="Comma 4 3 2 11 2" xfId="13048" xr:uid="{4B1B24E6-D407-408F-887D-C66C5599E090}"/>
    <cellStyle name="Comma 4 3 2 12" xfId="8830" xr:uid="{1675B2DB-4901-4E4D-94BB-A9A478FBF6F7}"/>
    <cellStyle name="Comma 4 3 2 2" xfId="146" xr:uid="{00000000-0005-0000-0000-000015090000}"/>
    <cellStyle name="Comma 4 3 2 2 10" xfId="4620" xr:uid="{00000000-0005-0000-0000-000016090000}"/>
    <cellStyle name="Comma 4 3 2 2 10 2" xfId="13049" xr:uid="{444C65A5-CA1A-4A50-A205-78B4A612468D}"/>
    <cellStyle name="Comma 4 3 2 2 11" xfId="8831" xr:uid="{37B97A7F-3143-46B2-803A-1487659F1840}"/>
    <cellStyle name="Comma 4 3 2 2 2" xfId="147" xr:uid="{00000000-0005-0000-0000-000017090000}"/>
    <cellStyle name="Comma 4 3 2 2 2 10" xfId="8832" xr:uid="{0C1DD5A5-FF86-4282-8ABB-297106BCD211}"/>
    <cellStyle name="Comma 4 3 2 2 2 2" xfId="685" xr:uid="{00000000-0005-0000-0000-000018090000}"/>
    <cellStyle name="Comma 4 3 2 2 2 2 2" xfId="2956" xr:uid="{00000000-0005-0000-0000-000019090000}"/>
    <cellStyle name="Comma 4 3 2 2 2 2 2 2" xfId="7180" xr:uid="{00000000-0005-0000-0000-00001A090000}"/>
    <cellStyle name="Comma 4 3 2 2 2 2 2 2 2" xfId="15609" xr:uid="{02E1A5F1-1B61-438F-80D0-80B1B7B7C969}"/>
    <cellStyle name="Comma 4 3 2 2 2 2 2 3" xfId="11391" xr:uid="{45E731DE-5D04-4BD8-ABAA-C04BF1F5D4BA}"/>
    <cellStyle name="Comma 4 3 2 2 2 2 3" xfId="5035" xr:uid="{00000000-0005-0000-0000-00001B090000}"/>
    <cellStyle name="Comma 4 3 2 2 2 2 3 2" xfId="13464" xr:uid="{35C83327-728C-4D21-95E2-732DBDFE07BD}"/>
    <cellStyle name="Comma 4 3 2 2 2 2 4" xfId="9246" xr:uid="{27719285-D11F-4C7A-9E5C-7B114EC3A11E}"/>
    <cellStyle name="Comma 4 3 2 2 2 3" xfId="1138" xr:uid="{00000000-0005-0000-0000-00001C090000}"/>
    <cellStyle name="Comma 4 3 2 2 2 3 2" xfId="3369" xr:uid="{00000000-0005-0000-0000-00001D090000}"/>
    <cellStyle name="Comma 4 3 2 2 2 3 2 2" xfId="7593" xr:uid="{00000000-0005-0000-0000-00001E090000}"/>
    <cellStyle name="Comma 4 3 2 2 2 3 2 2 2" xfId="16022" xr:uid="{24B9E912-49BB-43E8-BD20-15382192FCF6}"/>
    <cellStyle name="Comma 4 3 2 2 2 3 2 3" xfId="11804" xr:uid="{B342196F-89A6-4948-BCF1-D48399137F3A}"/>
    <cellStyle name="Comma 4 3 2 2 2 3 3" xfId="5448" xr:uid="{00000000-0005-0000-0000-00001F090000}"/>
    <cellStyle name="Comma 4 3 2 2 2 3 3 2" xfId="13877" xr:uid="{3819B2BB-DF70-4E83-AE30-90CC6AEA6681}"/>
    <cellStyle name="Comma 4 3 2 2 2 3 4" xfId="9659" xr:uid="{7D6909F7-CC97-4082-B3DD-1C501EB52F1C}"/>
    <cellStyle name="Comma 4 3 2 2 2 4" xfId="1552" xr:uid="{00000000-0005-0000-0000-000020090000}"/>
    <cellStyle name="Comma 4 3 2 2 2 4 2" xfId="3782" xr:uid="{00000000-0005-0000-0000-000021090000}"/>
    <cellStyle name="Comma 4 3 2 2 2 4 2 2" xfId="8006" xr:uid="{00000000-0005-0000-0000-000022090000}"/>
    <cellStyle name="Comma 4 3 2 2 2 4 2 2 2" xfId="16435" xr:uid="{6D32719C-F272-47B6-BD22-4E4A887A4939}"/>
    <cellStyle name="Comma 4 3 2 2 2 4 2 3" xfId="12217" xr:uid="{0497EC91-C7DD-4567-B748-05B70E79A900}"/>
    <cellStyle name="Comma 4 3 2 2 2 4 3" xfId="5861" xr:uid="{00000000-0005-0000-0000-000023090000}"/>
    <cellStyle name="Comma 4 3 2 2 2 4 3 2" xfId="14290" xr:uid="{C395E03D-6E51-4CC6-9DEF-233FE7A5E319}"/>
    <cellStyle name="Comma 4 3 2 2 2 4 4" xfId="10072" xr:uid="{328F049E-D4EB-4F39-AF4F-E5A9BCF84BE4}"/>
    <cellStyle name="Comma 4 3 2 2 2 5" xfId="1966" xr:uid="{00000000-0005-0000-0000-000024090000}"/>
    <cellStyle name="Comma 4 3 2 2 2 5 2" xfId="4195" xr:uid="{00000000-0005-0000-0000-000025090000}"/>
    <cellStyle name="Comma 4 3 2 2 2 5 2 2" xfId="8419" xr:uid="{00000000-0005-0000-0000-000026090000}"/>
    <cellStyle name="Comma 4 3 2 2 2 5 2 2 2" xfId="16848" xr:uid="{6261E9BF-AC72-4848-95DE-C2E9E81EF0DB}"/>
    <cellStyle name="Comma 4 3 2 2 2 5 2 3" xfId="12630" xr:uid="{FCF00729-2B20-4E61-A43B-D37B2EFFDDAB}"/>
    <cellStyle name="Comma 4 3 2 2 2 5 3" xfId="6274" xr:uid="{00000000-0005-0000-0000-000027090000}"/>
    <cellStyle name="Comma 4 3 2 2 2 5 3 2" xfId="14703" xr:uid="{E16335CA-B7D7-4790-BB05-EB88794A3DF4}"/>
    <cellStyle name="Comma 4 3 2 2 2 5 4" xfId="10485" xr:uid="{C53532B6-5FB4-400C-A0EF-27DDBE1329E4}"/>
    <cellStyle name="Comma 4 3 2 2 2 6" xfId="2401" xr:uid="{00000000-0005-0000-0000-000028090000}"/>
    <cellStyle name="Comma 4 3 2 2 2 6 2" xfId="6687" xr:uid="{00000000-0005-0000-0000-000029090000}"/>
    <cellStyle name="Comma 4 3 2 2 2 6 2 2" xfId="15116" xr:uid="{5B96F4D6-D28E-44A0-B216-D0B983480EF3}"/>
    <cellStyle name="Comma 4 3 2 2 2 6 3" xfId="10898" xr:uid="{BB814DF7-78E5-4292-BE2A-13E149B80805}"/>
    <cellStyle name="Comma 4 3 2 2 2 7" xfId="2364" xr:uid="{00000000-0005-0000-0000-00002A090000}"/>
    <cellStyle name="Comma 4 3 2 2 2 8" xfId="2779" xr:uid="{00000000-0005-0000-0000-00002B090000}"/>
    <cellStyle name="Comma 4 3 2 2 2 8 2" xfId="7004" xr:uid="{00000000-0005-0000-0000-00002C090000}"/>
    <cellStyle name="Comma 4 3 2 2 2 8 2 2" xfId="15433" xr:uid="{5AB8006A-DBDE-4C38-A8B4-A6C642654000}"/>
    <cellStyle name="Comma 4 3 2 2 2 8 3" xfId="11215" xr:uid="{3F9130B8-AF04-4E5E-9BC9-09BC1BF0280A}"/>
    <cellStyle name="Comma 4 3 2 2 2 9" xfId="4621" xr:uid="{00000000-0005-0000-0000-00002D090000}"/>
    <cellStyle name="Comma 4 3 2 2 2 9 2" xfId="13050" xr:uid="{095761E7-DAC8-48B6-ACE2-825D331452E6}"/>
    <cellStyle name="Comma 4 3 2 2 3" xfId="684" xr:uid="{00000000-0005-0000-0000-00002E090000}"/>
    <cellStyle name="Comma 4 3 2 2 3 2" xfId="2955" xr:uid="{00000000-0005-0000-0000-00002F090000}"/>
    <cellStyle name="Comma 4 3 2 2 3 2 2" xfId="7179" xr:uid="{00000000-0005-0000-0000-000030090000}"/>
    <cellStyle name="Comma 4 3 2 2 3 2 2 2" xfId="15608" xr:uid="{AC83A5D8-576C-48A4-886D-5BD51D19D9CD}"/>
    <cellStyle name="Comma 4 3 2 2 3 2 3" xfId="11390" xr:uid="{0442EF3C-E5C1-4DBD-83DE-E8E564F89C05}"/>
    <cellStyle name="Comma 4 3 2 2 3 3" xfId="5034" xr:uid="{00000000-0005-0000-0000-000031090000}"/>
    <cellStyle name="Comma 4 3 2 2 3 3 2" xfId="13463" xr:uid="{73B9CA88-0115-4EB6-84AB-423027F7C9E1}"/>
    <cellStyle name="Comma 4 3 2 2 3 4" xfId="9245" xr:uid="{6720E731-593F-43F1-A1CB-372289DBCD99}"/>
    <cellStyle name="Comma 4 3 2 2 4" xfId="1137" xr:uid="{00000000-0005-0000-0000-000032090000}"/>
    <cellStyle name="Comma 4 3 2 2 4 2" xfId="3368" xr:uid="{00000000-0005-0000-0000-000033090000}"/>
    <cellStyle name="Comma 4 3 2 2 4 2 2" xfId="7592" xr:uid="{00000000-0005-0000-0000-000034090000}"/>
    <cellStyle name="Comma 4 3 2 2 4 2 2 2" xfId="16021" xr:uid="{B28B9702-3C90-4772-AECB-15F2B27BCF34}"/>
    <cellStyle name="Comma 4 3 2 2 4 2 3" xfId="11803" xr:uid="{7ABBA4B9-D1D2-4E82-AF7F-1D45A0E399B8}"/>
    <cellStyle name="Comma 4 3 2 2 4 3" xfId="5447" xr:uid="{00000000-0005-0000-0000-000035090000}"/>
    <cellStyle name="Comma 4 3 2 2 4 3 2" xfId="13876" xr:uid="{B93DCE29-6DAA-4DB5-A5E9-C5661ABA7938}"/>
    <cellStyle name="Comma 4 3 2 2 4 4" xfId="9658" xr:uid="{4872C348-5579-4AB8-A481-488B9D805137}"/>
    <cellStyle name="Comma 4 3 2 2 5" xfId="1551" xr:uid="{00000000-0005-0000-0000-000036090000}"/>
    <cellStyle name="Comma 4 3 2 2 5 2" xfId="3781" xr:uid="{00000000-0005-0000-0000-000037090000}"/>
    <cellStyle name="Comma 4 3 2 2 5 2 2" xfId="8005" xr:uid="{00000000-0005-0000-0000-000038090000}"/>
    <cellStyle name="Comma 4 3 2 2 5 2 2 2" xfId="16434" xr:uid="{5B2336F9-FF8F-46A0-889F-CF173E6AFDD3}"/>
    <cellStyle name="Comma 4 3 2 2 5 2 3" xfId="12216" xr:uid="{8203B8FE-A5F2-4A8A-B2C9-E9B47D35A182}"/>
    <cellStyle name="Comma 4 3 2 2 5 3" xfId="5860" xr:uid="{00000000-0005-0000-0000-000039090000}"/>
    <cellStyle name="Comma 4 3 2 2 5 3 2" xfId="14289" xr:uid="{E3BA2086-1D7D-4BB1-BA62-ACACF01E90A3}"/>
    <cellStyle name="Comma 4 3 2 2 5 4" xfId="10071" xr:uid="{CCF42A14-52FE-483C-836C-E8AF85D501A2}"/>
    <cellStyle name="Comma 4 3 2 2 6" xfId="1965" xr:uid="{00000000-0005-0000-0000-00003A090000}"/>
    <cellStyle name="Comma 4 3 2 2 6 2" xfId="4194" xr:uid="{00000000-0005-0000-0000-00003B090000}"/>
    <cellStyle name="Comma 4 3 2 2 6 2 2" xfId="8418" xr:uid="{00000000-0005-0000-0000-00003C090000}"/>
    <cellStyle name="Comma 4 3 2 2 6 2 2 2" xfId="16847" xr:uid="{5E59F55F-7931-4834-9946-B485CD21A475}"/>
    <cellStyle name="Comma 4 3 2 2 6 2 3" xfId="12629" xr:uid="{6B6EC7D8-F3AB-48BE-AD23-E82E4640D481}"/>
    <cellStyle name="Comma 4 3 2 2 6 3" xfId="6273" xr:uid="{00000000-0005-0000-0000-00003D090000}"/>
    <cellStyle name="Comma 4 3 2 2 6 3 2" xfId="14702" xr:uid="{C5494720-C6F2-494D-B524-5954427624FD}"/>
    <cellStyle name="Comma 4 3 2 2 6 4" xfId="10484" xr:uid="{32D513C2-8C77-44D5-A129-3DA02F142EB1}"/>
    <cellStyle name="Comma 4 3 2 2 7" xfId="2400" xr:uid="{00000000-0005-0000-0000-00003E090000}"/>
    <cellStyle name="Comma 4 3 2 2 7 2" xfId="6686" xr:uid="{00000000-0005-0000-0000-00003F090000}"/>
    <cellStyle name="Comma 4 3 2 2 7 2 2" xfId="15115" xr:uid="{17A0B21B-E5F2-4242-ABED-BA6467B15DC3}"/>
    <cellStyle name="Comma 4 3 2 2 7 3" xfId="10897" xr:uid="{47B751E3-E0B3-4CD7-9AE2-3ED9B08935AB}"/>
    <cellStyle name="Comma 4 3 2 2 8" xfId="2365" xr:uid="{00000000-0005-0000-0000-000040090000}"/>
    <cellStyle name="Comma 4 3 2 2 9" xfId="2778" xr:uid="{00000000-0005-0000-0000-000041090000}"/>
    <cellStyle name="Comma 4 3 2 2 9 2" xfId="7003" xr:uid="{00000000-0005-0000-0000-000042090000}"/>
    <cellStyle name="Comma 4 3 2 2 9 2 2" xfId="15432" xr:uid="{6BE0FC8B-8D3C-4D78-9711-F961A4D0D71E}"/>
    <cellStyle name="Comma 4 3 2 2 9 3" xfId="11214" xr:uid="{E6FBCA4A-A890-4D8F-B250-3FD9049D3DE7}"/>
    <cellStyle name="Comma 4 3 2 3" xfId="148" xr:uid="{00000000-0005-0000-0000-000043090000}"/>
    <cellStyle name="Comma 4 3 2 3 10" xfId="8833" xr:uid="{74752F78-DF9F-404A-8AB1-C9E7FE9713E3}"/>
    <cellStyle name="Comma 4 3 2 3 2" xfId="686" xr:uid="{00000000-0005-0000-0000-000044090000}"/>
    <cellStyle name="Comma 4 3 2 3 2 2" xfId="2957" xr:uid="{00000000-0005-0000-0000-000045090000}"/>
    <cellStyle name="Comma 4 3 2 3 2 2 2" xfId="7181" xr:uid="{00000000-0005-0000-0000-000046090000}"/>
    <cellStyle name="Comma 4 3 2 3 2 2 2 2" xfId="15610" xr:uid="{A333E934-6FEB-4858-B96B-2E1A9C9CCDBF}"/>
    <cellStyle name="Comma 4 3 2 3 2 2 3" xfId="11392" xr:uid="{D3A7AACE-3B67-4A77-BD75-BA62D4D69D13}"/>
    <cellStyle name="Comma 4 3 2 3 2 3" xfId="5036" xr:uid="{00000000-0005-0000-0000-000047090000}"/>
    <cellStyle name="Comma 4 3 2 3 2 3 2" xfId="13465" xr:uid="{2B83674C-1AB6-4FE0-B155-0E41323F7CAC}"/>
    <cellStyle name="Comma 4 3 2 3 2 4" xfId="9247" xr:uid="{2E74A7AB-215C-4333-BAE1-64AF993B4AAF}"/>
    <cellStyle name="Comma 4 3 2 3 3" xfId="1139" xr:uid="{00000000-0005-0000-0000-000048090000}"/>
    <cellStyle name="Comma 4 3 2 3 3 2" xfId="3370" xr:uid="{00000000-0005-0000-0000-000049090000}"/>
    <cellStyle name="Comma 4 3 2 3 3 2 2" xfId="7594" xr:uid="{00000000-0005-0000-0000-00004A090000}"/>
    <cellStyle name="Comma 4 3 2 3 3 2 2 2" xfId="16023" xr:uid="{EA002541-38ED-4216-AFCB-5FE278879BFE}"/>
    <cellStyle name="Comma 4 3 2 3 3 2 3" xfId="11805" xr:uid="{C5A67461-EAC9-49BD-99D2-3EA7B84BE2EE}"/>
    <cellStyle name="Comma 4 3 2 3 3 3" xfId="5449" xr:uid="{00000000-0005-0000-0000-00004B090000}"/>
    <cellStyle name="Comma 4 3 2 3 3 3 2" xfId="13878" xr:uid="{D27838F6-4A72-4DD9-BD3A-8F70827C958B}"/>
    <cellStyle name="Comma 4 3 2 3 3 4" xfId="9660" xr:uid="{B3B57961-B37D-405E-84F8-AF41AFF9DBDD}"/>
    <cellStyle name="Comma 4 3 2 3 4" xfId="1553" xr:uid="{00000000-0005-0000-0000-00004C090000}"/>
    <cellStyle name="Comma 4 3 2 3 4 2" xfId="3783" xr:uid="{00000000-0005-0000-0000-00004D090000}"/>
    <cellStyle name="Comma 4 3 2 3 4 2 2" xfId="8007" xr:uid="{00000000-0005-0000-0000-00004E090000}"/>
    <cellStyle name="Comma 4 3 2 3 4 2 2 2" xfId="16436" xr:uid="{2F54B1A3-2754-4F43-B672-A93B73969423}"/>
    <cellStyle name="Comma 4 3 2 3 4 2 3" xfId="12218" xr:uid="{9AA575D9-1F0A-49D8-8687-3FDB2B6C604A}"/>
    <cellStyle name="Comma 4 3 2 3 4 3" xfId="5862" xr:uid="{00000000-0005-0000-0000-00004F090000}"/>
    <cellStyle name="Comma 4 3 2 3 4 3 2" xfId="14291" xr:uid="{6C0582E5-8BA3-446D-B811-427362A4A750}"/>
    <cellStyle name="Comma 4 3 2 3 4 4" xfId="10073" xr:uid="{F072C92A-16B7-47E0-855B-010935AEDB23}"/>
    <cellStyle name="Comma 4 3 2 3 5" xfId="1967" xr:uid="{00000000-0005-0000-0000-000050090000}"/>
    <cellStyle name="Comma 4 3 2 3 5 2" xfId="4196" xr:uid="{00000000-0005-0000-0000-000051090000}"/>
    <cellStyle name="Comma 4 3 2 3 5 2 2" xfId="8420" xr:uid="{00000000-0005-0000-0000-000052090000}"/>
    <cellStyle name="Comma 4 3 2 3 5 2 2 2" xfId="16849" xr:uid="{65BA53B8-9D96-464A-A6F4-535CF47A21A3}"/>
    <cellStyle name="Comma 4 3 2 3 5 2 3" xfId="12631" xr:uid="{0BBD0EDE-145C-4F6F-988F-D8271F03F2A6}"/>
    <cellStyle name="Comma 4 3 2 3 5 3" xfId="6275" xr:uid="{00000000-0005-0000-0000-000053090000}"/>
    <cellStyle name="Comma 4 3 2 3 5 3 2" xfId="14704" xr:uid="{DFD9483F-1F7A-44BC-AB54-447AF0A8D95F}"/>
    <cellStyle name="Comma 4 3 2 3 5 4" xfId="10486" xr:uid="{E27B609A-FA09-411C-8DA7-A86048C1550C}"/>
    <cellStyle name="Comma 4 3 2 3 6" xfId="2402" xr:uid="{00000000-0005-0000-0000-000054090000}"/>
    <cellStyle name="Comma 4 3 2 3 6 2" xfId="6688" xr:uid="{00000000-0005-0000-0000-000055090000}"/>
    <cellStyle name="Comma 4 3 2 3 6 2 2" xfId="15117" xr:uid="{7A1E7BE7-2042-4D55-9BB2-937D8AC2C752}"/>
    <cellStyle name="Comma 4 3 2 3 6 3" xfId="10899" xr:uid="{9967DC44-FE5C-4A58-BC62-0FF2BA96FEC7}"/>
    <cellStyle name="Comma 4 3 2 3 7" xfId="2363" xr:uid="{00000000-0005-0000-0000-000056090000}"/>
    <cellStyle name="Comma 4 3 2 3 8" xfId="2780" xr:uid="{00000000-0005-0000-0000-000057090000}"/>
    <cellStyle name="Comma 4 3 2 3 8 2" xfId="7005" xr:uid="{00000000-0005-0000-0000-000058090000}"/>
    <cellStyle name="Comma 4 3 2 3 8 2 2" xfId="15434" xr:uid="{66E9A894-493B-4B63-8D48-CEE4D0C61369}"/>
    <cellStyle name="Comma 4 3 2 3 8 3" xfId="11216" xr:uid="{FD6B8407-F68A-4DB1-93C1-828F6322349B}"/>
    <cellStyle name="Comma 4 3 2 3 9" xfId="4622" xr:uid="{00000000-0005-0000-0000-000059090000}"/>
    <cellStyle name="Comma 4 3 2 3 9 2" xfId="13051" xr:uid="{867B9A4D-EB99-4B45-A3ED-32204ADC4EA9}"/>
    <cellStyle name="Comma 4 3 2 4" xfId="683" xr:uid="{00000000-0005-0000-0000-00005A090000}"/>
    <cellStyle name="Comma 4 3 2 4 2" xfId="2954" xr:uid="{00000000-0005-0000-0000-00005B090000}"/>
    <cellStyle name="Comma 4 3 2 4 2 2" xfId="7178" xr:uid="{00000000-0005-0000-0000-00005C090000}"/>
    <cellStyle name="Comma 4 3 2 4 2 2 2" xfId="15607" xr:uid="{791637DA-460C-47D4-9BCA-2D04F76AAD4F}"/>
    <cellStyle name="Comma 4 3 2 4 2 3" xfId="11389" xr:uid="{533282A3-366D-4B86-9F30-F94D4A865604}"/>
    <cellStyle name="Comma 4 3 2 4 3" xfId="5033" xr:uid="{00000000-0005-0000-0000-00005D090000}"/>
    <cellStyle name="Comma 4 3 2 4 3 2" xfId="13462" xr:uid="{29D54F15-6220-4BC7-9D50-2332C57BB7C3}"/>
    <cellStyle name="Comma 4 3 2 4 4" xfId="9244" xr:uid="{B0562698-8802-47C3-84A0-9337AC0AA593}"/>
    <cellStyle name="Comma 4 3 2 5" xfId="1136" xr:uid="{00000000-0005-0000-0000-00005E090000}"/>
    <cellStyle name="Comma 4 3 2 5 2" xfId="3367" xr:uid="{00000000-0005-0000-0000-00005F090000}"/>
    <cellStyle name="Comma 4 3 2 5 2 2" xfId="7591" xr:uid="{00000000-0005-0000-0000-000060090000}"/>
    <cellStyle name="Comma 4 3 2 5 2 2 2" xfId="16020" xr:uid="{73E59756-82B4-4235-96D9-9D6D28E07E75}"/>
    <cellStyle name="Comma 4 3 2 5 2 3" xfId="11802" xr:uid="{5BCE709E-CEFC-43CE-8E4C-7DC1D8BF6B13}"/>
    <cellStyle name="Comma 4 3 2 5 3" xfId="5446" xr:uid="{00000000-0005-0000-0000-000061090000}"/>
    <cellStyle name="Comma 4 3 2 5 3 2" xfId="13875" xr:uid="{8CD88366-8CEA-4C2B-B05A-22CD8979DD4A}"/>
    <cellStyle name="Comma 4 3 2 5 4" xfId="9657" xr:uid="{8EA3E953-D4A6-407E-AF9F-2BD3E66B2DCC}"/>
    <cellStyle name="Comma 4 3 2 6" xfId="1550" xr:uid="{00000000-0005-0000-0000-000062090000}"/>
    <cellStyle name="Comma 4 3 2 6 2" xfId="3780" xr:uid="{00000000-0005-0000-0000-000063090000}"/>
    <cellStyle name="Comma 4 3 2 6 2 2" xfId="8004" xr:uid="{00000000-0005-0000-0000-000064090000}"/>
    <cellStyle name="Comma 4 3 2 6 2 2 2" xfId="16433" xr:uid="{65C89400-F317-49A5-8B2E-572596D12B54}"/>
    <cellStyle name="Comma 4 3 2 6 2 3" xfId="12215" xr:uid="{14D0A6F6-9F02-43B5-8FF5-5C6CA31B005D}"/>
    <cellStyle name="Comma 4 3 2 6 3" xfId="5859" xr:uid="{00000000-0005-0000-0000-000065090000}"/>
    <cellStyle name="Comma 4 3 2 6 3 2" xfId="14288" xr:uid="{9DEC2D4A-EEEA-4EFF-9F0C-63AB7E1BF2C2}"/>
    <cellStyle name="Comma 4 3 2 6 4" xfId="10070" xr:uid="{8108071C-35D2-417C-B6F5-8FB030BE1C86}"/>
    <cellStyle name="Comma 4 3 2 7" xfId="1964" xr:uid="{00000000-0005-0000-0000-000066090000}"/>
    <cellStyle name="Comma 4 3 2 7 2" xfId="4193" xr:uid="{00000000-0005-0000-0000-000067090000}"/>
    <cellStyle name="Comma 4 3 2 7 2 2" xfId="8417" xr:uid="{00000000-0005-0000-0000-000068090000}"/>
    <cellStyle name="Comma 4 3 2 7 2 2 2" xfId="16846" xr:uid="{F05D3D87-14B2-4A8B-A409-47F47E81F039}"/>
    <cellStyle name="Comma 4 3 2 7 2 3" xfId="12628" xr:uid="{65BDB025-CEAA-4EED-9430-EC2F744AB7FD}"/>
    <cellStyle name="Comma 4 3 2 7 3" xfId="6272" xr:uid="{00000000-0005-0000-0000-000069090000}"/>
    <cellStyle name="Comma 4 3 2 7 3 2" xfId="14701" xr:uid="{B81EFA98-9810-4FB6-8A06-6052D4E12A81}"/>
    <cellStyle name="Comma 4 3 2 7 4" xfId="10483" xr:uid="{4D9D82B3-6899-4FEB-9CDC-AD466EB88D50}"/>
    <cellStyle name="Comma 4 3 2 8" xfId="2399" xr:uid="{00000000-0005-0000-0000-00006A090000}"/>
    <cellStyle name="Comma 4 3 2 8 2" xfId="6685" xr:uid="{00000000-0005-0000-0000-00006B090000}"/>
    <cellStyle name="Comma 4 3 2 8 2 2" xfId="15114" xr:uid="{93B9C2F6-1C3F-4231-9EED-4058A33D1023}"/>
    <cellStyle name="Comma 4 3 2 8 3" xfId="10896" xr:uid="{764A6A72-0592-4230-80A8-413F4C694093}"/>
    <cellStyle name="Comma 4 3 2 9" xfId="2366" xr:uid="{00000000-0005-0000-0000-00006C090000}"/>
    <cellStyle name="Comma 4 3 3" xfId="149" xr:uid="{00000000-0005-0000-0000-00006D090000}"/>
    <cellStyle name="Comma 4 3 3 10" xfId="4623" xr:uid="{00000000-0005-0000-0000-00006E090000}"/>
    <cellStyle name="Comma 4 3 3 10 2" xfId="13052" xr:uid="{3FAFFBCA-7F88-4B35-8781-3380878D4984}"/>
    <cellStyle name="Comma 4 3 3 11" xfId="8834" xr:uid="{73DEB241-DEAD-495E-879E-820C3C027988}"/>
    <cellStyle name="Comma 4 3 3 2" xfId="150" xr:uid="{00000000-0005-0000-0000-00006F090000}"/>
    <cellStyle name="Comma 4 3 3 2 10" xfId="8835" xr:uid="{1EE76140-72ED-43D9-86C8-2AB31867F6CB}"/>
    <cellStyle name="Comma 4 3 3 2 2" xfId="688" xr:uid="{00000000-0005-0000-0000-000070090000}"/>
    <cellStyle name="Comma 4 3 3 2 2 2" xfId="2959" xr:uid="{00000000-0005-0000-0000-000071090000}"/>
    <cellStyle name="Comma 4 3 3 2 2 2 2" xfId="7183" xr:uid="{00000000-0005-0000-0000-000072090000}"/>
    <cellStyle name="Comma 4 3 3 2 2 2 2 2" xfId="15612" xr:uid="{1849B218-465A-4507-8FD6-479FD080D40D}"/>
    <cellStyle name="Comma 4 3 3 2 2 2 3" xfId="11394" xr:uid="{6CEFA29C-9AC4-4F48-A18E-E6715F6F815E}"/>
    <cellStyle name="Comma 4 3 3 2 2 3" xfId="5038" xr:uid="{00000000-0005-0000-0000-000073090000}"/>
    <cellStyle name="Comma 4 3 3 2 2 3 2" xfId="13467" xr:uid="{490153AE-55CF-435B-BC7F-6F4A3A2AFB23}"/>
    <cellStyle name="Comma 4 3 3 2 2 4" xfId="9249" xr:uid="{5E40070B-A42E-41BB-AA75-452B717CEB75}"/>
    <cellStyle name="Comma 4 3 3 2 3" xfId="1141" xr:uid="{00000000-0005-0000-0000-000074090000}"/>
    <cellStyle name="Comma 4 3 3 2 3 2" xfId="3372" xr:uid="{00000000-0005-0000-0000-000075090000}"/>
    <cellStyle name="Comma 4 3 3 2 3 2 2" xfId="7596" xr:uid="{00000000-0005-0000-0000-000076090000}"/>
    <cellStyle name="Comma 4 3 3 2 3 2 2 2" xfId="16025" xr:uid="{63090B5C-1041-4CFD-9A69-FC1046E4047F}"/>
    <cellStyle name="Comma 4 3 3 2 3 2 3" xfId="11807" xr:uid="{73D62B0A-EACB-4F44-B773-426C4F702AD3}"/>
    <cellStyle name="Comma 4 3 3 2 3 3" xfId="5451" xr:uid="{00000000-0005-0000-0000-000077090000}"/>
    <cellStyle name="Comma 4 3 3 2 3 3 2" xfId="13880" xr:uid="{2DA49E4A-3BD1-419E-A238-A0D8F57A439D}"/>
    <cellStyle name="Comma 4 3 3 2 3 4" xfId="9662" xr:uid="{C221AB9E-7AA7-4FF8-BF9B-B7F6B5D62409}"/>
    <cellStyle name="Comma 4 3 3 2 4" xfId="1555" xr:uid="{00000000-0005-0000-0000-000078090000}"/>
    <cellStyle name="Comma 4 3 3 2 4 2" xfId="3785" xr:uid="{00000000-0005-0000-0000-000079090000}"/>
    <cellStyle name="Comma 4 3 3 2 4 2 2" xfId="8009" xr:uid="{00000000-0005-0000-0000-00007A090000}"/>
    <cellStyle name="Comma 4 3 3 2 4 2 2 2" xfId="16438" xr:uid="{DBBBA3E4-9341-4D46-A701-1D8B60C4BEED}"/>
    <cellStyle name="Comma 4 3 3 2 4 2 3" xfId="12220" xr:uid="{B2B8639A-5C6D-44DB-99A2-6AEE90890ED6}"/>
    <cellStyle name="Comma 4 3 3 2 4 3" xfId="5864" xr:uid="{00000000-0005-0000-0000-00007B090000}"/>
    <cellStyle name="Comma 4 3 3 2 4 3 2" xfId="14293" xr:uid="{FE72ECC6-7F70-48C5-91A7-97F946B0826E}"/>
    <cellStyle name="Comma 4 3 3 2 4 4" xfId="10075" xr:uid="{2ACD671A-B0C1-409B-B65A-06A029B08DBD}"/>
    <cellStyle name="Comma 4 3 3 2 5" xfId="1969" xr:uid="{00000000-0005-0000-0000-00007C090000}"/>
    <cellStyle name="Comma 4 3 3 2 5 2" xfId="4198" xr:uid="{00000000-0005-0000-0000-00007D090000}"/>
    <cellStyle name="Comma 4 3 3 2 5 2 2" xfId="8422" xr:uid="{00000000-0005-0000-0000-00007E090000}"/>
    <cellStyle name="Comma 4 3 3 2 5 2 2 2" xfId="16851" xr:uid="{F1E2FEF1-279C-4DA6-B402-0037BE712038}"/>
    <cellStyle name="Comma 4 3 3 2 5 2 3" xfId="12633" xr:uid="{E9680690-62ED-4664-B585-AABBC703C36C}"/>
    <cellStyle name="Comma 4 3 3 2 5 3" xfId="6277" xr:uid="{00000000-0005-0000-0000-00007F090000}"/>
    <cellStyle name="Comma 4 3 3 2 5 3 2" xfId="14706" xr:uid="{543C530B-EDF9-4619-91FD-A1469E23369E}"/>
    <cellStyle name="Comma 4 3 3 2 5 4" xfId="10488" xr:uid="{FD43FC7D-D7BF-4025-BFD4-2400F4694FAC}"/>
    <cellStyle name="Comma 4 3 3 2 6" xfId="2404" xr:uid="{00000000-0005-0000-0000-000080090000}"/>
    <cellStyle name="Comma 4 3 3 2 6 2" xfId="6690" xr:uid="{00000000-0005-0000-0000-000081090000}"/>
    <cellStyle name="Comma 4 3 3 2 6 2 2" xfId="15119" xr:uid="{0E163F9E-5E5C-4B62-8539-9F8B4AC9FA06}"/>
    <cellStyle name="Comma 4 3 3 2 6 3" xfId="10901" xr:uid="{68AF3336-06CA-4681-AC27-38624682B2AA}"/>
    <cellStyle name="Comma 4 3 3 2 7" xfId="2361" xr:uid="{00000000-0005-0000-0000-000082090000}"/>
    <cellStyle name="Comma 4 3 3 2 8" xfId="2782" xr:uid="{00000000-0005-0000-0000-000083090000}"/>
    <cellStyle name="Comma 4 3 3 2 8 2" xfId="7007" xr:uid="{00000000-0005-0000-0000-000084090000}"/>
    <cellStyle name="Comma 4 3 3 2 8 2 2" xfId="15436" xr:uid="{5D556A16-8385-4C91-AF5F-2FD46CEB20FC}"/>
    <cellStyle name="Comma 4 3 3 2 8 3" xfId="11218" xr:uid="{6912BD9E-00CF-4F6C-AB28-E0E486343351}"/>
    <cellStyle name="Comma 4 3 3 2 9" xfId="4624" xr:uid="{00000000-0005-0000-0000-000085090000}"/>
    <cellStyle name="Comma 4 3 3 2 9 2" xfId="13053" xr:uid="{2313F960-7048-4EDD-B10C-A62CC904F4FA}"/>
    <cellStyle name="Comma 4 3 3 3" xfId="687" xr:uid="{00000000-0005-0000-0000-000086090000}"/>
    <cellStyle name="Comma 4 3 3 3 2" xfId="2958" xr:uid="{00000000-0005-0000-0000-000087090000}"/>
    <cellStyle name="Comma 4 3 3 3 2 2" xfId="7182" xr:uid="{00000000-0005-0000-0000-000088090000}"/>
    <cellStyle name="Comma 4 3 3 3 2 2 2" xfId="15611" xr:uid="{46504FA9-FF75-40A6-8AA6-60E251DE0741}"/>
    <cellStyle name="Comma 4 3 3 3 2 3" xfId="11393" xr:uid="{C18DEB19-7399-4415-8F6A-300993356198}"/>
    <cellStyle name="Comma 4 3 3 3 3" xfId="5037" xr:uid="{00000000-0005-0000-0000-000089090000}"/>
    <cellStyle name="Comma 4 3 3 3 3 2" xfId="13466" xr:uid="{997E70FB-5113-41C2-861D-1E3004D2B5E9}"/>
    <cellStyle name="Comma 4 3 3 3 4" xfId="9248" xr:uid="{08FD9469-9E77-4FD0-AB98-0D63F6603CA0}"/>
    <cellStyle name="Comma 4 3 3 4" xfId="1140" xr:uid="{00000000-0005-0000-0000-00008A090000}"/>
    <cellStyle name="Comma 4 3 3 4 2" xfId="3371" xr:uid="{00000000-0005-0000-0000-00008B090000}"/>
    <cellStyle name="Comma 4 3 3 4 2 2" xfId="7595" xr:uid="{00000000-0005-0000-0000-00008C090000}"/>
    <cellStyle name="Comma 4 3 3 4 2 2 2" xfId="16024" xr:uid="{9F473E35-4947-49B3-90C3-F8A391671937}"/>
    <cellStyle name="Comma 4 3 3 4 2 3" xfId="11806" xr:uid="{29689BD2-280C-45BB-A3A3-DD1E3B7051BB}"/>
    <cellStyle name="Comma 4 3 3 4 3" xfId="5450" xr:uid="{00000000-0005-0000-0000-00008D090000}"/>
    <cellStyle name="Comma 4 3 3 4 3 2" xfId="13879" xr:uid="{5E0074CE-5697-493B-9092-46646A920740}"/>
    <cellStyle name="Comma 4 3 3 4 4" xfId="9661" xr:uid="{0C5EC273-1715-41C1-99A5-0C0E83B8D820}"/>
    <cellStyle name="Comma 4 3 3 5" xfId="1554" xr:uid="{00000000-0005-0000-0000-00008E090000}"/>
    <cellStyle name="Comma 4 3 3 5 2" xfId="3784" xr:uid="{00000000-0005-0000-0000-00008F090000}"/>
    <cellStyle name="Comma 4 3 3 5 2 2" xfId="8008" xr:uid="{00000000-0005-0000-0000-000090090000}"/>
    <cellStyle name="Comma 4 3 3 5 2 2 2" xfId="16437" xr:uid="{1D646B14-64D7-4900-9B1C-EBAE7A55C54D}"/>
    <cellStyle name="Comma 4 3 3 5 2 3" xfId="12219" xr:uid="{B18991C6-B311-46D6-8EFD-A6CC3F792D13}"/>
    <cellStyle name="Comma 4 3 3 5 3" xfId="5863" xr:uid="{00000000-0005-0000-0000-000091090000}"/>
    <cellStyle name="Comma 4 3 3 5 3 2" xfId="14292" xr:uid="{3B495757-39E5-438A-BE5C-85A67BB4C55C}"/>
    <cellStyle name="Comma 4 3 3 5 4" xfId="10074" xr:uid="{C51FA16C-42BF-47C4-98FB-FBF34579B421}"/>
    <cellStyle name="Comma 4 3 3 6" xfId="1968" xr:uid="{00000000-0005-0000-0000-000092090000}"/>
    <cellStyle name="Comma 4 3 3 6 2" xfId="4197" xr:uid="{00000000-0005-0000-0000-000093090000}"/>
    <cellStyle name="Comma 4 3 3 6 2 2" xfId="8421" xr:uid="{00000000-0005-0000-0000-000094090000}"/>
    <cellStyle name="Comma 4 3 3 6 2 2 2" xfId="16850" xr:uid="{CFFA5483-EC66-4AE2-A3FC-A85C0BD935AE}"/>
    <cellStyle name="Comma 4 3 3 6 2 3" xfId="12632" xr:uid="{653B6632-112A-4E0E-B2E2-65B55E82A7ED}"/>
    <cellStyle name="Comma 4 3 3 6 3" xfId="6276" xr:uid="{00000000-0005-0000-0000-000095090000}"/>
    <cellStyle name="Comma 4 3 3 6 3 2" xfId="14705" xr:uid="{AAD087DF-4076-4E25-864E-2F39F7283D34}"/>
    <cellStyle name="Comma 4 3 3 6 4" xfId="10487" xr:uid="{D0298558-736B-41B7-AB56-3BE3C482A441}"/>
    <cellStyle name="Comma 4 3 3 7" xfId="2403" xr:uid="{00000000-0005-0000-0000-000096090000}"/>
    <cellStyle name="Comma 4 3 3 7 2" xfId="6689" xr:uid="{00000000-0005-0000-0000-000097090000}"/>
    <cellStyle name="Comma 4 3 3 7 2 2" xfId="15118" xr:uid="{7CEB97D5-B959-4E1E-8EA8-CD8F3503839B}"/>
    <cellStyle name="Comma 4 3 3 7 3" xfId="10900" xr:uid="{18BD6633-2CC2-445E-BFF5-DE95818F8B94}"/>
    <cellStyle name="Comma 4 3 3 8" xfId="2362" xr:uid="{00000000-0005-0000-0000-000098090000}"/>
    <cellStyle name="Comma 4 3 3 9" xfId="2781" xr:uid="{00000000-0005-0000-0000-000099090000}"/>
    <cellStyle name="Comma 4 3 3 9 2" xfId="7006" xr:uid="{00000000-0005-0000-0000-00009A090000}"/>
    <cellStyle name="Comma 4 3 3 9 2 2" xfId="15435" xr:uid="{DD9597D7-8A71-4B3E-A0D3-DAE03C82540B}"/>
    <cellStyle name="Comma 4 3 3 9 3" xfId="11217" xr:uid="{AAA77FE1-9081-4FCE-BF10-0E1CE51A8484}"/>
    <cellStyle name="Comma 4 3 4" xfId="151" xr:uid="{00000000-0005-0000-0000-00009B090000}"/>
    <cellStyle name="Comma 4 3 4 10" xfId="8836" xr:uid="{0E041227-1192-43B4-A78F-C1970D8A9B96}"/>
    <cellStyle name="Comma 4 3 4 2" xfId="689" xr:uid="{00000000-0005-0000-0000-00009C090000}"/>
    <cellStyle name="Comma 4 3 4 2 2" xfId="2960" xr:uid="{00000000-0005-0000-0000-00009D090000}"/>
    <cellStyle name="Comma 4 3 4 2 2 2" xfId="7184" xr:uid="{00000000-0005-0000-0000-00009E090000}"/>
    <cellStyle name="Comma 4 3 4 2 2 2 2" xfId="15613" xr:uid="{618374C3-0058-4AE6-A6E3-2B786E50B31F}"/>
    <cellStyle name="Comma 4 3 4 2 2 3" xfId="11395" xr:uid="{7FE8824B-26F3-47DF-B5CC-2BA7B497375A}"/>
    <cellStyle name="Comma 4 3 4 2 3" xfId="5039" xr:uid="{00000000-0005-0000-0000-00009F090000}"/>
    <cellStyle name="Comma 4 3 4 2 3 2" xfId="13468" xr:uid="{FCCCB94A-EB4F-4CEA-A905-A42B0714FFE1}"/>
    <cellStyle name="Comma 4 3 4 2 4" xfId="9250" xr:uid="{DA03755D-6B6B-4B24-951A-DBF692532B4D}"/>
    <cellStyle name="Comma 4 3 4 3" xfId="1142" xr:uid="{00000000-0005-0000-0000-0000A0090000}"/>
    <cellStyle name="Comma 4 3 4 3 2" xfId="3373" xr:uid="{00000000-0005-0000-0000-0000A1090000}"/>
    <cellStyle name="Comma 4 3 4 3 2 2" xfId="7597" xr:uid="{00000000-0005-0000-0000-0000A2090000}"/>
    <cellStyle name="Comma 4 3 4 3 2 2 2" xfId="16026" xr:uid="{3E848D4F-2BF8-4AA9-A103-E910B29848D1}"/>
    <cellStyle name="Comma 4 3 4 3 2 3" xfId="11808" xr:uid="{ACEB00D9-B980-4809-A420-FC50D381DBAA}"/>
    <cellStyle name="Comma 4 3 4 3 3" xfId="5452" xr:uid="{00000000-0005-0000-0000-0000A3090000}"/>
    <cellStyle name="Comma 4 3 4 3 3 2" xfId="13881" xr:uid="{F5906873-44B9-49CB-8EF0-15C4F3BB63A8}"/>
    <cellStyle name="Comma 4 3 4 3 4" xfId="9663" xr:uid="{BB4AB672-6EC2-4585-A813-4A322653CAE4}"/>
    <cellStyle name="Comma 4 3 4 4" xfId="1556" xr:uid="{00000000-0005-0000-0000-0000A4090000}"/>
    <cellStyle name="Comma 4 3 4 4 2" xfId="3786" xr:uid="{00000000-0005-0000-0000-0000A5090000}"/>
    <cellStyle name="Comma 4 3 4 4 2 2" xfId="8010" xr:uid="{00000000-0005-0000-0000-0000A6090000}"/>
    <cellStyle name="Comma 4 3 4 4 2 2 2" xfId="16439" xr:uid="{9DBA0C71-27E5-439D-BF00-9955339BB77B}"/>
    <cellStyle name="Comma 4 3 4 4 2 3" xfId="12221" xr:uid="{D713A39D-89B8-4FDE-A6CF-308AE373EE78}"/>
    <cellStyle name="Comma 4 3 4 4 3" xfId="5865" xr:uid="{00000000-0005-0000-0000-0000A7090000}"/>
    <cellStyle name="Comma 4 3 4 4 3 2" xfId="14294" xr:uid="{9CC17A23-51C0-451E-9F36-CCA0A1F77C1E}"/>
    <cellStyle name="Comma 4 3 4 4 4" xfId="10076" xr:uid="{A71657DA-2E27-47CF-9A0F-AAC1CF70C392}"/>
    <cellStyle name="Comma 4 3 4 5" xfId="1970" xr:uid="{00000000-0005-0000-0000-0000A8090000}"/>
    <cellStyle name="Comma 4 3 4 5 2" xfId="4199" xr:uid="{00000000-0005-0000-0000-0000A9090000}"/>
    <cellStyle name="Comma 4 3 4 5 2 2" xfId="8423" xr:uid="{00000000-0005-0000-0000-0000AA090000}"/>
    <cellStyle name="Comma 4 3 4 5 2 2 2" xfId="16852" xr:uid="{63681BD2-D2A9-4BE1-92DC-AD71C6E8201C}"/>
    <cellStyle name="Comma 4 3 4 5 2 3" xfId="12634" xr:uid="{6AD7014A-8C5F-4508-B5A9-BD88FF20F1C5}"/>
    <cellStyle name="Comma 4 3 4 5 3" xfId="6278" xr:uid="{00000000-0005-0000-0000-0000AB090000}"/>
    <cellStyle name="Comma 4 3 4 5 3 2" xfId="14707" xr:uid="{2519EEDF-6B56-4E7C-8DDA-D971ED4E9398}"/>
    <cellStyle name="Comma 4 3 4 5 4" xfId="10489" xr:uid="{31F8E5E0-9E21-4D49-BC17-E9068E02774B}"/>
    <cellStyle name="Comma 4 3 4 6" xfId="2405" xr:uid="{00000000-0005-0000-0000-0000AC090000}"/>
    <cellStyle name="Comma 4 3 4 6 2" xfId="6691" xr:uid="{00000000-0005-0000-0000-0000AD090000}"/>
    <cellStyle name="Comma 4 3 4 6 2 2" xfId="15120" xr:uid="{0687114A-248E-41F2-B94D-02756D54EBFE}"/>
    <cellStyle name="Comma 4 3 4 6 3" xfId="10902" xr:uid="{635B980E-7EF1-469A-97A8-C11BA36EC38C}"/>
    <cellStyle name="Comma 4 3 4 7" xfId="2701" xr:uid="{00000000-0005-0000-0000-0000AE090000}"/>
    <cellStyle name="Comma 4 3 4 8" xfId="2783" xr:uid="{00000000-0005-0000-0000-0000AF090000}"/>
    <cellStyle name="Comma 4 3 4 8 2" xfId="7008" xr:uid="{00000000-0005-0000-0000-0000B0090000}"/>
    <cellStyle name="Comma 4 3 4 8 2 2" xfId="15437" xr:uid="{FC4BD9DA-BB48-48F5-BE0C-6343AEB9C93E}"/>
    <cellStyle name="Comma 4 3 4 8 3" xfId="11219" xr:uid="{FF548415-AF03-44D7-BBA4-E958A30EC071}"/>
    <cellStyle name="Comma 4 3 4 9" xfId="4625" xr:uid="{00000000-0005-0000-0000-0000B1090000}"/>
    <cellStyle name="Comma 4 3 4 9 2" xfId="13054" xr:uid="{CE1BDF67-6233-4950-95DF-2D3FA19BFD94}"/>
    <cellStyle name="Comma 4 3 5" xfId="152" xr:uid="{00000000-0005-0000-0000-0000B2090000}"/>
    <cellStyle name="Comma 4 3 5 10" xfId="8837" xr:uid="{BE884232-C267-485B-A6D6-751DEEB9B227}"/>
    <cellStyle name="Comma 4 3 5 2" xfId="690" xr:uid="{00000000-0005-0000-0000-0000B3090000}"/>
    <cellStyle name="Comma 4 3 5 2 2" xfId="2961" xr:uid="{00000000-0005-0000-0000-0000B4090000}"/>
    <cellStyle name="Comma 4 3 5 2 2 2" xfId="7185" xr:uid="{00000000-0005-0000-0000-0000B5090000}"/>
    <cellStyle name="Comma 4 3 5 2 2 2 2" xfId="15614" xr:uid="{05B2EA2E-1EE1-49C2-8D95-670A0BB67B9C}"/>
    <cellStyle name="Comma 4 3 5 2 2 3" xfId="11396" xr:uid="{3E90D038-0E93-47F9-A3DF-B4BAD7D6321A}"/>
    <cellStyle name="Comma 4 3 5 2 3" xfId="5040" xr:uid="{00000000-0005-0000-0000-0000B6090000}"/>
    <cellStyle name="Comma 4 3 5 2 3 2" xfId="13469" xr:uid="{DEFB55E4-E3C6-4818-8C8B-0BEFEC071045}"/>
    <cellStyle name="Comma 4 3 5 2 4" xfId="9251" xr:uid="{B4087326-68B7-46FA-9961-20C071B51B42}"/>
    <cellStyle name="Comma 4 3 5 3" xfId="1143" xr:uid="{00000000-0005-0000-0000-0000B7090000}"/>
    <cellStyle name="Comma 4 3 5 3 2" xfId="3374" xr:uid="{00000000-0005-0000-0000-0000B8090000}"/>
    <cellStyle name="Comma 4 3 5 3 2 2" xfId="7598" xr:uid="{00000000-0005-0000-0000-0000B9090000}"/>
    <cellStyle name="Comma 4 3 5 3 2 2 2" xfId="16027" xr:uid="{CED80445-2244-4D56-BA47-E8A916029DF7}"/>
    <cellStyle name="Comma 4 3 5 3 2 3" xfId="11809" xr:uid="{6250E963-A1CE-4BB5-B15E-FA0F486E690D}"/>
    <cellStyle name="Comma 4 3 5 3 3" xfId="5453" xr:uid="{00000000-0005-0000-0000-0000BA090000}"/>
    <cellStyle name="Comma 4 3 5 3 3 2" xfId="13882" xr:uid="{4FB92FB9-9FF3-4891-93DA-E6F05DF0914C}"/>
    <cellStyle name="Comma 4 3 5 3 4" xfId="9664" xr:uid="{1AC8C4AC-1F5B-47BC-8FC8-5A9E0B34FBB4}"/>
    <cellStyle name="Comma 4 3 5 4" xfId="1557" xr:uid="{00000000-0005-0000-0000-0000BB090000}"/>
    <cellStyle name="Comma 4 3 5 4 2" xfId="3787" xr:uid="{00000000-0005-0000-0000-0000BC090000}"/>
    <cellStyle name="Comma 4 3 5 4 2 2" xfId="8011" xr:uid="{00000000-0005-0000-0000-0000BD090000}"/>
    <cellStyle name="Comma 4 3 5 4 2 2 2" xfId="16440" xr:uid="{D439D177-7F19-42CB-8E71-DB2DC74BD60F}"/>
    <cellStyle name="Comma 4 3 5 4 2 3" xfId="12222" xr:uid="{0AE1F026-CA48-4C8C-9A4B-6D67A25D050B}"/>
    <cellStyle name="Comma 4 3 5 4 3" xfId="5866" xr:uid="{00000000-0005-0000-0000-0000BE090000}"/>
    <cellStyle name="Comma 4 3 5 4 3 2" xfId="14295" xr:uid="{AFEF07C5-F643-4D13-BA3B-5E318386B28A}"/>
    <cellStyle name="Comma 4 3 5 4 4" xfId="10077" xr:uid="{030B6431-F7CA-4C01-9592-007AC3A078BE}"/>
    <cellStyle name="Comma 4 3 5 5" xfId="1971" xr:uid="{00000000-0005-0000-0000-0000BF090000}"/>
    <cellStyle name="Comma 4 3 5 5 2" xfId="4200" xr:uid="{00000000-0005-0000-0000-0000C0090000}"/>
    <cellStyle name="Comma 4 3 5 5 2 2" xfId="8424" xr:uid="{00000000-0005-0000-0000-0000C1090000}"/>
    <cellStyle name="Comma 4 3 5 5 2 2 2" xfId="16853" xr:uid="{17D19590-8173-4287-A0E4-C320EF302ECE}"/>
    <cellStyle name="Comma 4 3 5 5 2 3" xfId="12635" xr:uid="{26A14892-CBC2-4DE4-9658-FCDB23F4DAA6}"/>
    <cellStyle name="Comma 4 3 5 5 3" xfId="6279" xr:uid="{00000000-0005-0000-0000-0000C2090000}"/>
    <cellStyle name="Comma 4 3 5 5 3 2" xfId="14708" xr:uid="{E00AD99A-386A-4149-9D19-6D56EAD5087A}"/>
    <cellStyle name="Comma 4 3 5 5 4" xfId="10490" xr:uid="{E561E733-0812-41D9-9ABA-29F683B7053E}"/>
    <cellStyle name="Comma 4 3 5 6" xfId="2406" xr:uid="{00000000-0005-0000-0000-0000C3090000}"/>
    <cellStyle name="Comma 4 3 5 6 2" xfId="6692" xr:uid="{00000000-0005-0000-0000-0000C4090000}"/>
    <cellStyle name="Comma 4 3 5 6 2 2" xfId="15121" xr:uid="{FBC939C5-D741-465C-A9C6-CB4C3A16AB6A}"/>
    <cellStyle name="Comma 4 3 5 6 3" xfId="10903" xr:uid="{89E674D2-D46D-4BF8-A90E-AA86B7CC00B0}"/>
    <cellStyle name="Comma 4 3 5 7" xfId="2702" xr:uid="{00000000-0005-0000-0000-0000C5090000}"/>
    <cellStyle name="Comma 4 3 5 8" xfId="2784" xr:uid="{00000000-0005-0000-0000-0000C6090000}"/>
    <cellStyle name="Comma 4 3 5 8 2" xfId="7009" xr:uid="{00000000-0005-0000-0000-0000C7090000}"/>
    <cellStyle name="Comma 4 3 5 8 2 2" xfId="15438" xr:uid="{CCCCE2BB-D0B3-4AAD-8EEB-2296106D60C4}"/>
    <cellStyle name="Comma 4 3 5 8 3" xfId="11220" xr:uid="{07D2510E-5308-43A8-B700-4F4A7FA7B0B0}"/>
    <cellStyle name="Comma 4 3 5 9" xfId="4626" xr:uid="{00000000-0005-0000-0000-0000C8090000}"/>
    <cellStyle name="Comma 4 3 5 9 2" xfId="13055" xr:uid="{1DE3FB02-9CA8-4969-B9A4-8CF7DF0D93F1}"/>
    <cellStyle name="Comma 4 4" xfId="153" xr:uid="{00000000-0005-0000-0000-0000C9090000}"/>
    <cellStyle name="Comma 4 4 10" xfId="2785" xr:uid="{00000000-0005-0000-0000-0000CA090000}"/>
    <cellStyle name="Comma 4 4 10 2" xfId="7010" xr:uid="{00000000-0005-0000-0000-0000CB090000}"/>
    <cellStyle name="Comma 4 4 10 2 2" xfId="15439" xr:uid="{F88B84CC-D117-401A-A25A-E9F01F7C19F4}"/>
    <cellStyle name="Comma 4 4 10 3" xfId="11221" xr:uid="{D6B81CEA-4CAD-4C6B-BA7F-2095DA4CF0A8}"/>
    <cellStyle name="Comma 4 4 11" xfId="4627" xr:uid="{00000000-0005-0000-0000-0000CC090000}"/>
    <cellStyle name="Comma 4 4 11 2" xfId="13056" xr:uid="{9F6B4F2E-139E-4638-B455-B6615D016255}"/>
    <cellStyle name="Comma 4 4 12" xfId="8838" xr:uid="{147D3CA2-5701-4437-B344-3DFD6DF937C6}"/>
    <cellStyle name="Comma 4 4 2" xfId="154" xr:uid="{00000000-0005-0000-0000-0000CD090000}"/>
    <cellStyle name="Comma 4 4 2 10" xfId="4628" xr:uid="{00000000-0005-0000-0000-0000CE090000}"/>
    <cellStyle name="Comma 4 4 2 10 2" xfId="13057" xr:uid="{D5819DA4-A28A-447A-A110-DCF5D5157DD4}"/>
    <cellStyle name="Comma 4 4 2 11" xfId="8839" xr:uid="{2B9F7E4C-3D97-4902-A1C8-A29A92CEC963}"/>
    <cellStyle name="Comma 4 4 2 2" xfId="155" xr:uid="{00000000-0005-0000-0000-0000CF090000}"/>
    <cellStyle name="Comma 4 4 2 2 10" xfId="8840" xr:uid="{8CFB319C-8829-4637-9A6E-9344F0889FBE}"/>
    <cellStyle name="Comma 4 4 2 2 2" xfId="693" xr:uid="{00000000-0005-0000-0000-0000D0090000}"/>
    <cellStyle name="Comma 4 4 2 2 2 2" xfId="2964" xr:uid="{00000000-0005-0000-0000-0000D1090000}"/>
    <cellStyle name="Comma 4 4 2 2 2 2 2" xfId="7188" xr:uid="{00000000-0005-0000-0000-0000D2090000}"/>
    <cellStyle name="Comma 4 4 2 2 2 2 2 2" xfId="15617" xr:uid="{E44D0262-195D-4333-ABC8-33ED3158D17B}"/>
    <cellStyle name="Comma 4 4 2 2 2 2 3" xfId="11399" xr:uid="{E6DC40D2-55FF-41F3-A2BD-FC22EF4D6001}"/>
    <cellStyle name="Comma 4 4 2 2 2 3" xfId="5043" xr:uid="{00000000-0005-0000-0000-0000D3090000}"/>
    <cellStyle name="Comma 4 4 2 2 2 3 2" xfId="13472" xr:uid="{CF4820CA-D1DC-4331-954E-1FC923DDE404}"/>
    <cellStyle name="Comma 4 4 2 2 2 4" xfId="9254" xr:uid="{E4893348-F04D-4399-88D5-02D37A00D537}"/>
    <cellStyle name="Comma 4 4 2 2 3" xfId="1146" xr:uid="{00000000-0005-0000-0000-0000D4090000}"/>
    <cellStyle name="Comma 4 4 2 2 3 2" xfId="3377" xr:uid="{00000000-0005-0000-0000-0000D5090000}"/>
    <cellStyle name="Comma 4 4 2 2 3 2 2" xfId="7601" xr:uid="{00000000-0005-0000-0000-0000D6090000}"/>
    <cellStyle name="Comma 4 4 2 2 3 2 2 2" xfId="16030" xr:uid="{0C2FB986-8C34-4064-9E83-A7F8246F2DFF}"/>
    <cellStyle name="Comma 4 4 2 2 3 2 3" xfId="11812" xr:uid="{DA8CB50B-FC40-498C-B102-BBC9D27FA0B5}"/>
    <cellStyle name="Comma 4 4 2 2 3 3" xfId="5456" xr:uid="{00000000-0005-0000-0000-0000D7090000}"/>
    <cellStyle name="Comma 4 4 2 2 3 3 2" xfId="13885" xr:uid="{A3892ED9-5695-4C8C-9DE1-1596DAD67628}"/>
    <cellStyle name="Comma 4 4 2 2 3 4" xfId="9667" xr:uid="{35473ADD-C830-4D9A-B86F-717C8A1F78D1}"/>
    <cellStyle name="Comma 4 4 2 2 4" xfId="1560" xr:uid="{00000000-0005-0000-0000-0000D8090000}"/>
    <cellStyle name="Comma 4 4 2 2 4 2" xfId="3790" xr:uid="{00000000-0005-0000-0000-0000D9090000}"/>
    <cellStyle name="Comma 4 4 2 2 4 2 2" xfId="8014" xr:uid="{00000000-0005-0000-0000-0000DA090000}"/>
    <cellStyle name="Comma 4 4 2 2 4 2 2 2" xfId="16443" xr:uid="{FE66F3A1-A40D-487A-BE70-0B930F6187BE}"/>
    <cellStyle name="Comma 4 4 2 2 4 2 3" xfId="12225" xr:uid="{C1986AB2-66CD-4EE1-A292-916037B9F4B9}"/>
    <cellStyle name="Comma 4 4 2 2 4 3" xfId="5869" xr:uid="{00000000-0005-0000-0000-0000DB090000}"/>
    <cellStyle name="Comma 4 4 2 2 4 3 2" xfId="14298" xr:uid="{062E3098-D280-4C4A-AEDD-9141130F1E5F}"/>
    <cellStyle name="Comma 4 4 2 2 4 4" xfId="10080" xr:uid="{5E9CE868-522F-4FEE-BE71-8F7798BCA74C}"/>
    <cellStyle name="Comma 4 4 2 2 5" xfId="1974" xr:uid="{00000000-0005-0000-0000-0000DC090000}"/>
    <cellStyle name="Comma 4 4 2 2 5 2" xfId="4203" xr:uid="{00000000-0005-0000-0000-0000DD090000}"/>
    <cellStyle name="Comma 4 4 2 2 5 2 2" xfId="8427" xr:uid="{00000000-0005-0000-0000-0000DE090000}"/>
    <cellStyle name="Comma 4 4 2 2 5 2 2 2" xfId="16856" xr:uid="{3334A30F-A4B7-4A03-89AB-1380C4F4D74A}"/>
    <cellStyle name="Comma 4 4 2 2 5 2 3" xfId="12638" xr:uid="{2E18E519-8F86-4C9C-A157-9DBEDC6D806D}"/>
    <cellStyle name="Comma 4 4 2 2 5 3" xfId="6282" xr:uid="{00000000-0005-0000-0000-0000DF090000}"/>
    <cellStyle name="Comma 4 4 2 2 5 3 2" xfId="14711" xr:uid="{F14B2D3D-9F21-4695-8886-758D6511D0DB}"/>
    <cellStyle name="Comma 4 4 2 2 5 4" xfId="10493" xr:uid="{489F72C4-D77F-4074-9C35-D6038558A130}"/>
    <cellStyle name="Comma 4 4 2 2 6" xfId="2409" xr:uid="{00000000-0005-0000-0000-0000E0090000}"/>
    <cellStyle name="Comma 4 4 2 2 6 2" xfId="6695" xr:uid="{00000000-0005-0000-0000-0000E1090000}"/>
    <cellStyle name="Comma 4 4 2 2 6 2 2" xfId="15124" xr:uid="{21EADB7F-0988-4B65-A273-4750CC4CC232}"/>
    <cellStyle name="Comma 4 4 2 2 6 3" xfId="10906" xr:uid="{C6354A36-20F3-4DF2-8B86-E1BE7F4EF0BD}"/>
    <cellStyle name="Comma 4 4 2 2 7" xfId="2705" xr:uid="{00000000-0005-0000-0000-0000E2090000}"/>
    <cellStyle name="Comma 4 4 2 2 8" xfId="2787" xr:uid="{00000000-0005-0000-0000-0000E3090000}"/>
    <cellStyle name="Comma 4 4 2 2 8 2" xfId="7012" xr:uid="{00000000-0005-0000-0000-0000E4090000}"/>
    <cellStyle name="Comma 4 4 2 2 8 2 2" xfId="15441" xr:uid="{F18F6FB6-C6A2-43FB-8E01-AFC53295A506}"/>
    <cellStyle name="Comma 4 4 2 2 8 3" xfId="11223" xr:uid="{FE0EB13D-DB5E-446F-9B07-F4421D6D3168}"/>
    <cellStyle name="Comma 4 4 2 2 9" xfId="4629" xr:uid="{00000000-0005-0000-0000-0000E5090000}"/>
    <cellStyle name="Comma 4 4 2 2 9 2" xfId="13058" xr:uid="{9C3C883F-9255-441D-A418-536E38DC60F9}"/>
    <cellStyle name="Comma 4 4 2 3" xfId="692" xr:uid="{00000000-0005-0000-0000-0000E6090000}"/>
    <cellStyle name="Comma 4 4 2 3 2" xfId="2963" xr:uid="{00000000-0005-0000-0000-0000E7090000}"/>
    <cellStyle name="Comma 4 4 2 3 2 2" xfId="7187" xr:uid="{00000000-0005-0000-0000-0000E8090000}"/>
    <cellStyle name="Comma 4 4 2 3 2 2 2" xfId="15616" xr:uid="{38DE7721-A15F-4324-AFB8-B491C5135C13}"/>
    <cellStyle name="Comma 4 4 2 3 2 3" xfId="11398" xr:uid="{A99041DB-FFA9-42FA-A189-02042AD93A4A}"/>
    <cellStyle name="Comma 4 4 2 3 3" xfId="5042" xr:uid="{00000000-0005-0000-0000-0000E9090000}"/>
    <cellStyle name="Comma 4 4 2 3 3 2" xfId="13471" xr:uid="{D182C757-2025-42D9-BBF7-5FC5624A2A5C}"/>
    <cellStyle name="Comma 4 4 2 3 4" xfId="9253" xr:uid="{87E28E58-2AAD-4EC0-9F45-67F0AFC00BB9}"/>
    <cellStyle name="Comma 4 4 2 4" xfId="1145" xr:uid="{00000000-0005-0000-0000-0000EA090000}"/>
    <cellStyle name="Comma 4 4 2 4 2" xfId="3376" xr:uid="{00000000-0005-0000-0000-0000EB090000}"/>
    <cellStyle name="Comma 4 4 2 4 2 2" xfId="7600" xr:uid="{00000000-0005-0000-0000-0000EC090000}"/>
    <cellStyle name="Comma 4 4 2 4 2 2 2" xfId="16029" xr:uid="{9E34ADDB-32B4-460F-A308-F39811AFDC96}"/>
    <cellStyle name="Comma 4 4 2 4 2 3" xfId="11811" xr:uid="{E56C4822-1A27-4E81-9822-B1DD8C88CC42}"/>
    <cellStyle name="Comma 4 4 2 4 3" xfId="5455" xr:uid="{00000000-0005-0000-0000-0000ED090000}"/>
    <cellStyle name="Comma 4 4 2 4 3 2" xfId="13884" xr:uid="{74441601-E31A-46C4-ACA7-BA00F1930474}"/>
    <cellStyle name="Comma 4 4 2 4 4" xfId="9666" xr:uid="{FDCDA1A3-9165-4CAB-9D49-910CEEA54A97}"/>
    <cellStyle name="Comma 4 4 2 5" xfId="1559" xr:uid="{00000000-0005-0000-0000-0000EE090000}"/>
    <cellStyle name="Comma 4 4 2 5 2" xfId="3789" xr:uid="{00000000-0005-0000-0000-0000EF090000}"/>
    <cellStyle name="Comma 4 4 2 5 2 2" xfId="8013" xr:uid="{00000000-0005-0000-0000-0000F0090000}"/>
    <cellStyle name="Comma 4 4 2 5 2 2 2" xfId="16442" xr:uid="{F53F81F7-9908-4BE9-86E5-197EA0907071}"/>
    <cellStyle name="Comma 4 4 2 5 2 3" xfId="12224" xr:uid="{D71156DA-50A6-457E-B14E-D8416BCC79E4}"/>
    <cellStyle name="Comma 4 4 2 5 3" xfId="5868" xr:uid="{00000000-0005-0000-0000-0000F1090000}"/>
    <cellStyle name="Comma 4 4 2 5 3 2" xfId="14297" xr:uid="{06FA4433-53B0-436C-9181-631FB4184A82}"/>
    <cellStyle name="Comma 4 4 2 5 4" xfId="10079" xr:uid="{16D292B1-3587-47BD-9E4A-3D319230A859}"/>
    <cellStyle name="Comma 4 4 2 6" xfId="1973" xr:uid="{00000000-0005-0000-0000-0000F2090000}"/>
    <cellStyle name="Comma 4 4 2 6 2" xfId="4202" xr:uid="{00000000-0005-0000-0000-0000F3090000}"/>
    <cellStyle name="Comma 4 4 2 6 2 2" xfId="8426" xr:uid="{00000000-0005-0000-0000-0000F4090000}"/>
    <cellStyle name="Comma 4 4 2 6 2 2 2" xfId="16855" xr:uid="{4009AADB-84B4-4776-84D2-BC33F7741419}"/>
    <cellStyle name="Comma 4 4 2 6 2 3" xfId="12637" xr:uid="{E71E8B80-9448-4334-AD3F-59909B5D686B}"/>
    <cellStyle name="Comma 4 4 2 6 3" xfId="6281" xr:uid="{00000000-0005-0000-0000-0000F5090000}"/>
    <cellStyle name="Comma 4 4 2 6 3 2" xfId="14710" xr:uid="{A5520CB3-A088-47A2-B716-1F1B9879C09D}"/>
    <cellStyle name="Comma 4 4 2 6 4" xfId="10492" xr:uid="{150A753B-0525-48F3-A2EA-08B64F694F10}"/>
    <cellStyle name="Comma 4 4 2 7" xfId="2408" xr:uid="{00000000-0005-0000-0000-0000F6090000}"/>
    <cellStyle name="Comma 4 4 2 7 2" xfId="6694" xr:uid="{00000000-0005-0000-0000-0000F7090000}"/>
    <cellStyle name="Comma 4 4 2 7 2 2" xfId="15123" xr:uid="{E52FCF9C-B9F8-43FD-BC3A-16877BEDDCF5}"/>
    <cellStyle name="Comma 4 4 2 7 3" xfId="10905" xr:uid="{CD20C904-1819-4DA7-A936-61EFF6009C57}"/>
    <cellStyle name="Comma 4 4 2 8" xfId="2704" xr:uid="{00000000-0005-0000-0000-0000F8090000}"/>
    <cellStyle name="Comma 4 4 2 9" xfId="2786" xr:uid="{00000000-0005-0000-0000-0000F9090000}"/>
    <cellStyle name="Comma 4 4 2 9 2" xfId="7011" xr:uid="{00000000-0005-0000-0000-0000FA090000}"/>
    <cellStyle name="Comma 4 4 2 9 2 2" xfId="15440" xr:uid="{5899CAA4-90FF-455C-96A1-C3310817E81C}"/>
    <cellStyle name="Comma 4 4 2 9 3" xfId="11222" xr:uid="{4F4534E4-72DC-4A0F-A7C4-25035831789A}"/>
    <cellStyle name="Comma 4 4 3" xfId="156" xr:uid="{00000000-0005-0000-0000-0000FB090000}"/>
    <cellStyle name="Comma 4 4 3 10" xfId="8841" xr:uid="{673E65EB-0590-486E-B48C-196289CCDCA1}"/>
    <cellStyle name="Comma 4 4 3 2" xfId="694" xr:uid="{00000000-0005-0000-0000-0000FC090000}"/>
    <cellStyle name="Comma 4 4 3 2 2" xfId="2965" xr:uid="{00000000-0005-0000-0000-0000FD090000}"/>
    <cellStyle name="Comma 4 4 3 2 2 2" xfId="7189" xr:uid="{00000000-0005-0000-0000-0000FE090000}"/>
    <cellStyle name="Comma 4 4 3 2 2 2 2" xfId="15618" xr:uid="{09CA2FBC-3B1D-4662-B793-A91FE61568F1}"/>
    <cellStyle name="Comma 4 4 3 2 2 3" xfId="11400" xr:uid="{6D38D52C-F7F0-497C-ADB2-BA3297FCB6DA}"/>
    <cellStyle name="Comma 4 4 3 2 3" xfId="5044" xr:uid="{00000000-0005-0000-0000-0000FF090000}"/>
    <cellStyle name="Comma 4 4 3 2 3 2" xfId="13473" xr:uid="{5A5D88F9-A753-44AB-A840-E78B987F9F5F}"/>
    <cellStyle name="Comma 4 4 3 2 4" xfId="9255" xr:uid="{EFB64BED-2C73-4A59-A62E-2D20EDF02A71}"/>
    <cellStyle name="Comma 4 4 3 3" xfId="1147" xr:uid="{00000000-0005-0000-0000-0000000A0000}"/>
    <cellStyle name="Comma 4 4 3 3 2" xfId="3378" xr:uid="{00000000-0005-0000-0000-0000010A0000}"/>
    <cellStyle name="Comma 4 4 3 3 2 2" xfId="7602" xr:uid="{00000000-0005-0000-0000-0000020A0000}"/>
    <cellStyle name="Comma 4 4 3 3 2 2 2" xfId="16031" xr:uid="{AED8B542-3D45-467F-94B2-E3FDAE1966E8}"/>
    <cellStyle name="Comma 4 4 3 3 2 3" xfId="11813" xr:uid="{0C019D78-8C2E-4352-838B-4985864247D4}"/>
    <cellStyle name="Comma 4 4 3 3 3" xfId="5457" xr:uid="{00000000-0005-0000-0000-0000030A0000}"/>
    <cellStyle name="Comma 4 4 3 3 3 2" xfId="13886" xr:uid="{C75954FD-BA6E-4D7A-8173-04E280AC6F96}"/>
    <cellStyle name="Comma 4 4 3 3 4" xfId="9668" xr:uid="{B605225B-AE86-4BD8-B0CA-53976A9C2B0F}"/>
    <cellStyle name="Comma 4 4 3 4" xfId="1561" xr:uid="{00000000-0005-0000-0000-0000040A0000}"/>
    <cellStyle name="Comma 4 4 3 4 2" xfId="3791" xr:uid="{00000000-0005-0000-0000-0000050A0000}"/>
    <cellStyle name="Comma 4 4 3 4 2 2" xfId="8015" xr:uid="{00000000-0005-0000-0000-0000060A0000}"/>
    <cellStyle name="Comma 4 4 3 4 2 2 2" xfId="16444" xr:uid="{0F3B67B6-115B-4C09-8DE3-FB6FBF763D35}"/>
    <cellStyle name="Comma 4 4 3 4 2 3" xfId="12226" xr:uid="{EAAD6665-336B-44A2-A768-3DEA988895FC}"/>
    <cellStyle name="Comma 4 4 3 4 3" xfId="5870" xr:uid="{00000000-0005-0000-0000-0000070A0000}"/>
    <cellStyle name="Comma 4 4 3 4 3 2" xfId="14299" xr:uid="{1B4E2445-4676-4C31-BEF1-CFC92F97D144}"/>
    <cellStyle name="Comma 4 4 3 4 4" xfId="10081" xr:uid="{32EF7D11-7E8E-4DE4-9DA3-D2973E3EBB12}"/>
    <cellStyle name="Comma 4 4 3 5" xfId="1975" xr:uid="{00000000-0005-0000-0000-0000080A0000}"/>
    <cellStyle name="Comma 4 4 3 5 2" xfId="4204" xr:uid="{00000000-0005-0000-0000-0000090A0000}"/>
    <cellStyle name="Comma 4 4 3 5 2 2" xfId="8428" xr:uid="{00000000-0005-0000-0000-00000A0A0000}"/>
    <cellStyle name="Comma 4 4 3 5 2 2 2" xfId="16857" xr:uid="{5319D1EF-A847-4243-8B79-26DECECB97E2}"/>
    <cellStyle name="Comma 4 4 3 5 2 3" xfId="12639" xr:uid="{F2AA7301-7C70-4044-A092-D04BBAA0340C}"/>
    <cellStyle name="Comma 4 4 3 5 3" xfId="6283" xr:uid="{00000000-0005-0000-0000-00000B0A0000}"/>
    <cellStyle name="Comma 4 4 3 5 3 2" xfId="14712" xr:uid="{49A6B186-9EC9-4745-A2EF-F1312F0E4155}"/>
    <cellStyle name="Comma 4 4 3 5 4" xfId="10494" xr:uid="{D149BBCF-A18B-4B99-ABBC-859C73DC0DCB}"/>
    <cellStyle name="Comma 4 4 3 6" xfId="2410" xr:uid="{00000000-0005-0000-0000-00000C0A0000}"/>
    <cellStyle name="Comma 4 4 3 6 2" xfId="6696" xr:uid="{00000000-0005-0000-0000-00000D0A0000}"/>
    <cellStyle name="Comma 4 4 3 6 2 2" xfId="15125" xr:uid="{F68F8EC7-A662-41F0-960D-07C7E10CE96D}"/>
    <cellStyle name="Comma 4 4 3 6 3" xfId="10907" xr:uid="{9F4ABF39-9CE5-4030-B2EC-57F1FDD42099}"/>
    <cellStyle name="Comma 4 4 3 7" xfId="2706" xr:uid="{00000000-0005-0000-0000-00000E0A0000}"/>
    <cellStyle name="Comma 4 4 3 8" xfId="2788" xr:uid="{00000000-0005-0000-0000-00000F0A0000}"/>
    <cellStyle name="Comma 4 4 3 8 2" xfId="7013" xr:uid="{00000000-0005-0000-0000-0000100A0000}"/>
    <cellStyle name="Comma 4 4 3 8 2 2" xfId="15442" xr:uid="{6851CAA4-A3EF-4EB3-BFEA-9BB35D822719}"/>
    <cellStyle name="Comma 4 4 3 8 3" xfId="11224" xr:uid="{7E481EC2-1E06-4A69-BEF2-838A0828637A}"/>
    <cellStyle name="Comma 4 4 3 9" xfId="4630" xr:uid="{00000000-0005-0000-0000-0000110A0000}"/>
    <cellStyle name="Comma 4 4 3 9 2" xfId="13059" xr:uid="{5B310A4E-3B6D-4802-AC4D-7EB1D9B76695}"/>
    <cellStyle name="Comma 4 4 4" xfId="691" xr:uid="{00000000-0005-0000-0000-0000120A0000}"/>
    <cellStyle name="Comma 4 4 4 2" xfId="2962" xr:uid="{00000000-0005-0000-0000-0000130A0000}"/>
    <cellStyle name="Comma 4 4 4 2 2" xfId="7186" xr:uid="{00000000-0005-0000-0000-0000140A0000}"/>
    <cellStyle name="Comma 4 4 4 2 2 2" xfId="15615" xr:uid="{79E0D0EA-63C6-4DC8-B6F4-5364EF80F7A9}"/>
    <cellStyle name="Comma 4 4 4 2 3" xfId="11397" xr:uid="{53131212-FCC1-4873-A3CC-DFDC6E417CAE}"/>
    <cellStyle name="Comma 4 4 4 3" xfId="5041" xr:uid="{00000000-0005-0000-0000-0000150A0000}"/>
    <cellStyle name="Comma 4 4 4 3 2" xfId="13470" xr:uid="{67C0F0B7-1EB2-45F6-81B4-5D5C92BA07AD}"/>
    <cellStyle name="Comma 4 4 4 4" xfId="9252" xr:uid="{8F64B988-C345-4EA2-AC6E-72C7E48296F8}"/>
    <cellStyle name="Comma 4 4 5" xfId="1144" xr:uid="{00000000-0005-0000-0000-0000160A0000}"/>
    <cellStyle name="Comma 4 4 5 2" xfId="3375" xr:uid="{00000000-0005-0000-0000-0000170A0000}"/>
    <cellStyle name="Comma 4 4 5 2 2" xfId="7599" xr:uid="{00000000-0005-0000-0000-0000180A0000}"/>
    <cellStyle name="Comma 4 4 5 2 2 2" xfId="16028" xr:uid="{7FCE82F2-7141-4EAA-98C6-940877E7EE90}"/>
    <cellStyle name="Comma 4 4 5 2 3" xfId="11810" xr:uid="{ECDC08AC-3404-4140-9F8C-8449BC30757C}"/>
    <cellStyle name="Comma 4 4 5 3" xfId="5454" xr:uid="{00000000-0005-0000-0000-0000190A0000}"/>
    <cellStyle name="Comma 4 4 5 3 2" xfId="13883" xr:uid="{0B3CF160-6900-4912-A8DA-980C57EDD55B}"/>
    <cellStyle name="Comma 4 4 5 4" xfId="9665" xr:uid="{0F602FCE-921F-487C-80AE-52B992944517}"/>
    <cellStyle name="Comma 4 4 6" xfId="1558" xr:uid="{00000000-0005-0000-0000-00001A0A0000}"/>
    <cellStyle name="Comma 4 4 6 2" xfId="3788" xr:uid="{00000000-0005-0000-0000-00001B0A0000}"/>
    <cellStyle name="Comma 4 4 6 2 2" xfId="8012" xr:uid="{00000000-0005-0000-0000-00001C0A0000}"/>
    <cellStyle name="Comma 4 4 6 2 2 2" xfId="16441" xr:uid="{FF1512A8-95EC-4A32-A69F-6A7C5E669FA0}"/>
    <cellStyle name="Comma 4 4 6 2 3" xfId="12223" xr:uid="{682430FA-4330-46A0-9150-0087F9CEEF3E}"/>
    <cellStyle name="Comma 4 4 6 3" xfId="5867" xr:uid="{00000000-0005-0000-0000-00001D0A0000}"/>
    <cellStyle name="Comma 4 4 6 3 2" xfId="14296" xr:uid="{F340FE03-C575-4F40-939E-E8F64164022B}"/>
    <cellStyle name="Comma 4 4 6 4" xfId="10078" xr:uid="{4CE749BB-A809-46CC-8F94-6697D74A0207}"/>
    <cellStyle name="Comma 4 4 7" xfId="1972" xr:uid="{00000000-0005-0000-0000-00001E0A0000}"/>
    <cellStyle name="Comma 4 4 7 2" xfId="4201" xr:uid="{00000000-0005-0000-0000-00001F0A0000}"/>
    <cellStyle name="Comma 4 4 7 2 2" xfId="8425" xr:uid="{00000000-0005-0000-0000-0000200A0000}"/>
    <cellStyle name="Comma 4 4 7 2 2 2" xfId="16854" xr:uid="{A58A0018-B3C9-4291-8B23-D7C56FF35604}"/>
    <cellStyle name="Comma 4 4 7 2 3" xfId="12636" xr:uid="{FD2988AD-C2DF-4EB8-9DEB-CB2700F067A5}"/>
    <cellStyle name="Comma 4 4 7 3" xfId="6280" xr:uid="{00000000-0005-0000-0000-0000210A0000}"/>
    <cellStyle name="Comma 4 4 7 3 2" xfId="14709" xr:uid="{FA705416-BD87-4887-8482-94D7007420BC}"/>
    <cellStyle name="Comma 4 4 7 4" xfId="10491" xr:uid="{68EC69AF-8533-4A15-91F0-175923502FF0}"/>
    <cellStyle name="Comma 4 4 8" xfId="2407" xr:uid="{00000000-0005-0000-0000-0000220A0000}"/>
    <cellStyle name="Comma 4 4 8 2" xfId="6693" xr:uid="{00000000-0005-0000-0000-0000230A0000}"/>
    <cellStyle name="Comma 4 4 8 2 2" xfId="15122" xr:uid="{0263EEC4-C845-43AC-9034-0EE5E048B3F4}"/>
    <cellStyle name="Comma 4 4 8 3" xfId="10904" xr:uid="{69C3993B-F0DA-421F-9ECB-4A92B7ABF9E4}"/>
    <cellStyle name="Comma 4 4 9" xfId="2703" xr:uid="{00000000-0005-0000-0000-0000240A0000}"/>
    <cellStyle name="Comma 4 5" xfId="157" xr:uid="{00000000-0005-0000-0000-0000250A0000}"/>
    <cellStyle name="Comma 4 5 10" xfId="4631" xr:uid="{00000000-0005-0000-0000-0000260A0000}"/>
    <cellStyle name="Comma 4 5 10 2" xfId="13060" xr:uid="{A1DBAC8A-D459-4BCD-A862-925C02F8A813}"/>
    <cellStyle name="Comma 4 5 11" xfId="8842" xr:uid="{FA84177E-5A60-4C1E-BDF6-65696DB29FC9}"/>
    <cellStyle name="Comma 4 5 2" xfId="158" xr:uid="{00000000-0005-0000-0000-0000270A0000}"/>
    <cellStyle name="Comma 4 5 2 10" xfId="8843" xr:uid="{2B623EAF-FEC8-48A3-8280-79845C165FF0}"/>
    <cellStyle name="Comma 4 5 2 2" xfId="696" xr:uid="{00000000-0005-0000-0000-0000280A0000}"/>
    <cellStyle name="Comma 4 5 2 2 2" xfId="2967" xr:uid="{00000000-0005-0000-0000-0000290A0000}"/>
    <cellStyle name="Comma 4 5 2 2 2 2" xfId="7191" xr:uid="{00000000-0005-0000-0000-00002A0A0000}"/>
    <cellStyle name="Comma 4 5 2 2 2 2 2" xfId="15620" xr:uid="{24A2D1C9-828F-4F07-8806-DB0BCFDD8565}"/>
    <cellStyle name="Comma 4 5 2 2 2 3" xfId="11402" xr:uid="{A73371D3-47FE-452D-B6F2-24106A3E3AD6}"/>
    <cellStyle name="Comma 4 5 2 2 3" xfId="5046" xr:uid="{00000000-0005-0000-0000-00002B0A0000}"/>
    <cellStyle name="Comma 4 5 2 2 3 2" xfId="13475" xr:uid="{A12E9A64-9A8D-4D4F-9C77-7D36707F2031}"/>
    <cellStyle name="Comma 4 5 2 2 4" xfId="9257" xr:uid="{B90FEC86-CA62-4E8C-A611-DAB0C4F4BFA2}"/>
    <cellStyle name="Comma 4 5 2 3" xfId="1149" xr:uid="{00000000-0005-0000-0000-00002C0A0000}"/>
    <cellStyle name="Comma 4 5 2 3 2" xfId="3380" xr:uid="{00000000-0005-0000-0000-00002D0A0000}"/>
    <cellStyle name="Comma 4 5 2 3 2 2" xfId="7604" xr:uid="{00000000-0005-0000-0000-00002E0A0000}"/>
    <cellStyle name="Comma 4 5 2 3 2 2 2" xfId="16033" xr:uid="{12E620D1-F0E8-4B4C-B925-8C77C05FB8A9}"/>
    <cellStyle name="Comma 4 5 2 3 2 3" xfId="11815" xr:uid="{0FD129E8-8753-4A43-8D52-2D33398E9C26}"/>
    <cellStyle name="Comma 4 5 2 3 3" xfId="5459" xr:uid="{00000000-0005-0000-0000-00002F0A0000}"/>
    <cellStyle name="Comma 4 5 2 3 3 2" xfId="13888" xr:uid="{C8189CFF-CDA3-4BDF-BACC-057671C9518F}"/>
    <cellStyle name="Comma 4 5 2 3 4" xfId="9670" xr:uid="{5C23D450-3007-4EA8-B5D1-5BDD760D5869}"/>
    <cellStyle name="Comma 4 5 2 4" xfId="1563" xr:uid="{00000000-0005-0000-0000-0000300A0000}"/>
    <cellStyle name="Comma 4 5 2 4 2" xfId="3793" xr:uid="{00000000-0005-0000-0000-0000310A0000}"/>
    <cellStyle name="Comma 4 5 2 4 2 2" xfId="8017" xr:uid="{00000000-0005-0000-0000-0000320A0000}"/>
    <cellStyle name="Comma 4 5 2 4 2 2 2" xfId="16446" xr:uid="{BAB97347-C1B1-40F5-9F5B-4A85AD12139F}"/>
    <cellStyle name="Comma 4 5 2 4 2 3" xfId="12228" xr:uid="{DF06E759-1467-4A8F-B950-B547E58ED8BB}"/>
    <cellStyle name="Comma 4 5 2 4 3" xfId="5872" xr:uid="{00000000-0005-0000-0000-0000330A0000}"/>
    <cellStyle name="Comma 4 5 2 4 3 2" xfId="14301" xr:uid="{E06CE6B5-F45B-4A23-890D-DBBB883369BD}"/>
    <cellStyle name="Comma 4 5 2 4 4" xfId="10083" xr:uid="{84D0A964-C75B-41B7-AC8D-C2790889AC6D}"/>
    <cellStyle name="Comma 4 5 2 5" xfId="1977" xr:uid="{00000000-0005-0000-0000-0000340A0000}"/>
    <cellStyle name="Comma 4 5 2 5 2" xfId="4206" xr:uid="{00000000-0005-0000-0000-0000350A0000}"/>
    <cellStyle name="Comma 4 5 2 5 2 2" xfId="8430" xr:uid="{00000000-0005-0000-0000-0000360A0000}"/>
    <cellStyle name="Comma 4 5 2 5 2 2 2" xfId="16859" xr:uid="{789873E9-001E-4481-AE97-D96DA412D7FF}"/>
    <cellStyle name="Comma 4 5 2 5 2 3" xfId="12641" xr:uid="{E19CB665-327A-498E-BF05-A80EC773C376}"/>
    <cellStyle name="Comma 4 5 2 5 3" xfId="6285" xr:uid="{00000000-0005-0000-0000-0000370A0000}"/>
    <cellStyle name="Comma 4 5 2 5 3 2" xfId="14714" xr:uid="{E9BFB555-6731-4DCC-9C94-F27EE2DA3281}"/>
    <cellStyle name="Comma 4 5 2 5 4" xfId="10496" xr:uid="{AB523CD1-1DA8-4695-96E2-FCD36AB4C74A}"/>
    <cellStyle name="Comma 4 5 2 6" xfId="2412" xr:uid="{00000000-0005-0000-0000-0000380A0000}"/>
    <cellStyle name="Comma 4 5 2 6 2" xfId="6698" xr:uid="{00000000-0005-0000-0000-0000390A0000}"/>
    <cellStyle name="Comma 4 5 2 6 2 2" xfId="15127" xr:uid="{768F6180-2DBD-467E-B06E-76E90754A7C1}"/>
    <cellStyle name="Comma 4 5 2 6 3" xfId="10909" xr:uid="{30BD3D6C-EFD1-4AF6-BC7A-85CAF925F5B6}"/>
    <cellStyle name="Comma 4 5 2 7" xfId="2708" xr:uid="{00000000-0005-0000-0000-00003A0A0000}"/>
    <cellStyle name="Comma 4 5 2 8" xfId="2790" xr:uid="{00000000-0005-0000-0000-00003B0A0000}"/>
    <cellStyle name="Comma 4 5 2 8 2" xfId="7015" xr:uid="{00000000-0005-0000-0000-00003C0A0000}"/>
    <cellStyle name="Comma 4 5 2 8 2 2" xfId="15444" xr:uid="{5A657D39-AFAE-4170-8B62-286C5FC9E37F}"/>
    <cellStyle name="Comma 4 5 2 8 3" xfId="11226" xr:uid="{41224D22-E735-4B12-BDD4-6AA73F68DDBF}"/>
    <cellStyle name="Comma 4 5 2 9" xfId="4632" xr:uid="{00000000-0005-0000-0000-00003D0A0000}"/>
    <cellStyle name="Comma 4 5 2 9 2" xfId="13061" xr:uid="{4D8373AC-CDC4-488D-AE18-52AB143E150C}"/>
    <cellStyle name="Comma 4 5 3" xfId="695" xr:uid="{00000000-0005-0000-0000-00003E0A0000}"/>
    <cellStyle name="Comma 4 5 3 2" xfId="2966" xr:uid="{00000000-0005-0000-0000-00003F0A0000}"/>
    <cellStyle name="Comma 4 5 3 2 2" xfId="7190" xr:uid="{00000000-0005-0000-0000-0000400A0000}"/>
    <cellStyle name="Comma 4 5 3 2 2 2" xfId="15619" xr:uid="{69FE0A47-F9F2-4364-AE8F-651C156D8C8B}"/>
    <cellStyle name="Comma 4 5 3 2 3" xfId="11401" xr:uid="{F36E4EBF-3401-494F-A5D3-E2550511AF49}"/>
    <cellStyle name="Comma 4 5 3 3" xfId="5045" xr:uid="{00000000-0005-0000-0000-0000410A0000}"/>
    <cellStyle name="Comma 4 5 3 3 2" xfId="13474" xr:uid="{C8228EC6-1932-4DB0-8352-4D08CC1A35DE}"/>
    <cellStyle name="Comma 4 5 3 4" xfId="9256" xr:uid="{B37F014A-6280-40A4-9BF8-544BBE3D109A}"/>
    <cellStyle name="Comma 4 5 4" xfId="1148" xr:uid="{00000000-0005-0000-0000-0000420A0000}"/>
    <cellStyle name="Comma 4 5 4 2" xfId="3379" xr:uid="{00000000-0005-0000-0000-0000430A0000}"/>
    <cellStyle name="Comma 4 5 4 2 2" xfId="7603" xr:uid="{00000000-0005-0000-0000-0000440A0000}"/>
    <cellStyle name="Comma 4 5 4 2 2 2" xfId="16032" xr:uid="{0A609C53-891C-4DB7-8238-EBFCE3DA9085}"/>
    <cellStyle name="Comma 4 5 4 2 3" xfId="11814" xr:uid="{4B558311-E9D4-4FA3-B8EB-7D3DA0BFBFD1}"/>
    <cellStyle name="Comma 4 5 4 3" xfId="5458" xr:uid="{00000000-0005-0000-0000-0000450A0000}"/>
    <cellStyle name="Comma 4 5 4 3 2" xfId="13887" xr:uid="{EEDCC14B-ACB8-45CE-AB9C-3C82B2C883AE}"/>
    <cellStyle name="Comma 4 5 4 4" xfId="9669" xr:uid="{EFA0269F-83CD-4EB9-8325-07B52B217F0C}"/>
    <cellStyle name="Comma 4 5 5" xfId="1562" xr:uid="{00000000-0005-0000-0000-0000460A0000}"/>
    <cellStyle name="Comma 4 5 5 2" xfId="3792" xr:uid="{00000000-0005-0000-0000-0000470A0000}"/>
    <cellStyle name="Comma 4 5 5 2 2" xfId="8016" xr:uid="{00000000-0005-0000-0000-0000480A0000}"/>
    <cellStyle name="Comma 4 5 5 2 2 2" xfId="16445" xr:uid="{959B3800-623E-4D05-BDDC-C516790518D8}"/>
    <cellStyle name="Comma 4 5 5 2 3" xfId="12227" xr:uid="{F2BB5CA8-2B1F-40ED-B7AE-BA35D5BD6173}"/>
    <cellStyle name="Comma 4 5 5 3" xfId="5871" xr:uid="{00000000-0005-0000-0000-0000490A0000}"/>
    <cellStyle name="Comma 4 5 5 3 2" xfId="14300" xr:uid="{A1806626-0623-4EDA-932E-03346A604CAD}"/>
    <cellStyle name="Comma 4 5 5 4" xfId="10082" xr:uid="{4C6036B3-DFFC-400A-9A8D-4374E26432CF}"/>
    <cellStyle name="Comma 4 5 6" xfId="1976" xr:uid="{00000000-0005-0000-0000-00004A0A0000}"/>
    <cellStyle name="Comma 4 5 6 2" xfId="4205" xr:uid="{00000000-0005-0000-0000-00004B0A0000}"/>
    <cellStyle name="Comma 4 5 6 2 2" xfId="8429" xr:uid="{00000000-0005-0000-0000-00004C0A0000}"/>
    <cellStyle name="Comma 4 5 6 2 2 2" xfId="16858" xr:uid="{B330C01F-6834-4597-B539-B9C6136A33C0}"/>
    <cellStyle name="Comma 4 5 6 2 3" xfId="12640" xr:uid="{F77E7A73-1901-47CB-8FAA-C3415C5BDE0C}"/>
    <cellStyle name="Comma 4 5 6 3" xfId="6284" xr:uid="{00000000-0005-0000-0000-00004D0A0000}"/>
    <cellStyle name="Comma 4 5 6 3 2" xfId="14713" xr:uid="{09052993-BA66-4CE3-8152-913B2E801889}"/>
    <cellStyle name="Comma 4 5 6 4" xfId="10495" xr:uid="{BFFDCD04-18AC-4532-97EA-DF9F214465A4}"/>
    <cellStyle name="Comma 4 5 7" xfId="2411" xr:uid="{00000000-0005-0000-0000-00004E0A0000}"/>
    <cellStyle name="Comma 4 5 7 2" xfId="6697" xr:uid="{00000000-0005-0000-0000-00004F0A0000}"/>
    <cellStyle name="Comma 4 5 7 2 2" xfId="15126" xr:uid="{1EEB6CB2-2666-4CF2-99C2-6245FF9A350C}"/>
    <cellStyle name="Comma 4 5 7 3" xfId="10908" xr:uid="{60847676-DDA9-4A38-902C-2633126465BB}"/>
    <cellStyle name="Comma 4 5 8" xfId="2707" xr:uid="{00000000-0005-0000-0000-0000500A0000}"/>
    <cellStyle name="Comma 4 5 9" xfId="2789" xr:uid="{00000000-0005-0000-0000-0000510A0000}"/>
    <cellStyle name="Comma 4 5 9 2" xfId="7014" xr:uid="{00000000-0005-0000-0000-0000520A0000}"/>
    <cellStyle name="Comma 4 5 9 2 2" xfId="15443" xr:uid="{BCDEEF8B-CBCA-4CE5-905E-24EF9F6E6ECB}"/>
    <cellStyle name="Comma 4 5 9 3" xfId="11225" xr:uid="{C1257708-5B68-45C3-B016-301CED1CAF19}"/>
    <cellStyle name="Comma 4 6" xfId="159" xr:uid="{00000000-0005-0000-0000-0000530A0000}"/>
    <cellStyle name="Comma 4 6 10" xfId="8844" xr:uid="{0B4F0E5D-909E-4DAB-8705-9238EEAA2D3F}"/>
    <cellStyle name="Comma 4 6 2" xfId="697" xr:uid="{00000000-0005-0000-0000-0000540A0000}"/>
    <cellStyle name="Comma 4 6 2 2" xfId="2968" xr:uid="{00000000-0005-0000-0000-0000550A0000}"/>
    <cellStyle name="Comma 4 6 2 2 2" xfId="7192" xr:uid="{00000000-0005-0000-0000-0000560A0000}"/>
    <cellStyle name="Comma 4 6 2 2 2 2" xfId="15621" xr:uid="{4E0B8CD3-2889-4932-BEC2-5DB09C63427F}"/>
    <cellStyle name="Comma 4 6 2 2 3" xfId="11403" xr:uid="{B074AD30-2FD7-4408-96C6-01D14B50A800}"/>
    <cellStyle name="Comma 4 6 2 3" xfId="5047" xr:uid="{00000000-0005-0000-0000-0000570A0000}"/>
    <cellStyle name="Comma 4 6 2 3 2" xfId="13476" xr:uid="{20187F79-EBE6-4B07-8DE1-64B92A7FF701}"/>
    <cellStyle name="Comma 4 6 2 4" xfId="9258" xr:uid="{21493034-6D17-4DBB-948E-0F30DB63EF66}"/>
    <cellStyle name="Comma 4 6 3" xfId="1150" xr:uid="{00000000-0005-0000-0000-0000580A0000}"/>
    <cellStyle name="Comma 4 6 3 2" xfId="3381" xr:uid="{00000000-0005-0000-0000-0000590A0000}"/>
    <cellStyle name="Comma 4 6 3 2 2" xfId="7605" xr:uid="{00000000-0005-0000-0000-00005A0A0000}"/>
    <cellStyle name="Comma 4 6 3 2 2 2" xfId="16034" xr:uid="{B4D912C9-CE58-45D9-BF5A-1BBB2833F3B9}"/>
    <cellStyle name="Comma 4 6 3 2 3" xfId="11816" xr:uid="{6E1901D6-1FF7-45EA-9C0D-D885A9BEA8A2}"/>
    <cellStyle name="Comma 4 6 3 3" xfId="5460" xr:uid="{00000000-0005-0000-0000-00005B0A0000}"/>
    <cellStyle name="Comma 4 6 3 3 2" xfId="13889" xr:uid="{F98380DA-2172-46EE-A946-FA9E482482EF}"/>
    <cellStyle name="Comma 4 6 3 4" xfId="9671" xr:uid="{A4112C11-DD6D-4FA1-BA1C-41CF170A1160}"/>
    <cellStyle name="Comma 4 6 4" xfId="1564" xr:uid="{00000000-0005-0000-0000-00005C0A0000}"/>
    <cellStyle name="Comma 4 6 4 2" xfId="3794" xr:uid="{00000000-0005-0000-0000-00005D0A0000}"/>
    <cellStyle name="Comma 4 6 4 2 2" xfId="8018" xr:uid="{00000000-0005-0000-0000-00005E0A0000}"/>
    <cellStyle name="Comma 4 6 4 2 2 2" xfId="16447" xr:uid="{07AB5717-23AF-4184-BD60-DC17F9534209}"/>
    <cellStyle name="Comma 4 6 4 2 3" xfId="12229" xr:uid="{34E822A7-0859-41E7-970B-0C39E3DF6EF0}"/>
    <cellStyle name="Comma 4 6 4 3" xfId="5873" xr:uid="{00000000-0005-0000-0000-00005F0A0000}"/>
    <cellStyle name="Comma 4 6 4 3 2" xfId="14302" xr:uid="{916EC311-6BE4-44E3-B4C6-0CF390C4CCE9}"/>
    <cellStyle name="Comma 4 6 4 4" xfId="10084" xr:uid="{0F45CC69-BAF6-45B7-8140-6D3EAA713E67}"/>
    <cellStyle name="Comma 4 6 5" xfId="1978" xr:uid="{00000000-0005-0000-0000-0000600A0000}"/>
    <cellStyle name="Comma 4 6 5 2" xfId="4207" xr:uid="{00000000-0005-0000-0000-0000610A0000}"/>
    <cellStyle name="Comma 4 6 5 2 2" xfId="8431" xr:uid="{00000000-0005-0000-0000-0000620A0000}"/>
    <cellStyle name="Comma 4 6 5 2 2 2" xfId="16860" xr:uid="{FB40EC15-B953-4FF7-9A2F-D69F58814AFE}"/>
    <cellStyle name="Comma 4 6 5 2 3" xfId="12642" xr:uid="{6591C842-D0CC-4C13-828A-1FE9F44A814B}"/>
    <cellStyle name="Comma 4 6 5 3" xfId="6286" xr:uid="{00000000-0005-0000-0000-0000630A0000}"/>
    <cellStyle name="Comma 4 6 5 3 2" xfId="14715" xr:uid="{0EC10285-3971-472A-9B8C-E4642611AD96}"/>
    <cellStyle name="Comma 4 6 5 4" xfId="10497" xr:uid="{05FACF51-9BCF-45AA-BDA2-47362DCDDDDF}"/>
    <cellStyle name="Comma 4 6 6" xfId="2413" xr:uid="{00000000-0005-0000-0000-0000640A0000}"/>
    <cellStyle name="Comma 4 6 6 2" xfId="6699" xr:uid="{00000000-0005-0000-0000-0000650A0000}"/>
    <cellStyle name="Comma 4 6 6 2 2" xfId="15128" xr:uid="{2C4ECCF6-B0F7-46AF-801E-A9B34365CD60}"/>
    <cellStyle name="Comma 4 6 6 3" xfId="10910" xr:uid="{154379C7-A95C-415F-B212-8A6FEDEAA335}"/>
    <cellStyle name="Comma 4 6 7" xfId="2709" xr:uid="{00000000-0005-0000-0000-0000660A0000}"/>
    <cellStyle name="Comma 4 6 8" xfId="2791" xr:uid="{00000000-0005-0000-0000-0000670A0000}"/>
    <cellStyle name="Comma 4 6 8 2" xfId="7016" xr:uid="{00000000-0005-0000-0000-0000680A0000}"/>
    <cellStyle name="Comma 4 6 8 2 2" xfId="15445" xr:uid="{53758133-DB08-4627-866E-8806475CA0AA}"/>
    <cellStyle name="Comma 4 6 8 3" xfId="11227" xr:uid="{66E2A021-F85D-477F-B729-004798075414}"/>
    <cellStyle name="Comma 4 6 9" xfId="4633" xr:uid="{00000000-0005-0000-0000-0000690A0000}"/>
    <cellStyle name="Comma 4 6 9 2" xfId="13062" xr:uid="{781A45AE-AE23-4F59-A4A2-5C1599ACD90B}"/>
    <cellStyle name="Comma 4 7" xfId="160" xr:uid="{00000000-0005-0000-0000-00006A0A0000}"/>
    <cellStyle name="Comma 4 7 10" xfId="8845" xr:uid="{B4120FBC-93B7-465A-B6C9-66EC6084B77D}"/>
    <cellStyle name="Comma 4 7 2" xfId="698" xr:uid="{00000000-0005-0000-0000-00006B0A0000}"/>
    <cellStyle name="Comma 4 7 2 2" xfId="2969" xr:uid="{00000000-0005-0000-0000-00006C0A0000}"/>
    <cellStyle name="Comma 4 7 2 2 2" xfId="7193" xr:uid="{00000000-0005-0000-0000-00006D0A0000}"/>
    <cellStyle name="Comma 4 7 2 2 2 2" xfId="15622" xr:uid="{14FCF847-E6F0-437B-BF01-33F6DE2B4E99}"/>
    <cellStyle name="Comma 4 7 2 2 3" xfId="11404" xr:uid="{6F46C8BB-765A-47F4-923A-F5034C5F87E2}"/>
    <cellStyle name="Comma 4 7 2 3" xfId="5048" xr:uid="{00000000-0005-0000-0000-00006E0A0000}"/>
    <cellStyle name="Comma 4 7 2 3 2" xfId="13477" xr:uid="{AA31092D-C33F-4EA3-AAB4-440C529CD746}"/>
    <cellStyle name="Comma 4 7 2 4" xfId="9259" xr:uid="{9FCA9D58-E4DE-4ACD-9838-28D4CC4962C0}"/>
    <cellStyle name="Comma 4 7 3" xfId="1151" xr:uid="{00000000-0005-0000-0000-00006F0A0000}"/>
    <cellStyle name="Comma 4 7 3 2" xfId="3382" xr:uid="{00000000-0005-0000-0000-0000700A0000}"/>
    <cellStyle name="Comma 4 7 3 2 2" xfId="7606" xr:uid="{00000000-0005-0000-0000-0000710A0000}"/>
    <cellStyle name="Comma 4 7 3 2 2 2" xfId="16035" xr:uid="{7FE52B31-9944-4FF0-8271-CD9A83C6306B}"/>
    <cellStyle name="Comma 4 7 3 2 3" xfId="11817" xr:uid="{FE85DE69-8265-4891-9291-BD0BFE84C69A}"/>
    <cellStyle name="Comma 4 7 3 3" xfId="5461" xr:uid="{00000000-0005-0000-0000-0000720A0000}"/>
    <cellStyle name="Comma 4 7 3 3 2" xfId="13890" xr:uid="{07BAB034-40BC-47C2-9FD3-09964E16EDB6}"/>
    <cellStyle name="Comma 4 7 3 4" xfId="9672" xr:uid="{28729339-EAB8-4220-B3EF-DD6C69214D5F}"/>
    <cellStyle name="Comma 4 7 4" xfId="1565" xr:uid="{00000000-0005-0000-0000-0000730A0000}"/>
    <cellStyle name="Comma 4 7 4 2" xfId="3795" xr:uid="{00000000-0005-0000-0000-0000740A0000}"/>
    <cellStyle name="Comma 4 7 4 2 2" xfId="8019" xr:uid="{00000000-0005-0000-0000-0000750A0000}"/>
    <cellStyle name="Comma 4 7 4 2 2 2" xfId="16448" xr:uid="{67BD1AC8-B0B1-4045-85EA-0247517F7424}"/>
    <cellStyle name="Comma 4 7 4 2 3" xfId="12230" xr:uid="{8130C4C0-EF0F-46E4-BEDA-C95A1F3BAFD1}"/>
    <cellStyle name="Comma 4 7 4 3" xfId="5874" xr:uid="{00000000-0005-0000-0000-0000760A0000}"/>
    <cellStyle name="Comma 4 7 4 3 2" xfId="14303" xr:uid="{82DF9A74-C38D-45F9-AE7F-91E15ACFA360}"/>
    <cellStyle name="Comma 4 7 4 4" xfId="10085" xr:uid="{44359ADA-70E9-4706-8BD9-022F74EC663A}"/>
    <cellStyle name="Comma 4 7 5" xfId="1979" xr:uid="{00000000-0005-0000-0000-0000770A0000}"/>
    <cellStyle name="Comma 4 7 5 2" xfId="4208" xr:uid="{00000000-0005-0000-0000-0000780A0000}"/>
    <cellStyle name="Comma 4 7 5 2 2" xfId="8432" xr:uid="{00000000-0005-0000-0000-0000790A0000}"/>
    <cellStyle name="Comma 4 7 5 2 2 2" xfId="16861" xr:uid="{E1B8E737-2F75-4A77-9B10-7A4A482E8112}"/>
    <cellStyle name="Comma 4 7 5 2 3" xfId="12643" xr:uid="{C813B140-9B94-4F52-9AAE-5F555E82AD0C}"/>
    <cellStyle name="Comma 4 7 5 3" xfId="6287" xr:uid="{00000000-0005-0000-0000-00007A0A0000}"/>
    <cellStyle name="Comma 4 7 5 3 2" xfId="14716" xr:uid="{4554F333-12B1-479E-8137-35744ABA0F2D}"/>
    <cellStyle name="Comma 4 7 5 4" xfId="10498" xr:uid="{6DF201E8-E89C-4775-B73F-61F4836A5E13}"/>
    <cellStyle name="Comma 4 7 6" xfId="2414" xr:uid="{00000000-0005-0000-0000-00007B0A0000}"/>
    <cellStyle name="Comma 4 7 6 2" xfId="6700" xr:uid="{00000000-0005-0000-0000-00007C0A0000}"/>
    <cellStyle name="Comma 4 7 6 2 2" xfId="15129" xr:uid="{73DC220C-C1F3-48ED-92B0-0BE6D94BCD17}"/>
    <cellStyle name="Comma 4 7 6 3" xfId="10911" xr:uid="{5B09527D-9B6E-4A34-AC4B-26D268A73B32}"/>
    <cellStyle name="Comma 4 7 7" xfId="2710" xr:uid="{00000000-0005-0000-0000-00007D0A0000}"/>
    <cellStyle name="Comma 4 7 8" xfId="2792" xr:uid="{00000000-0005-0000-0000-00007E0A0000}"/>
    <cellStyle name="Comma 4 7 8 2" xfId="7017" xr:uid="{00000000-0005-0000-0000-00007F0A0000}"/>
    <cellStyle name="Comma 4 7 8 2 2" xfId="15446" xr:uid="{001D7DE7-DB04-4E6A-B717-0E8ED93EE0BE}"/>
    <cellStyle name="Comma 4 7 8 3" xfId="11228" xr:uid="{F9E1ED00-09FB-42E3-A24A-636B69D7710C}"/>
    <cellStyle name="Comma 4 7 9" xfId="4634" xr:uid="{00000000-0005-0000-0000-0000800A0000}"/>
    <cellStyle name="Comma 4 7 9 2" xfId="13063" xr:uid="{D7758557-3BBD-41D1-BD4D-A856A1A84CD4}"/>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1" xr:uid="{062494B7-5FE8-490D-9098-5CF32937CE93}"/>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14 2" xfId="12934" xr:uid="{3C3422BD-FB85-450E-B49F-4C7C499B372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2 2" xfId="15447" xr:uid="{C350979D-40F5-4F2D-AC86-17CE28EF9C74}"/>
    <cellStyle name="Currency 3 2 2 10 3" xfId="11229" xr:uid="{74F5273D-5893-4FAC-9096-D39326C20AAC}"/>
    <cellStyle name="Currency 3 2 2 11" xfId="4635" xr:uid="{00000000-0005-0000-0000-0000A50A0000}"/>
    <cellStyle name="Currency 3 2 2 11 2" xfId="13064" xr:uid="{F5CF18F9-75C2-409C-BBE4-363D28CEBBCA}"/>
    <cellStyle name="Currency 3 2 2 12" xfId="8846" xr:uid="{839148FA-4179-45BE-8121-14492DB6D1EE}"/>
    <cellStyle name="Currency 3 2 2 2" xfId="179" xr:uid="{00000000-0005-0000-0000-0000A60A0000}"/>
    <cellStyle name="Currency 3 2 2 2 10" xfId="4636" xr:uid="{00000000-0005-0000-0000-0000A70A0000}"/>
    <cellStyle name="Currency 3 2 2 2 10 2" xfId="13065" xr:uid="{95BB66B4-D5C5-4223-9DD8-7F142E63F3FD}"/>
    <cellStyle name="Currency 3 2 2 2 11" xfId="8847" xr:uid="{48CA5F95-B460-4F8C-8406-4AC5060057EB}"/>
    <cellStyle name="Currency 3 2 2 2 2" xfId="180" xr:uid="{00000000-0005-0000-0000-0000A80A0000}"/>
    <cellStyle name="Currency 3 2 2 2 2 10" xfId="8848" xr:uid="{53446A1F-FFF7-49C8-9296-77E27957D2CF}"/>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2 2" xfId="15625" xr:uid="{96458FFE-6CB6-4E83-A2C6-B3F5B523B294}"/>
    <cellStyle name="Currency 3 2 2 2 2 2 2 3" xfId="11407" xr:uid="{E75B3688-24A3-4472-B588-6336CA90789C}"/>
    <cellStyle name="Currency 3 2 2 2 2 2 3" xfId="5051" xr:uid="{00000000-0005-0000-0000-0000AC0A0000}"/>
    <cellStyle name="Currency 3 2 2 2 2 2 3 2" xfId="13480" xr:uid="{C7093C7F-51B7-4DCF-96E9-A707241E3D79}"/>
    <cellStyle name="Currency 3 2 2 2 2 2 4" xfId="9262" xr:uid="{9E112378-D350-485A-9FD0-160BB9DEC05D}"/>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2 2" xfId="16038" xr:uid="{D35B5DFE-7C7F-44C6-93D5-006D4ADD634D}"/>
    <cellStyle name="Currency 3 2 2 2 2 3 2 3" xfId="11820" xr:uid="{0706D063-625F-4508-86D2-CBD605A40047}"/>
    <cellStyle name="Currency 3 2 2 2 2 3 3" xfId="5464" xr:uid="{00000000-0005-0000-0000-0000B00A0000}"/>
    <cellStyle name="Currency 3 2 2 2 2 3 3 2" xfId="13893" xr:uid="{5526BAD3-CC91-43EB-AC58-0CAF8CA6E62C}"/>
    <cellStyle name="Currency 3 2 2 2 2 3 4" xfId="9675" xr:uid="{D41D43D3-9BFE-49D1-9FBF-8EB95902610C}"/>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2 2" xfId="16451" xr:uid="{D944591D-3FC7-499E-AD0A-770A0A4404F2}"/>
    <cellStyle name="Currency 3 2 2 2 2 4 2 3" xfId="12233" xr:uid="{8F62B693-447D-4729-93E7-07E30A26E089}"/>
    <cellStyle name="Currency 3 2 2 2 2 4 3" xfId="5877" xr:uid="{00000000-0005-0000-0000-0000B40A0000}"/>
    <cellStyle name="Currency 3 2 2 2 2 4 3 2" xfId="14306" xr:uid="{1054A50C-9633-48D0-9FB1-9911F8C5AB4F}"/>
    <cellStyle name="Currency 3 2 2 2 2 4 4" xfId="10088" xr:uid="{55C71430-AF24-4CC8-A136-F3F5A6BEAE29}"/>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2 2" xfId="16864" xr:uid="{3FD30753-9852-4E4D-B70E-60A63FEF0868}"/>
    <cellStyle name="Currency 3 2 2 2 2 5 2 3" xfId="12646" xr:uid="{715881DD-62FB-4993-A647-FF94DC7BD6AE}"/>
    <cellStyle name="Currency 3 2 2 2 2 5 3" xfId="6290" xr:uid="{00000000-0005-0000-0000-0000B80A0000}"/>
    <cellStyle name="Currency 3 2 2 2 2 5 3 2" xfId="14719" xr:uid="{AB201D41-8944-4206-91A0-8BCE0A10DC61}"/>
    <cellStyle name="Currency 3 2 2 2 2 5 4" xfId="10501" xr:uid="{71437890-FC07-4851-9BF4-7FF1D26206E3}"/>
    <cellStyle name="Currency 3 2 2 2 2 6" xfId="2417" xr:uid="{00000000-0005-0000-0000-0000B90A0000}"/>
    <cellStyle name="Currency 3 2 2 2 2 6 2" xfId="6703" xr:uid="{00000000-0005-0000-0000-0000BA0A0000}"/>
    <cellStyle name="Currency 3 2 2 2 2 6 2 2" xfId="15132" xr:uid="{ECAB17E2-3B63-486B-993E-7BA53078884E}"/>
    <cellStyle name="Currency 3 2 2 2 2 6 3" xfId="10914" xr:uid="{9C1A949F-9ADF-41E8-8394-F77B495FD01B}"/>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2 2" xfId="15449" xr:uid="{737B98A6-2174-4E9D-8CEF-74FFEA5FD1A4}"/>
    <cellStyle name="Currency 3 2 2 2 2 8 3" xfId="11231" xr:uid="{590516DF-92BA-42E0-B4D5-6ED4897C1229}"/>
    <cellStyle name="Currency 3 2 2 2 2 9" xfId="4637" xr:uid="{00000000-0005-0000-0000-0000BE0A0000}"/>
    <cellStyle name="Currency 3 2 2 2 2 9 2" xfId="13066" xr:uid="{EB904F46-272A-43BB-9996-0468FDA6F17F}"/>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2 2" xfId="15624" xr:uid="{B62A8DDC-8774-4665-A76A-D9A7ACC5CA78}"/>
    <cellStyle name="Currency 3 2 2 2 3 2 3" xfId="11406" xr:uid="{2AF9266B-C3BE-4707-85C0-5CC69175B578}"/>
    <cellStyle name="Currency 3 2 2 2 3 3" xfId="5050" xr:uid="{00000000-0005-0000-0000-0000C20A0000}"/>
    <cellStyle name="Currency 3 2 2 2 3 3 2" xfId="13479" xr:uid="{0E89E3B2-84EA-476D-85B3-B33BED6D0201}"/>
    <cellStyle name="Currency 3 2 2 2 3 4" xfId="9261" xr:uid="{F1DE9F99-0AB2-4393-9B89-83BF90DF7B4D}"/>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2 2" xfId="16037" xr:uid="{8E558747-A53E-4B4A-94EB-CF17C7499A0E}"/>
    <cellStyle name="Currency 3 2 2 2 4 2 3" xfId="11819" xr:uid="{DAC6FE46-C29C-45FC-B864-719B76C9176C}"/>
    <cellStyle name="Currency 3 2 2 2 4 3" xfId="5463" xr:uid="{00000000-0005-0000-0000-0000C60A0000}"/>
    <cellStyle name="Currency 3 2 2 2 4 3 2" xfId="13892" xr:uid="{642B1CCD-70D7-4BB5-A2DA-99F9CADE8BA3}"/>
    <cellStyle name="Currency 3 2 2 2 4 4" xfId="9674" xr:uid="{BF7AF006-BF5A-40E7-802B-373561B1858F}"/>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2 2" xfId="16450" xr:uid="{0EAF7EF9-A318-4241-A88E-EE41705CAB8C}"/>
    <cellStyle name="Currency 3 2 2 2 5 2 3" xfId="12232" xr:uid="{B9F3B7A4-26D6-4ED9-A33C-C17A08D8A623}"/>
    <cellStyle name="Currency 3 2 2 2 5 3" xfId="5876" xr:uid="{00000000-0005-0000-0000-0000CA0A0000}"/>
    <cellStyle name="Currency 3 2 2 2 5 3 2" xfId="14305" xr:uid="{9F8674EC-E3E1-4642-BD7F-A22A4C53AF3E}"/>
    <cellStyle name="Currency 3 2 2 2 5 4" xfId="10087" xr:uid="{03D52226-950A-4E71-8344-DD00963699C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2 2" xfId="16863" xr:uid="{0E5AC959-0A33-4ACD-A770-7F24EEB9D71A}"/>
    <cellStyle name="Currency 3 2 2 2 6 2 3" xfId="12645" xr:uid="{1FA19276-3752-4988-978C-4D0C34420D59}"/>
    <cellStyle name="Currency 3 2 2 2 6 3" xfId="6289" xr:uid="{00000000-0005-0000-0000-0000CE0A0000}"/>
    <cellStyle name="Currency 3 2 2 2 6 3 2" xfId="14718" xr:uid="{31321235-40D9-41FA-8510-2E45B1A240AE}"/>
    <cellStyle name="Currency 3 2 2 2 6 4" xfId="10500" xr:uid="{C1DE1164-827E-4CBB-B1E5-7013AB1CF7FD}"/>
    <cellStyle name="Currency 3 2 2 2 7" xfId="2416" xr:uid="{00000000-0005-0000-0000-0000CF0A0000}"/>
    <cellStyle name="Currency 3 2 2 2 7 2" xfId="6702" xr:uid="{00000000-0005-0000-0000-0000D00A0000}"/>
    <cellStyle name="Currency 3 2 2 2 7 2 2" xfId="15131" xr:uid="{786E8EC4-416B-4AC8-9A01-EFA3501288A1}"/>
    <cellStyle name="Currency 3 2 2 2 7 3" xfId="10913" xr:uid="{675B66BA-1711-4E13-98F3-4614B85B4681}"/>
    <cellStyle name="Currency 3 2 2 2 8" xfId="2713" xr:uid="{00000000-0005-0000-0000-0000D10A0000}"/>
    <cellStyle name="Currency 3 2 2 2 9" xfId="2794" xr:uid="{00000000-0005-0000-0000-0000D20A0000}"/>
    <cellStyle name="Currency 3 2 2 2 9 2" xfId="7019" xr:uid="{00000000-0005-0000-0000-0000D30A0000}"/>
    <cellStyle name="Currency 3 2 2 2 9 2 2" xfId="15448" xr:uid="{8629384E-0E7A-44F5-80C2-CEBBBBAEAE30}"/>
    <cellStyle name="Currency 3 2 2 2 9 3" xfId="11230" xr:uid="{71349887-D271-4227-9CF6-DFEF690AC831}"/>
    <cellStyle name="Currency 3 2 2 3" xfId="181" xr:uid="{00000000-0005-0000-0000-0000D40A0000}"/>
    <cellStyle name="Currency 3 2 2 3 10" xfId="8849" xr:uid="{220B79E3-23E4-4995-A9C7-465A8292A0F3}"/>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2 2" xfId="15626" xr:uid="{25A6BB67-53AC-46CC-B9CA-F8079A706DC7}"/>
    <cellStyle name="Currency 3 2 2 3 2 2 3" xfId="11408" xr:uid="{F4FFE83B-8262-4FA7-BBFB-F591175F676F}"/>
    <cellStyle name="Currency 3 2 2 3 2 3" xfId="5052" xr:uid="{00000000-0005-0000-0000-0000D80A0000}"/>
    <cellStyle name="Currency 3 2 2 3 2 3 2" xfId="13481" xr:uid="{16B5099A-BB7E-47E5-AA9D-AB53A1257F38}"/>
    <cellStyle name="Currency 3 2 2 3 2 4" xfId="9263" xr:uid="{2F288D4F-4497-4A5F-9FDB-01EB99F09358}"/>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2 2" xfId="16039" xr:uid="{AF10DF80-0647-436C-ADA7-07EC60F69A7D}"/>
    <cellStyle name="Currency 3 2 2 3 3 2 3" xfId="11821" xr:uid="{86C1C883-C833-407C-9F81-C78C56712D00}"/>
    <cellStyle name="Currency 3 2 2 3 3 3" xfId="5465" xr:uid="{00000000-0005-0000-0000-0000DC0A0000}"/>
    <cellStyle name="Currency 3 2 2 3 3 3 2" xfId="13894" xr:uid="{AE98213A-3583-452E-8152-0AB20843B04E}"/>
    <cellStyle name="Currency 3 2 2 3 3 4" xfId="9676" xr:uid="{4FA37E05-E4B7-4FF3-947F-DFB12D8E9A7B}"/>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2 2" xfId="16452" xr:uid="{54750127-0793-45A0-ADB9-5E7EA85BADAA}"/>
    <cellStyle name="Currency 3 2 2 3 4 2 3" xfId="12234" xr:uid="{B2E3D461-5D03-4773-B0DC-9D7B2F18DB8D}"/>
    <cellStyle name="Currency 3 2 2 3 4 3" xfId="5878" xr:uid="{00000000-0005-0000-0000-0000E00A0000}"/>
    <cellStyle name="Currency 3 2 2 3 4 3 2" xfId="14307" xr:uid="{DB0DCEEA-1B68-4544-A01C-448BC6230599}"/>
    <cellStyle name="Currency 3 2 2 3 4 4" xfId="10089" xr:uid="{2F377B52-3DF1-433F-A50E-348793FCCB11}"/>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2 2" xfId="16865" xr:uid="{033536A1-9A5B-4DAD-9E46-2C3B75E22CF5}"/>
    <cellStyle name="Currency 3 2 2 3 5 2 3" xfId="12647" xr:uid="{61603295-CEDC-48A2-9386-31CB73095C07}"/>
    <cellStyle name="Currency 3 2 2 3 5 3" xfId="6291" xr:uid="{00000000-0005-0000-0000-0000E40A0000}"/>
    <cellStyle name="Currency 3 2 2 3 5 3 2" xfId="14720" xr:uid="{25C7C69E-DBAA-47E3-B087-44056CB25DB9}"/>
    <cellStyle name="Currency 3 2 2 3 5 4" xfId="10502" xr:uid="{FC8346F6-CD8F-4B58-9745-7845B3E12AF9}"/>
    <cellStyle name="Currency 3 2 2 3 6" xfId="2418" xr:uid="{00000000-0005-0000-0000-0000E50A0000}"/>
    <cellStyle name="Currency 3 2 2 3 6 2" xfId="6704" xr:uid="{00000000-0005-0000-0000-0000E60A0000}"/>
    <cellStyle name="Currency 3 2 2 3 6 2 2" xfId="15133" xr:uid="{973C757E-D5FB-4F74-A7A4-AA705078F313}"/>
    <cellStyle name="Currency 3 2 2 3 6 3" xfId="10915" xr:uid="{2FDDC598-855D-45AB-924A-6E5F76F50FED}"/>
    <cellStyle name="Currency 3 2 2 3 7" xfId="2715" xr:uid="{00000000-0005-0000-0000-0000E70A0000}"/>
    <cellStyle name="Currency 3 2 2 3 8" xfId="2796" xr:uid="{00000000-0005-0000-0000-0000E80A0000}"/>
    <cellStyle name="Currency 3 2 2 3 8 2" xfId="7021" xr:uid="{00000000-0005-0000-0000-0000E90A0000}"/>
    <cellStyle name="Currency 3 2 2 3 8 2 2" xfId="15450" xr:uid="{1B11ECC0-2BC5-482C-B5EB-FFDD21431B72}"/>
    <cellStyle name="Currency 3 2 2 3 8 3" xfId="11232" xr:uid="{BE0D9A77-02F4-4017-8A88-0901EC0368FD}"/>
    <cellStyle name="Currency 3 2 2 3 9" xfId="4638" xr:uid="{00000000-0005-0000-0000-0000EA0A0000}"/>
    <cellStyle name="Currency 3 2 2 3 9 2" xfId="13067" xr:uid="{C8C6AE98-DC3B-4983-A484-F41AEC3C2058}"/>
    <cellStyle name="Currency 3 2 2 4" xfId="709" xr:uid="{00000000-0005-0000-0000-0000EB0A0000}"/>
    <cellStyle name="Currency 3 2 2 4 2" xfId="2970" xr:uid="{00000000-0005-0000-0000-0000EC0A0000}"/>
    <cellStyle name="Currency 3 2 2 4 2 2" xfId="7194" xr:uid="{00000000-0005-0000-0000-0000ED0A0000}"/>
    <cellStyle name="Currency 3 2 2 4 2 2 2" xfId="15623" xr:uid="{2DB58DF2-F88C-4783-BFAD-F0B9011ECBD7}"/>
    <cellStyle name="Currency 3 2 2 4 2 3" xfId="11405" xr:uid="{60250582-1885-4778-A5DB-6B21DA1D57F6}"/>
    <cellStyle name="Currency 3 2 2 4 3" xfId="5049" xr:uid="{00000000-0005-0000-0000-0000EE0A0000}"/>
    <cellStyle name="Currency 3 2 2 4 3 2" xfId="13478" xr:uid="{9407BE9D-C3A1-4FC0-8926-1FEB1963A38D}"/>
    <cellStyle name="Currency 3 2 2 4 4" xfId="9260" xr:uid="{D27EC0E7-FBD5-4E0D-AAF4-7B1CB60606D2}"/>
    <cellStyle name="Currency 3 2 2 5" xfId="1152" xr:uid="{00000000-0005-0000-0000-0000EF0A0000}"/>
    <cellStyle name="Currency 3 2 2 5 2" xfId="3383" xr:uid="{00000000-0005-0000-0000-0000F00A0000}"/>
    <cellStyle name="Currency 3 2 2 5 2 2" xfId="7607" xr:uid="{00000000-0005-0000-0000-0000F10A0000}"/>
    <cellStyle name="Currency 3 2 2 5 2 2 2" xfId="16036" xr:uid="{E1D40B63-DB28-439B-ABBD-EA941A8989DB}"/>
    <cellStyle name="Currency 3 2 2 5 2 3" xfId="11818" xr:uid="{701C9E61-EEE3-4DD9-A445-EF0D5C8F4AEB}"/>
    <cellStyle name="Currency 3 2 2 5 3" xfId="5462" xr:uid="{00000000-0005-0000-0000-0000F20A0000}"/>
    <cellStyle name="Currency 3 2 2 5 3 2" xfId="13891" xr:uid="{337B90C6-AF1E-4EC8-AAD6-052E4981E8BC}"/>
    <cellStyle name="Currency 3 2 2 5 4" xfId="9673" xr:uid="{A368888B-5C33-4954-9BAC-A417C278F4F5}"/>
    <cellStyle name="Currency 3 2 2 6" xfId="1566" xr:uid="{00000000-0005-0000-0000-0000F30A0000}"/>
    <cellStyle name="Currency 3 2 2 6 2" xfId="3796" xr:uid="{00000000-0005-0000-0000-0000F40A0000}"/>
    <cellStyle name="Currency 3 2 2 6 2 2" xfId="8020" xr:uid="{00000000-0005-0000-0000-0000F50A0000}"/>
    <cellStyle name="Currency 3 2 2 6 2 2 2" xfId="16449" xr:uid="{13F63239-2D90-4D7B-9285-34DBE5C00C41}"/>
    <cellStyle name="Currency 3 2 2 6 2 3" xfId="12231" xr:uid="{227D1B6B-6EDF-47C4-BE65-B24F0A576A31}"/>
    <cellStyle name="Currency 3 2 2 6 3" xfId="5875" xr:uid="{00000000-0005-0000-0000-0000F60A0000}"/>
    <cellStyle name="Currency 3 2 2 6 3 2" xfId="14304" xr:uid="{8573A53F-E192-4FA4-9D70-57D5B968125D}"/>
    <cellStyle name="Currency 3 2 2 6 4" xfId="10086" xr:uid="{B468D145-FF28-4FE6-9D3B-B1DCEFDEBDF2}"/>
    <cellStyle name="Currency 3 2 2 7" xfId="1980" xr:uid="{00000000-0005-0000-0000-0000F70A0000}"/>
    <cellStyle name="Currency 3 2 2 7 2" xfId="4209" xr:uid="{00000000-0005-0000-0000-0000F80A0000}"/>
    <cellStyle name="Currency 3 2 2 7 2 2" xfId="8433" xr:uid="{00000000-0005-0000-0000-0000F90A0000}"/>
    <cellStyle name="Currency 3 2 2 7 2 2 2" xfId="16862" xr:uid="{9AA44527-CA87-4F9D-8B88-8DD0C5A22EEB}"/>
    <cellStyle name="Currency 3 2 2 7 2 3" xfId="12644" xr:uid="{8EB68E78-BE0C-44B8-9B81-4ADFF37D257F}"/>
    <cellStyle name="Currency 3 2 2 7 3" xfId="6288" xr:uid="{00000000-0005-0000-0000-0000FA0A0000}"/>
    <cellStyle name="Currency 3 2 2 7 3 2" xfId="14717" xr:uid="{7C75FD78-4284-4642-B649-79AF0A96474A}"/>
    <cellStyle name="Currency 3 2 2 7 4" xfId="10499" xr:uid="{C5B42E6C-C359-4C7F-8611-3F1DE2574825}"/>
    <cellStyle name="Currency 3 2 2 8" xfId="2415" xr:uid="{00000000-0005-0000-0000-0000FB0A0000}"/>
    <cellStyle name="Currency 3 2 2 8 2" xfId="6701" xr:uid="{00000000-0005-0000-0000-0000FC0A0000}"/>
    <cellStyle name="Currency 3 2 2 8 2 2" xfId="15130" xr:uid="{54DC1C26-19B1-416F-B7A5-1E8A84AAB3FA}"/>
    <cellStyle name="Currency 3 2 2 8 3" xfId="10912" xr:uid="{21133CE9-1345-4597-B4AE-112165995269}"/>
    <cellStyle name="Currency 3 2 2 9" xfId="2712" xr:uid="{00000000-0005-0000-0000-0000FD0A0000}"/>
    <cellStyle name="Currency 3 2 3" xfId="182" xr:uid="{00000000-0005-0000-0000-0000FE0A0000}"/>
    <cellStyle name="Currency 3 2 3 10" xfId="4639" xr:uid="{00000000-0005-0000-0000-0000FF0A0000}"/>
    <cellStyle name="Currency 3 2 3 10 2" xfId="13068" xr:uid="{3A8ACF18-04C3-4631-95E0-BE3B1058E966}"/>
    <cellStyle name="Currency 3 2 3 11" xfId="8850" xr:uid="{75BCF418-7315-4E05-B71E-30D2768DD170}"/>
    <cellStyle name="Currency 3 2 3 2" xfId="183" xr:uid="{00000000-0005-0000-0000-0000000B0000}"/>
    <cellStyle name="Currency 3 2 3 2 10" xfId="8851" xr:uid="{731B028E-8205-4C92-A6A8-3B48F05A7DE7}"/>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2 2" xfId="15628" xr:uid="{D2DE74C2-37DE-4791-91D1-B1C009359E0D}"/>
    <cellStyle name="Currency 3 2 3 2 2 2 3" xfId="11410" xr:uid="{F3203B18-AB95-4CA0-8286-FFAAB9C099A6}"/>
    <cellStyle name="Currency 3 2 3 2 2 3" xfId="5054" xr:uid="{00000000-0005-0000-0000-0000040B0000}"/>
    <cellStyle name="Currency 3 2 3 2 2 3 2" xfId="13483" xr:uid="{70A5F1EF-4EC2-4FD4-B624-C97A85F28BCA}"/>
    <cellStyle name="Currency 3 2 3 2 2 4" xfId="9265" xr:uid="{10CF388D-1C42-4C68-91DE-1D176F2DB9CB}"/>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2 2" xfId="16041" xr:uid="{7DE285F3-E65B-41C1-A022-CE09834BADA8}"/>
    <cellStyle name="Currency 3 2 3 2 3 2 3" xfId="11823" xr:uid="{53EF87C2-B746-4C2C-AC77-5AB105B32C9F}"/>
    <cellStyle name="Currency 3 2 3 2 3 3" xfId="5467" xr:uid="{00000000-0005-0000-0000-0000080B0000}"/>
    <cellStyle name="Currency 3 2 3 2 3 3 2" xfId="13896" xr:uid="{D16CF97A-8920-46F7-89BC-95CEF2BA3827}"/>
    <cellStyle name="Currency 3 2 3 2 3 4" xfId="9678" xr:uid="{A0E41E7A-B27E-4795-8D54-744188F54BB8}"/>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2 2" xfId="16454" xr:uid="{3DD885A6-5181-41B8-A631-F34A407B030B}"/>
    <cellStyle name="Currency 3 2 3 2 4 2 3" xfId="12236" xr:uid="{99BAFA7A-E6BB-45A1-A558-FDF457C1D208}"/>
    <cellStyle name="Currency 3 2 3 2 4 3" xfId="5880" xr:uid="{00000000-0005-0000-0000-00000C0B0000}"/>
    <cellStyle name="Currency 3 2 3 2 4 3 2" xfId="14309" xr:uid="{28AA7318-817E-40B8-8B9F-944E2B6BF496}"/>
    <cellStyle name="Currency 3 2 3 2 4 4" xfId="10091" xr:uid="{377444C6-71E6-4549-A60A-AE16D91D087A}"/>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2 2" xfId="16867" xr:uid="{E54147A5-0491-40E1-BC23-9F4059C913C2}"/>
    <cellStyle name="Currency 3 2 3 2 5 2 3" xfId="12649" xr:uid="{3411A62A-EB64-476B-ADB7-23B00053CA8A}"/>
    <cellStyle name="Currency 3 2 3 2 5 3" xfId="6293" xr:uid="{00000000-0005-0000-0000-0000100B0000}"/>
    <cellStyle name="Currency 3 2 3 2 5 3 2" xfId="14722" xr:uid="{2235A53E-83FB-492D-9D71-A05C14BF0D7D}"/>
    <cellStyle name="Currency 3 2 3 2 5 4" xfId="10504" xr:uid="{279FAE51-014D-4A0E-87A1-F73DDD13397F}"/>
    <cellStyle name="Currency 3 2 3 2 6" xfId="2420" xr:uid="{00000000-0005-0000-0000-0000110B0000}"/>
    <cellStyle name="Currency 3 2 3 2 6 2" xfId="6706" xr:uid="{00000000-0005-0000-0000-0000120B0000}"/>
    <cellStyle name="Currency 3 2 3 2 6 2 2" xfId="15135" xr:uid="{BCC257A4-1B61-44D7-9271-DD7C7D338821}"/>
    <cellStyle name="Currency 3 2 3 2 6 3" xfId="10917" xr:uid="{7F89BE59-E786-47DC-B282-270735AD2A1D}"/>
    <cellStyle name="Currency 3 2 3 2 7" xfId="2717" xr:uid="{00000000-0005-0000-0000-0000130B0000}"/>
    <cellStyle name="Currency 3 2 3 2 8" xfId="2798" xr:uid="{00000000-0005-0000-0000-0000140B0000}"/>
    <cellStyle name="Currency 3 2 3 2 8 2" xfId="7023" xr:uid="{00000000-0005-0000-0000-0000150B0000}"/>
    <cellStyle name="Currency 3 2 3 2 8 2 2" xfId="15452" xr:uid="{1960F6A0-67CF-4EA7-8A8A-C9873A8282D9}"/>
    <cellStyle name="Currency 3 2 3 2 8 3" xfId="11234" xr:uid="{5B2CC8A2-3C0E-45EC-BB90-26084999705A}"/>
    <cellStyle name="Currency 3 2 3 2 9" xfId="4640" xr:uid="{00000000-0005-0000-0000-0000160B0000}"/>
    <cellStyle name="Currency 3 2 3 2 9 2" xfId="13069" xr:uid="{3A900F49-FCF6-4D48-8F8D-9D6EE5D9D73F}"/>
    <cellStyle name="Currency 3 2 3 3" xfId="713" xr:uid="{00000000-0005-0000-0000-0000170B0000}"/>
    <cellStyle name="Currency 3 2 3 3 2" xfId="2974" xr:uid="{00000000-0005-0000-0000-0000180B0000}"/>
    <cellStyle name="Currency 3 2 3 3 2 2" xfId="7198" xr:uid="{00000000-0005-0000-0000-0000190B0000}"/>
    <cellStyle name="Currency 3 2 3 3 2 2 2" xfId="15627" xr:uid="{A0FB5F87-F402-440E-8B45-44A712BB3854}"/>
    <cellStyle name="Currency 3 2 3 3 2 3" xfId="11409" xr:uid="{DE9F037F-D432-405B-8E99-46C0653804C5}"/>
    <cellStyle name="Currency 3 2 3 3 3" xfId="5053" xr:uid="{00000000-0005-0000-0000-00001A0B0000}"/>
    <cellStyle name="Currency 3 2 3 3 3 2" xfId="13482" xr:uid="{EECD4956-8F1C-44DD-ACF0-4D7C76603331}"/>
    <cellStyle name="Currency 3 2 3 3 4" xfId="9264" xr:uid="{6840797A-BCC3-4DB2-8A8E-8654762498D1}"/>
    <cellStyle name="Currency 3 2 3 4" xfId="1156" xr:uid="{00000000-0005-0000-0000-00001B0B0000}"/>
    <cellStyle name="Currency 3 2 3 4 2" xfId="3387" xr:uid="{00000000-0005-0000-0000-00001C0B0000}"/>
    <cellStyle name="Currency 3 2 3 4 2 2" xfId="7611" xr:uid="{00000000-0005-0000-0000-00001D0B0000}"/>
    <cellStyle name="Currency 3 2 3 4 2 2 2" xfId="16040" xr:uid="{6E747C14-C02A-4942-94C0-D313EA88B056}"/>
    <cellStyle name="Currency 3 2 3 4 2 3" xfId="11822" xr:uid="{CE4C2C11-F045-4CC5-842D-DF1719428F33}"/>
    <cellStyle name="Currency 3 2 3 4 3" xfId="5466" xr:uid="{00000000-0005-0000-0000-00001E0B0000}"/>
    <cellStyle name="Currency 3 2 3 4 3 2" xfId="13895" xr:uid="{0BB0F6CB-79E0-46D3-B4B9-F3BB08A6D9A7}"/>
    <cellStyle name="Currency 3 2 3 4 4" xfId="9677" xr:uid="{482453C9-1D87-403A-82E4-C3635418C05E}"/>
    <cellStyle name="Currency 3 2 3 5" xfId="1570" xr:uid="{00000000-0005-0000-0000-00001F0B0000}"/>
    <cellStyle name="Currency 3 2 3 5 2" xfId="3800" xr:uid="{00000000-0005-0000-0000-0000200B0000}"/>
    <cellStyle name="Currency 3 2 3 5 2 2" xfId="8024" xr:uid="{00000000-0005-0000-0000-0000210B0000}"/>
    <cellStyle name="Currency 3 2 3 5 2 2 2" xfId="16453" xr:uid="{EB7C6194-2AB5-44EB-BBCB-B6D3D6350713}"/>
    <cellStyle name="Currency 3 2 3 5 2 3" xfId="12235" xr:uid="{EB024B4E-4C36-4F38-ACFC-4C134E4FE110}"/>
    <cellStyle name="Currency 3 2 3 5 3" xfId="5879" xr:uid="{00000000-0005-0000-0000-0000220B0000}"/>
    <cellStyle name="Currency 3 2 3 5 3 2" xfId="14308" xr:uid="{0160E123-1B1D-4B6C-8FE4-80087702FE58}"/>
    <cellStyle name="Currency 3 2 3 5 4" xfId="10090" xr:uid="{A56037E1-ABAD-49E8-A5C9-0170C542B798}"/>
    <cellStyle name="Currency 3 2 3 6" xfId="1984" xr:uid="{00000000-0005-0000-0000-0000230B0000}"/>
    <cellStyle name="Currency 3 2 3 6 2" xfId="4213" xr:uid="{00000000-0005-0000-0000-0000240B0000}"/>
    <cellStyle name="Currency 3 2 3 6 2 2" xfId="8437" xr:uid="{00000000-0005-0000-0000-0000250B0000}"/>
    <cellStyle name="Currency 3 2 3 6 2 2 2" xfId="16866" xr:uid="{958C94EE-361E-4522-88F7-61CE36F79711}"/>
    <cellStyle name="Currency 3 2 3 6 2 3" xfId="12648" xr:uid="{E244BCB5-7F8E-41F7-91F2-03DAEEA23C08}"/>
    <cellStyle name="Currency 3 2 3 6 3" xfId="6292" xr:uid="{00000000-0005-0000-0000-0000260B0000}"/>
    <cellStyle name="Currency 3 2 3 6 3 2" xfId="14721" xr:uid="{F0E24989-D887-4D5D-A842-BFA35AA71673}"/>
    <cellStyle name="Currency 3 2 3 6 4" xfId="10503" xr:uid="{7472DB36-C15F-4438-9512-CD75415AA7F9}"/>
    <cellStyle name="Currency 3 2 3 7" xfId="2419" xr:uid="{00000000-0005-0000-0000-0000270B0000}"/>
    <cellStyle name="Currency 3 2 3 7 2" xfId="6705" xr:uid="{00000000-0005-0000-0000-0000280B0000}"/>
    <cellStyle name="Currency 3 2 3 7 2 2" xfId="15134" xr:uid="{46319777-D9EC-48D5-B400-E55670845F0A}"/>
    <cellStyle name="Currency 3 2 3 7 3" xfId="10916" xr:uid="{2760D95D-4809-483C-BED1-33D6B6A3489C}"/>
    <cellStyle name="Currency 3 2 3 8" xfId="2716" xr:uid="{00000000-0005-0000-0000-0000290B0000}"/>
    <cellStyle name="Currency 3 2 3 9" xfId="2797" xr:uid="{00000000-0005-0000-0000-00002A0B0000}"/>
    <cellStyle name="Currency 3 2 3 9 2" xfId="7022" xr:uid="{00000000-0005-0000-0000-00002B0B0000}"/>
    <cellStyle name="Currency 3 2 3 9 2 2" xfId="15451" xr:uid="{71A772FB-529E-4747-94E1-FE2BFD6300F6}"/>
    <cellStyle name="Currency 3 2 3 9 3" xfId="11233" xr:uid="{B535C415-13A7-427C-872E-D24E08EE8FCD}"/>
    <cellStyle name="Currency 3 2 4" xfId="184" xr:uid="{00000000-0005-0000-0000-00002C0B0000}"/>
    <cellStyle name="Currency 3 2 4 10" xfId="8852" xr:uid="{0B0B7C4F-FF9F-4F6B-9E7A-1D17E238F863}"/>
    <cellStyle name="Currency 3 2 4 2" xfId="715" xr:uid="{00000000-0005-0000-0000-00002D0B0000}"/>
    <cellStyle name="Currency 3 2 4 2 2" xfId="2976" xr:uid="{00000000-0005-0000-0000-00002E0B0000}"/>
    <cellStyle name="Currency 3 2 4 2 2 2" xfId="7200" xr:uid="{00000000-0005-0000-0000-00002F0B0000}"/>
    <cellStyle name="Currency 3 2 4 2 2 2 2" xfId="15629" xr:uid="{CAAECB38-818F-4086-AB89-3C683E78EBE5}"/>
    <cellStyle name="Currency 3 2 4 2 2 3" xfId="11411" xr:uid="{B473FE89-BCD7-4FF5-91C6-DE48B49B4AAD}"/>
    <cellStyle name="Currency 3 2 4 2 3" xfId="5055" xr:uid="{00000000-0005-0000-0000-0000300B0000}"/>
    <cellStyle name="Currency 3 2 4 2 3 2" xfId="13484" xr:uid="{1461EDB0-4BEB-411B-864A-3DAD33FB66ED}"/>
    <cellStyle name="Currency 3 2 4 2 4" xfId="9266" xr:uid="{E62AF6FD-FF3E-46A0-88E5-E341A30D1B0E}"/>
    <cellStyle name="Currency 3 2 4 3" xfId="1158" xr:uid="{00000000-0005-0000-0000-0000310B0000}"/>
    <cellStyle name="Currency 3 2 4 3 2" xfId="3389" xr:uid="{00000000-0005-0000-0000-0000320B0000}"/>
    <cellStyle name="Currency 3 2 4 3 2 2" xfId="7613" xr:uid="{00000000-0005-0000-0000-0000330B0000}"/>
    <cellStyle name="Currency 3 2 4 3 2 2 2" xfId="16042" xr:uid="{673570E7-B7A6-4065-925F-6AF3BBFDC929}"/>
    <cellStyle name="Currency 3 2 4 3 2 3" xfId="11824" xr:uid="{9DA124C3-5305-40C8-A3B7-0D32519023B8}"/>
    <cellStyle name="Currency 3 2 4 3 3" xfId="5468" xr:uid="{00000000-0005-0000-0000-0000340B0000}"/>
    <cellStyle name="Currency 3 2 4 3 3 2" xfId="13897" xr:uid="{6BABB4CD-2ACC-41F8-9001-CDF7E3D3F43E}"/>
    <cellStyle name="Currency 3 2 4 3 4" xfId="9679" xr:uid="{6AE32F7D-46CB-46C6-A572-25A5447EC829}"/>
    <cellStyle name="Currency 3 2 4 4" xfId="1572" xr:uid="{00000000-0005-0000-0000-0000350B0000}"/>
    <cellStyle name="Currency 3 2 4 4 2" xfId="3802" xr:uid="{00000000-0005-0000-0000-0000360B0000}"/>
    <cellStyle name="Currency 3 2 4 4 2 2" xfId="8026" xr:uid="{00000000-0005-0000-0000-0000370B0000}"/>
    <cellStyle name="Currency 3 2 4 4 2 2 2" xfId="16455" xr:uid="{FFB25348-09A1-4B48-A622-6997D45B9398}"/>
    <cellStyle name="Currency 3 2 4 4 2 3" xfId="12237" xr:uid="{9EAA63DA-EDB4-4B6D-90B4-64175F80CD94}"/>
    <cellStyle name="Currency 3 2 4 4 3" xfId="5881" xr:uid="{00000000-0005-0000-0000-0000380B0000}"/>
    <cellStyle name="Currency 3 2 4 4 3 2" xfId="14310" xr:uid="{A671BA62-814A-4E35-9CDA-34211F86A611}"/>
    <cellStyle name="Currency 3 2 4 4 4" xfId="10092" xr:uid="{97818D33-6A03-4752-8888-345C5AF9B398}"/>
    <cellStyle name="Currency 3 2 4 5" xfId="1986" xr:uid="{00000000-0005-0000-0000-0000390B0000}"/>
    <cellStyle name="Currency 3 2 4 5 2" xfId="4215" xr:uid="{00000000-0005-0000-0000-00003A0B0000}"/>
    <cellStyle name="Currency 3 2 4 5 2 2" xfId="8439" xr:uid="{00000000-0005-0000-0000-00003B0B0000}"/>
    <cellStyle name="Currency 3 2 4 5 2 2 2" xfId="16868" xr:uid="{69C5E49A-63D0-4747-871F-D53496BE9741}"/>
    <cellStyle name="Currency 3 2 4 5 2 3" xfId="12650" xr:uid="{38B8BEDF-F1C7-43E9-B335-56BC367B1BD0}"/>
    <cellStyle name="Currency 3 2 4 5 3" xfId="6294" xr:uid="{00000000-0005-0000-0000-00003C0B0000}"/>
    <cellStyle name="Currency 3 2 4 5 3 2" xfId="14723" xr:uid="{CC393673-11BD-4338-8D01-1B717DF3D767}"/>
    <cellStyle name="Currency 3 2 4 5 4" xfId="10505" xr:uid="{BBEAD405-9F8C-4629-A91D-F640EC355803}"/>
    <cellStyle name="Currency 3 2 4 6" xfId="2421" xr:uid="{00000000-0005-0000-0000-00003D0B0000}"/>
    <cellStyle name="Currency 3 2 4 6 2" xfId="6707" xr:uid="{00000000-0005-0000-0000-00003E0B0000}"/>
    <cellStyle name="Currency 3 2 4 6 2 2" xfId="15136" xr:uid="{FAA89DD9-5FCE-4017-8811-73375F6CFF52}"/>
    <cellStyle name="Currency 3 2 4 6 3" xfId="10918" xr:uid="{EABD88F6-64B6-401B-9D83-887AE581FC80}"/>
    <cellStyle name="Currency 3 2 4 7" xfId="2718" xr:uid="{00000000-0005-0000-0000-00003F0B0000}"/>
    <cellStyle name="Currency 3 2 4 8" xfId="2799" xr:uid="{00000000-0005-0000-0000-0000400B0000}"/>
    <cellStyle name="Currency 3 2 4 8 2" xfId="7024" xr:uid="{00000000-0005-0000-0000-0000410B0000}"/>
    <cellStyle name="Currency 3 2 4 8 2 2" xfId="15453" xr:uid="{186B7756-2F44-4805-8313-B3B139E011A5}"/>
    <cellStyle name="Currency 3 2 4 8 3" xfId="11235" xr:uid="{606ED162-BFD4-4BEC-A01E-71062AD9D027}"/>
    <cellStyle name="Currency 3 2 4 9" xfId="4641" xr:uid="{00000000-0005-0000-0000-0000420B0000}"/>
    <cellStyle name="Currency 3 2 4 9 2" xfId="13070" xr:uid="{BD8885B7-5D32-490D-8F21-519B1D9FA2F1}"/>
    <cellStyle name="Currency 3 2 5" xfId="185" xr:uid="{00000000-0005-0000-0000-0000430B0000}"/>
    <cellStyle name="Currency 3 2 5 10" xfId="8853" xr:uid="{5B87C9C5-7819-4040-8939-8F76D93AF850}"/>
    <cellStyle name="Currency 3 2 5 2" xfId="716" xr:uid="{00000000-0005-0000-0000-0000440B0000}"/>
    <cellStyle name="Currency 3 2 5 2 2" xfId="2977" xr:uid="{00000000-0005-0000-0000-0000450B0000}"/>
    <cellStyle name="Currency 3 2 5 2 2 2" xfId="7201" xr:uid="{00000000-0005-0000-0000-0000460B0000}"/>
    <cellStyle name="Currency 3 2 5 2 2 2 2" xfId="15630" xr:uid="{FA7BCF44-29CA-4D32-92D1-38163E13A870}"/>
    <cellStyle name="Currency 3 2 5 2 2 3" xfId="11412" xr:uid="{64201FEA-8214-4A6C-B7B9-6F642A232E12}"/>
    <cellStyle name="Currency 3 2 5 2 3" xfId="5056" xr:uid="{00000000-0005-0000-0000-0000470B0000}"/>
    <cellStyle name="Currency 3 2 5 2 3 2" xfId="13485" xr:uid="{4B248626-4CAB-49E7-8360-A656A7BB66BD}"/>
    <cellStyle name="Currency 3 2 5 2 4" xfId="9267" xr:uid="{EFCDD1A8-5CCE-49EB-B241-666C719064A0}"/>
    <cellStyle name="Currency 3 2 5 3" xfId="1159" xr:uid="{00000000-0005-0000-0000-0000480B0000}"/>
    <cellStyle name="Currency 3 2 5 3 2" xfId="3390" xr:uid="{00000000-0005-0000-0000-0000490B0000}"/>
    <cellStyle name="Currency 3 2 5 3 2 2" xfId="7614" xr:uid="{00000000-0005-0000-0000-00004A0B0000}"/>
    <cellStyle name="Currency 3 2 5 3 2 2 2" xfId="16043" xr:uid="{46E70A0D-2AE3-491E-AC79-ED6586771DE4}"/>
    <cellStyle name="Currency 3 2 5 3 2 3" xfId="11825" xr:uid="{6875DD4A-C79D-4A04-87B0-2446829A41CD}"/>
    <cellStyle name="Currency 3 2 5 3 3" xfId="5469" xr:uid="{00000000-0005-0000-0000-00004B0B0000}"/>
    <cellStyle name="Currency 3 2 5 3 3 2" xfId="13898" xr:uid="{779C30B5-821C-4EF2-9113-3EFE77872C35}"/>
    <cellStyle name="Currency 3 2 5 3 4" xfId="9680" xr:uid="{138C825C-AB1F-4FF8-9CCD-8F698D3F35A2}"/>
    <cellStyle name="Currency 3 2 5 4" xfId="1573" xr:uid="{00000000-0005-0000-0000-00004C0B0000}"/>
    <cellStyle name="Currency 3 2 5 4 2" xfId="3803" xr:uid="{00000000-0005-0000-0000-00004D0B0000}"/>
    <cellStyle name="Currency 3 2 5 4 2 2" xfId="8027" xr:uid="{00000000-0005-0000-0000-00004E0B0000}"/>
    <cellStyle name="Currency 3 2 5 4 2 2 2" xfId="16456" xr:uid="{F133EDD4-3638-4E6C-9426-9FD5C195DA2C}"/>
    <cellStyle name="Currency 3 2 5 4 2 3" xfId="12238" xr:uid="{E2202F8D-FB9C-4988-8B34-56FB7A633558}"/>
    <cellStyle name="Currency 3 2 5 4 3" xfId="5882" xr:uid="{00000000-0005-0000-0000-00004F0B0000}"/>
    <cellStyle name="Currency 3 2 5 4 3 2" xfId="14311" xr:uid="{92A71EC0-9AF2-4F24-906A-9E47236FBC32}"/>
    <cellStyle name="Currency 3 2 5 4 4" xfId="10093" xr:uid="{138D966F-6C06-464A-9C80-55F2AD102980}"/>
    <cellStyle name="Currency 3 2 5 5" xfId="1987" xr:uid="{00000000-0005-0000-0000-0000500B0000}"/>
    <cellStyle name="Currency 3 2 5 5 2" xfId="4216" xr:uid="{00000000-0005-0000-0000-0000510B0000}"/>
    <cellStyle name="Currency 3 2 5 5 2 2" xfId="8440" xr:uid="{00000000-0005-0000-0000-0000520B0000}"/>
    <cellStyle name="Currency 3 2 5 5 2 2 2" xfId="16869" xr:uid="{04C8484F-DC8C-4F6F-A094-3BAF46AAD2F4}"/>
    <cellStyle name="Currency 3 2 5 5 2 3" xfId="12651" xr:uid="{F0244C12-9F52-4D4B-A517-C60D3E19126D}"/>
    <cellStyle name="Currency 3 2 5 5 3" xfId="6295" xr:uid="{00000000-0005-0000-0000-0000530B0000}"/>
    <cellStyle name="Currency 3 2 5 5 3 2" xfId="14724" xr:uid="{FEF9956F-2E13-4CD9-A5AC-DE4156ACC10E}"/>
    <cellStyle name="Currency 3 2 5 5 4" xfId="10506" xr:uid="{DF30D5D0-8A59-4209-8885-4D8D527B6A34}"/>
    <cellStyle name="Currency 3 2 5 6" xfId="2422" xr:uid="{00000000-0005-0000-0000-0000540B0000}"/>
    <cellStyle name="Currency 3 2 5 6 2" xfId="6708" xr:uid="{00000000-0005-0000-0000-0000550B0000}"/>
    <cellStyle name="Currency 3 2 5 6 2 2" xfId="15137" xr:uid="{41B7B522-A0B2-4BB3-BB05-B3E5B5AF76E4}"/>
    <cellStyle name="Currency 3 2 5 6 3" xfId="10919" xr:uid="{41C0CDE7-497A-49ED-97F2-1EFFF6702835}"/>
    <cellStyle name="Currency 3 2 5 7" xfId="2719" xr:uid="{00000000-0005-0000-0000-0000560B0000}"/>
    <cellStyle name="Currency 3 2 5 8" xfId="2800" xr:uid="{00000000-0005-0000-0000-0000570B0000}"/>
    <cellStyle name="Currency 3 2 5 8 2" xfId="7025" xr:uid="{00000000-0005-0000-0000-0000580B0000}"/>
    <cellStyle name="Currency 3 2 5 8 2 2" xfId="15454" xr:uid="{FEBE8B9B-B23E-4FF8-A567-1DA7F7117251}"/>
    <cellStyle name="Currency 3 2 5 8 3" xfId="11236" xr:uid="{1FA6FBF2-C9CB-4403-B289-C4F6358FEA64}"/>
    <cellStyle name="Currency 3 2 5 9" xfId="4642" xr:uid="{00000000-0005-0000-0000-0000590B0000}"/>
    <cellStyle name="Currency 3 2 5 9 2" xfId="13071" xr:uid="{951F2138-ECEA-4C8A-A6A2-7B1EABD6942B}"/>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2 2" xfId="15455" xr:uid="{4D14FCF9-196D-4567-A3EE-86498B27C8F6}"/>
    <cellStyle name="Currency 5 2 2 2 10 3" xfId="11237" xr:uid="{79E460FB-88FC-45A4-8F91-B3AC50BE9152}"/>
    <cellStyle name="Currency 5 2 2 2 11" xfId="4643" xr:uid="{00000000-0005-0000-0000-00006C0B0000}"/>
    <cellStyle name="Currency 5 2 2 2 11 2" xfId="13072" xr:uid="{A1DD3269-0790-49DE-A964-BEDB98E22284}"/>
    <cellStyle name="Currency 5 2 2 2 12" xfId="8854" xr:uid="{79D9CB35-86E7-4ED8-B7F5-C9C3CA4A5FA1}"/>
    <cellStyle name="Currency 5 2 2 2 2" xfId="197" xr:uid="{00000000-0005-0000-0000-00006D0B0000}"/>
    <cellStyle name="Currency 5 2 2 2 2 10" xfId="4644" xr:uid="{00000000-0005-0000-0000-00006E0B0000}"/>
    <cellStyle name="Currency 5 2 2 2 2 10 2" xfId="13073" xr:uid="{A5CA77FB-2534-444A-A043-F4027DFF429C}"/>
    <cellStyle name="Currency 5 2 2 2 2 11" xfId="8855" xr:uid="{7D9501B4-D61C-4F04-B3D3-601C4970661A}"/>
    <cellStyle name="Currency 5 2 2 2 2 2" xfId="198" xr:uid="{00000000-0005-0000-0000-00006F0B0000}"/>
    <cellStyle name="Currency 5 2 2 2 2 2 10" xfId="8856" xr:uid="{B96F0070-997D-4F57-AF74-F0D8DD62CEEB}"/>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2 2" xfId="15633" xr:uid="{F13EDEFD-84E7-4D0D-9266-A0CDF313622D}"/>
    <cellStyle name="Currency 5 2 2 2 2 2 2 2 3" xfId="11415" xr:uid="{B463BCF1-8AFB-4DD4-A126-3E434CB90158}"/>
    <cellStyle name="Currency 5 2 2 2 2 2 2 3" xfId="5059" xr:uid="{00000000-0005-0000-0000-0000730B0000}"/>
    <cellStyle name="Currency 5 2 2 2 2 2 2 3 2" xfId="13488" xr:uid="{7C536168-6342-4D4A-840B-FD590CC6BDE8}"/>
    <cellStyle name="Currency 5 2 2 2 2 2 2 4" xfId="9270" xr:uid="{2CD667D9-2024-4E69-ABF0-228CDDADDFB7}"/>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2 2" xfId="16046" xr:uid="{E942B605-C221-4709-BC0A-EB69DA53EDED}"/>
    <cellStyle name="Currency 5 2 2 2 2 2 3 2 3" xfId="11828" xr:uid="{7D2C61EC-EFE1-40FF-BCD3-C57959F55CE5}"/>
    <cellStyle name="Currency 5 2 2 2 2 2 3 3" xfId="5472" xr:uid="{00000000-0005-0000-0000-0000770B0000}"/>
    <cellStyle name="Currency 5 2 2 2 2 2 3 3 2" xfId="13901" xr:uid="{24812FB8-5A02-4610-9886-865A2E2CBD79}"/>
    <cellStyle name="Currency 5 2 2 2 2 2 3 4" xfId="9683" xr:uid="{603A59CC-179B-4C07-A6C8-8015F837F855}"/>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2 2" xfId="16459" xr:uid="{51DA8559-849D-4D32-9168-D8F1C922DE18}"/>
    <cellStyle name="Currency 5 2 2 2 2 2 4 2 3" xfId="12241" xr:uid="{CD8C20EB-BE1A-4E7C-8E35-2D171D07BAB5}"/>
    <cellStyle name="Currency 5 2 2 2 2 2 4 3" xfId="5885" xr:uid="{00000000-0005-0000-0000-00007B0B0000}"/>
    <cellStyle name="Currency 5 2 2 2 2 2 4 3 2" xfId="14314" xr:uid="{CA7C19CE-7B05-4537-BBFA-2BBFDEF6D1A7}"/>
    <cellStyle name="Currency 5 2 2 2 2 2 4 4" xfId="10096" xr:uid="{76E3C324-C8AF-43A0-9053-A323A4E9AE54}"/>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2 2" xfId="16872" xr:uid="{8F3C9B32-9B42-47BE-9A0B-C48CEE66FE1A}"/>
    <cellStyle name="Currency 5 2 2 2 2 2 5 2 3" xfId="12654" xr:uid="{C1A81C77-3C89-45D1-8564-74ABE5D296F2}"/>
    <cellStyle name="Currency 5 2 2 2 2 2 5 3" xfId="6298" xr:uid="{00000000-0005-0000-0000-00007F0B0000}"/>
    <cellStyle name="Currency 5 2 2 2 2 2 5 3 2" xfId="14727" xr:uid="{EB597C77-B6B0-4B45-A3AE-698D23F1192F}"/>
    <cellStyle name="Currency 5 2 2 2 2 2 5 4" xfId="10509" xr:uid="{B2E45273-413E-4B4A-8A73-AE5A7B43D3C3}"/>
    <cellStyle name="Currency 5 2 2 2 2 2 6" xfId="2425" xr:uid="{00000000-0005-0000-0000-0000800B0000}"/>
    <cellStyle name="Currency 5 2 2 2 2 2 6 2" xfId="6711" xr:uid="{00000000-0005-0000-0000-0000810B0000}"/>
    <cellStyle name="Currency 5 2 2 2 2 2 6 2 2" xfId="15140" xr:uid="{D5B419B2-4A6B-4AC9-AB0A-01C53333788D}"/>
    <cellStyle name="Currency 5 2 2 2 2 2 6 3" xfId="10922" xr:uid="{54B7E751-7205-4018-A22E-0FC6545500D3}"/>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2 2" xfId="15457" xr:uid="{EC7F587F-E36B-4646-95F4-DAC9D6C03D10}"/>
    <cellStyle name="Currency 5 2 2 2 2 2 8 3" xfId="11239" xr:uid="{24975FAE-0B03-4E76-A508-BEE872B449AB}"/>
    <cellStyle name="Currency 5 2 2 2 2 2 9" xfId="4645" xr:uid="{00000000-0005-0000-0000-0000850B0000}"/>
    <cellStyle name="Currency 5 2 2 2 2 2 9 2" xfId="13074" xr:uid="{3121DCE8-16DF-46B3-A981-7A193FB66367}"/>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2 2" xfId="15632" xr:uid="{8A2C4E78-BEC9-4E71-8E61-50DCD408ED8B}"/>
    <cellStyle name="Currency 5 2 2 2 2 3 2 3" xfId="11414" xr:uid="{80A9A3F3-4995-4DEF-B194-94A8846396C0}"/>
    <cellStyle name="Currency 5 2 2 2 2 3 3" xfId="5058" xr:uid="{00000000-0005-0000-0000-0000890B0000}"/>
    <cellStyle name="Currency 5 2 2 2 2 3 3 2" xfId="13487" xr:uid="{37A4AB01-FAA2-474F-B225-D2A5725EAEBC}"/>
    <cellStyle name="Currency 5 2 2 2 2 3 4" xfId="9269" xr:uid="{41AC5926-EC10-46D2-AE4F-377A43FA0A15}"/>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2 2" xfId="16045" xr:uid="{89C3A85F-DB6C-4BFC-892F-597C02748FDD}"/>
    <cellStyle name="Currency 5 2 2 2 2 4 2 3" xfId="11827" xr:uid="{B13AFBE0-010B-4F3B-9215-A1EAE0167515}"/>
    <cellStyle name="Currency 5 2 2 2 2 4 3" xfId="5471" xr:uid="{00000000-0005-0000-0000-00008D0B0000}"/>
    <cellStyle name="Currency 5 2 2 2 2 4 3 2" xfId="13900" xr:uid="{978174FD-AF8A-4C0A-A69B-A7C0DC8E69BA}"/>
    <cellStyle name="Currency 5 2 2 2 2 4 4" xfId="9682" xr:uid="{4C73C5AA-C974-4EDC-B316-04D76C5F7AE7}"/>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2 2" xfId="16458" xr:uid="{45566DEB-72EB-4D38-AA3D-4EB0FAF7D81E}"/>
    <cellStyle name="Currency 5 2 2 2 2 5 2 3" xfId="12240" xr:uid="{3335DAA7-0593-4BDD-83F3-45A6378A44EC}"/>
    <cellStyle name="Currency 5 2 2 2 2 5 3" xfId="5884" xr:uid="{00000000-0005-0000-0000-0000910B0000}"/>
    <cellStyle name="Currency 5 2 2 2 2 5 3 2" xfId="14313" xr:uid="{5C235DF9-6A86-4CB5-9F47-9EFCCC7884E9}"/>
    <cellStyle name="Currency 5 2 2 2 2 5 4" xfId="10095" xr:uid="{71B8511E-A6A4-4A14-BCAD-900B1C41CE09}"/>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2 2" xfId="16871" xr:uid="{D5724FD6-312F-4714-B800-D82EA77C94A4}"/>
    <cellStyle name="Currency 5 2 2 2 2 6 2 3" xfId="12653" xr:uid="{8716ECD7-D08B-4DB4-AFAD-E26129E92430}"/>
    <cellStyle name="Currency 5 2 2 2 2 6 3" xfId="6297" xr:uid="{00000000-0005-0000-0000-0000950B0000}"/>
    <cellStyle name="Currency 5 2 2 2 2 6 3 2" xfId="14726" xr:uid="{15A05AF8-767F-4763-A95B-322B5A92071D}"/>
    <cellStyle name="Currency 5 2 2 2 2 6 4" xfId="10508" xr:uid="{B35372B3-8C2D-4516-9AF3-946CB21B2452}"/>
    <cellStyle name="Currency 5 2 2 2 2 7" xfId="2424" xr:uid="{00000000-0005-0000-0000-0000960B0000}"/>
    <cellStyle name="Currency 5 2 2 2 2 7 2" xfId="6710" xr:uid="{00000000-0005-0000-0000-0000970B0000}"/>
    <cellStyle name="Currency 5 2 2 2 2 7 2 2" xfId="15139" xr:uid="{9766385A-37B5-41F1-A907-896DDD5ED78C}"/>
    <cellStyle name="Currency 5 2 2 2 2 7 3" xfId="10921" xr:uid="{D4C04099-1156-4817-B9D1-612C6439EAFF}"/>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2 2" xfId="15456" xr:uid="{6137A332-C3C2-40EC-8700-AF1D28FEE30A}"/>
    <cellStyle name="Currency 5 2 2 2 2 9 3" xfId="11238" xr:uid="{DA445AC6-7648-49DB-9A70-856CA76C0207}"/>
    <cellStyle name="Currency 5 2 2 2 3" xfId="199" xr:uid="{00000000-0005-0000-0000-00009B0B0000}"/>
    <cellStyle name="Currency 5 2 2 2 3 10" xfId="8857" xr:uid="{3E5AA59D-026A-4906-896D-A34FF30589DE}"/>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2 2" xfId="15634" xr:uid="{940E7613-387D-485A-8808-0C746B9A14AD}"/>
    <cellStyle name="Currency 5 2 2 2 3 2 2 3" xfId="11416" xr:uid="{20C56D84-C535-4C30-805C-BF9068BEFC56}"/>
    <cellStyle name="Currency 5 2 2 2 3 2 3" xfId="5060" xr:uid="{00000000-0005-0000-0000-00009F0B0000}"/>
    <cellStyle name="Currency 5 2 2 2 3 2 3 2" xfId="13489" xr:uid="{E62F09DA-8B06-4B22-900E-E741EA5E8B01}"/>
    <cellStyle name="Currency 5 2 2 2 3 2 4" xfId="9271" xr:uid="{C5BC14FB-7DC2-4041-ADFE-D8CC58BB6125}"/>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2 2" xfId="16047" xr:uid="{3BE91040-A744-4DA5-9529-ADC114634D63}"/>
    <cellStyle name="Currency 5 2 2 2 3 3 2 3" xfId="11829" xr:uid="{8E62217A-BF4F-4492-85C8-E4AC81FD3911}"/>
    <cellStyle name="Currency 5 2 2 2 3 3 3" xfId="5473" xr:uid="{00000000-0005-0000-0000-0000A30B0000}"/>
    <cellStyle name="Currency 5 2 2 2 3 3 3 2" xfId="13902" xr:uid="{6B549788-8C22-4FAB-98A6-2CA93A191519}"/>
    <cellStyle name="Currency 5 2 2 2 3 3 4" xfId="9684" xr:uid="{825F8364-E3F8-47B2-BE43-863EEC95B0FC}"/>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2 2" xfId="16460" xr:uid="{A89AF63F-DB1F-4734-907E-09CD1B281A9F}"/>
    <cellStyle name="Currency 5 2 2 2 3 4 2 3" xfId="12242" xr:uid="{CE8064DF-65CF-42AD-B724-351693BD82BB}"/>
    <cellStyle name="Currency 5 2 2 2 3 4 3" xfId="5886" xr:uid="{00000000-0005-0000-0000-0000A70B0000}"/>
    <cellStyle name="Currency 5 2 2 2 3 4 3 2" xfId="14315" xr:uid="{EC0BCFBB-1A4F-422A-AE6F-495B209EA578}"/>
    <cellStyle name="Currency 5 2 2 2 3 4 4" xfId="10097" xr:uid="{3DD20AE8-D901-42D2-8B5C-A1A4291613D6}"/>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2 2" xfId="16873" xr:uid="{2F4925BF-4399-46B2-9F92-551F66F7587F}"/>
    <cellStyle name="Currency 5 2 2 2 3 5 2 3" xfId="12655" xr:uid="{13328DB1-70A4-43D9-A715-3FBE1FAA9665}"/>
    <cellStyle name="Currency 5 2 2 2 3 5 3" xfId="6299" xr:uid="{00000000-0005-0000-0000-0000AB0B0000}"/>
    <cellStyle name="Currency 5 2 2 2 3 5 3 2" xfId="14728" xr:uid="{DE7AD96E-8752-4848-9DB5-5ADEE1089630}"/>
    <cellStyle name="Currency 5 2 2 2 3 5 4" xfId="10510" xr:uid="{52BCE355-C3D5-4AFD-A87C-824C6655C31B}"/>
    <cellStyle name="Currency 5 2 2 2 3 6" xfId="2426" xr:uid="{00000000-0005-0000-0000-0000AC0B0000}"/>
    <cellStyle name="Currency 5 2 2 2 3 6 2" xfId="6712" xr:uid="{00000000-0005-0000-0000-0000AD0B0000}"/>
    <cellStyle name="Currency 5 2 2 2 3 6 2 2" xfId="15141" xr:uid="{DBB2DC56-F49C-4C43-A67A-DC0385B4F6AE}"/>
    <cellStyle name="Currency 5 2 2 2 3 6 3" xfId="10923" xr:uid="{AE7DBD86-3BDB-4833-BB03-EC034FDB4245}"/>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2 2" xfId="15458" xr:uid="{E6433635-D084-4651-80B5-AFC72183280E}"/>
    <cellStyle name="Currency 5 2 2 2 3 8 3" xfId="11240" xr:uid="{4207905C-4026-4DE0-B15D-64DC06C18771}"/>
    <cellStyle name="Currency 5 2 2 2 3 9" xfId="4646" xr:uid="{00000000-0005-0000-0000-0000B10B0000}"/>
    <cellStyle name="Currency 5 2 2 2 3 9 2" xfId="13075" xr:uid="{D556483B-D150-4CD0-808C-183A03A8806D}"/>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2 2" xfId="15631" xr:uid="{9B6FAA3A-F2E8-45FD-8164-1712652965BB}"/>
    <cellStyle name="Currency 5 2 2 2 4 2 3" xfId="11413" xr:uid="{40C3976A-402E-4A24-AAB8-F41240735274}"/>
    <cellStyle name="Currency 5 2 2 2 4 3" xfId="5057" xr:uid="{00000000-0005-0000-0000-0000B50B0000}"/>
    <cellStyle name="Currency 5 2 2 2 4 3 2" xfId="13486" xr:uid="{A679B9CA-351F-4244-BBD4-69F22176BE7B}"/>
    <cellStyle name="Currency 5 2 2 2 4 4" xfId="9268" xr:uid="{BA097231-A7FE-44BF-946F-FFCAF70632FB}"/>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2 2" xfId="16044" xr:uid="{503A3883-F558-4427-A476-CA58E78D59BB}"/>
    <cellStyle name="Currency 5 2 2 2 5 2 3" xfId="11826" xr:uid="{1357486B-6AE3-4AB2-9E41-E20F2022FF39}"/>
    <cellStyle name="Currency 5 2 2 2 5 3" xfId="5470" xr:uid="{00000000-0005-0000-0000-0000B90B0000}"/>
    <cellStyle name="Currency 5 2 2 2 5 3 2" xfId="13899" xr:uid="{5B78F49D-792B-49EF-A27D-9E4E6890FAFD}"/>
    <cellStyle name="Currency 5 2 2 2 5 4" xfId="9681" xr:uid="{14617371-8CAA-4BE6-A2F6-605E63467244}"/>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2 2" xfId="16457" xr:uid="{857DD09B-4801-45BC-A639-B23FF77C9F8B}"/>
    <cellStyle name="Currency 5 2 2 2 6 2 3" xfId="12239" xr:uid="{89B34BEF-C964-4649-8881-435F5DDE9363}"/>
    <cellStyle name="Currency 5 2 2 2 6 3" xfId="5883" xr:uid="{00000000-0005-0000-0000-0000BD0B0000}"/>
    <cellStyle name="Currency 5 2 2 2 6 3 2" xfId="14312" xr:uid="{90F142CC-DE94-407B-9CFE-1746A17B34D5}"/>
    <cellStyle name="Currency 5 2 2 2 6 4" xfId="10094" xr:uid="{9F2226B3-36DE-402E-B5D3-FC3CFC84FF16}"/>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2 2" xfId="16870" xr:uid="{7523FF81-0B89-42A4-B6E6-8FA613EACDD3}"/>
    <cellStyle name="Currency 5 2 2 2 7 2 3" xfId="12652" xr:uid="{35EFF5BC-AD17-4810-B862-AF3638A574BC}"/>
    <cellStyle name="Currency 5 2 2 2 7 3" xfId="6296" xr:uid="{00000000-0005-0000-0000-0000C10B0000}"/>
    <cellStyle name="Currency 5 2 2 2 7 3 2" xfId="14725" xr:uid="{7A34F50B-9ED8-4E14-B360-A4FB15FE0A7E}"/>
    <cellStyle name="Currency 5 2 2 2 7 4" xfId="10507" xr:uid="{9A60680B-1CE9-4CDB-A8C6-2E9E297B9950}"/>
    <cellStyle name="Currency 5 2 2 2 8" xfId="2423" xr:uid="{00000000-0005-0000-0000-0000C20B0000}"/>
    <cellStyle name="Currency 5 2 2 2 8 2" xfId="6709" xr:uid="{00000000-0005-0000-0000-0000C30B0000}"/>
    <cellStyle name="Currency 5 2 2 2 8 2 2" xfId="15138" xr:uid="{4F49C429-E90D-45AB-B8F3-7D1149C82E3D}"/>
    <cellStyle name="Currency 5 2 2 2 8 3" xfId="10920" xr:uid="{82CC06F1-72A3-4161-9AE8-DF4BD39E0E1C}"/>
    <cellStyle name="Currency 5 2 2 2 9" xfId="2720" xr:uid="{00000000-0005-0000-0000-0000C40B0000}"/>
    <cellStyle name="Currency 5 2 2 3" xfId="200" xr:uid="{00000000-0005-0000-0000-0000C50B0000}"/>
    <cellStyle name="Currency 5 2 2 3 10" xfId="4647" xr:uid="{00000000-0005-0000-0000-0000C60B0000}"/>
    <cellStyle name="Currency 5 2 2 3 10 2" xfId="13076" xr:uid="{07B72721-F915-497F-B408-24AB8187915A}"/>
    <cellStyle name="Currency 5 2 2 3 11" xfId="8858" xr:uid="{BBEEE9A9-A552-4E92-9AB3-4BFB9CE63523}"/>
    <cellStyle name="Currency 5 2 2 3 2" xfId="201" xr:uid="{00000000-0005-0000-0000-0000C70B0000}"/>
    <cellStyle name="Currency 5 2 2 3 2 10" xfId="8859" xr:uid="{B656CC09-A8AC-470A-9A80-482ACCD894D7}"/>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2 2" xfId="15636" xr:uid="{717482AB-F217-4A19-8D4B-9B52C827F2D3}"/>
    <cellStyle name="Currency 5 2 2 3 2 2 2 3" xfId="11418" xr:uid="{069E94CB-E47B-4638-88F0-79B15F598716}"/>
    <cellStyle name="Currency 5 2 2 3 2 2 3" xfId="5062" xr:uid="{00000000-0005-0000-0000-0000CB0B0000}"/>
    <cellStyle name="Currency 5 2 2 3 2 2 3 2" xfId="13491" xr:uid="{E8C14A3D-F636-4970-B0F5-218914BA74E7}"/>
    <cellStyle name="Currency 5 2 2 3 2 2 4" xfId="9273" xr:uid="{1A0E1257-2E5E-4FC1-A2B2-20F3A601A96A}"/>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2 2" xfId="16049" xr:uid="{FE057FC2-521A-40A9-9DF0-060E4AC410FB}"/>
    <cellStyle name="Currency 5 2 2 3 2 3 2 3" xfId="11831" xr:uid="{89D8D49E-1DA4-466E-A29D-ADBC0551BA82}"/>
    <cellStyle name="Currency 5 2 2 3 2 3 3" xfId="5475" xr:uid="{00000000-0005-0000-0000-0000CF0B0000}"/>
    <cellStyle name="Currency 5 2 2 3 2 3 3 2" xfId="13904" xr:uid="{EA680D77-006B-4D25-BA0E-A9FC273724B1}"/>
    <cellStyle name="Currency 5 2 2 3 2 3 4" xfId="9686" xr:uid="{E2CE123F-E189-4C2E-A6BE-B590E59797E2}"/>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2 2" xfId="16462" xr:uid="{D846DD30-68C9-4DEC-B2FA-646D0A61651F}"/>
    <cellStyle name="Currency 5 2 2 3 2 4 2 3" xfId="12244" xr:uid="{3AEEAA25-CD61-46E2-9C29-4D4D37179BDF}"/>
    <cellStyle name="Currency 5 2 2 3 2 4 3" xfId="5888" xr:uid="{00000000-0005-0000-0000-0000D30B0000}"/>
    <cellStyle name="Currency 5 2 2 3 2 4 3 2" xfId="14317" xr:uid="{875912C8-3F2F-4A92-A248-55ECFF3E73E2}"/>
    <cellStyle name="Currency 5 2 2 3 2 4 4" xfId="10099" xr:uid="{B568201B-848A-475F-AAD2-85F4C46E0626}"/>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2 2" xfId="16875" xr:uid="{D5402611-7E89-4C94-96D6-A23404A89958}"/>
    <cellStyle name="Currency 5 2 2 3 2 5 2 3" xfId="12657" xr:uid="{D9846674-F3E2-4D8B-868F-13DFF12D9A67}"/>
    <cellStyle name="Currency 5 2 2 3 2 5 3" xfId="6301" xr:uid="{00000000-0005-0000-0000-0000D70B0000}"/>
    <cellStyle name="Currency 5 2 2 3 2 5 3 2" xfId="14730" xr:uid="{392174AD-5188-4CF1-99F0-5F8D96DC0EE0}"/>
    <cellStyle name="Currency 5 2 2 3 2 5 4" xfId="10512" xr:uid="{03037FD5-3FE6-4CDA-9B7A-4397ADD60B9A}"/>
    <cellStyle name="Currency 5 2 2 3 2 6" xfId="2428" xr:uid="{00000000-0005-0000-0000-0000D80B0000}"/>
    <cellStyle name="Currency 5 2 2 3 2 6 2" xfId="6714" xr:uid="{00000000-0005-0000-0000-0000D90B0000}"/>
    <cellStyle name="Currency 5 2 2 3 2 6 2 2" xfId="15143" xr:uid="{64A524B4-A90D-4D1A-B958-8E2A253955DD}"/>
    <cellStyle name="Currency 5 2 2 3 2 6 3" xfId="10925" xr:uid="{68E5908F-1172-4CF5-A345-BAC82FCE8E8D}"/>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2 2" xfId="15460" xr:uid="{97310448-4FB0-4E2B-852A-9908F6BD4FFB}"/>
    <cellStyle name="Currency 5 2 2 3 2 8 3" xfId="11242" xr:uid="{12A28086-9F3A-4E6E-9A08-D0F8CE143210}"/>
    <cellStyle name="Currency 5 2 2 3 2 9" xfId="4648" xr:uid="{00000000-0005-0000-0000-0000DD0B0000}"/>
    <cellStyle name="Currency 5 2 2 3 2 9 2" xfId="13077" xr:uid="{F3310A6C-1482-4493-827B-FA6940365C18}"/>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2 2" xfId="15635" xr:uid="{A25D6737-8F2B-4386-A666-1C1CBA2AE26F}"/>
    <cellStyle name="Currency 5 2 2 3 3 2 3" xfId="11417" xr:uid="{7F5EF13D-3F9B-4D81-A5FF-3E59414579F3}"/>
    <cellStyle name="Currency 5 2 2 3 3 3" xfId="5061" xr:uid="{00000000-0005-0000-0000-0000E10B0000}"/>
    <cellStyle name="Currency 5 2 2 3 3 3 2" xfId="13490" xr:uid="{A781E8B4-6306-4165-9002-C9CFB5EFB850}"/>
    <cellStyle name="Currency 5 2 2 3 3 4" xfId="9272" xr:uid="{1353DA44-5151-4312-B82C-71C3B4876895}"/>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2 2" xfId="16048" xr:uid="{CDB0F0B2-4C49-4752-A827-E9EF1F8BB8D0}"/>
    <cellStyle name="Currency 5 2 2 3 4 2 3" xfId="11830" xr:uid="{17DEF28F-78FC-4ED6-8EC1-AA5EA30806E4}"/>
    <cellStyle name="Currency 5 2 2 3 4 3" xfId="5474" xr:uid="{00000000-0005-0000-0000-0000E50B0000}"/>
    <cellStyle name="Currency 5 2 2 3 4 3 2" xfId="13903" xr:uid="{18D2B75E-D3B3-4830-BDEF-AB7D1F496C02}"/>
    <cellStyle name="Currency 5 2 2 3 4 4" xfId="9685" xr:uid="{D122C4C8-34C4-4B21-BD17-15B721158A61}"/>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2 2" xfId="16461" xr:uid="{B30BE70C-843F-4786-9DEB-F75C4028011C}"/>
    <cellStyle name="Currency 5 2 2 3 5 2 3" xfId="12243" xr:uid="{A0D2563B-9F2D-486B-A1B9-2BC93E537F1D}"/>
    <cellStyle name="Currency 5 2 2 3 5 3" xfId="5887" xr:uid="{00000000-0005-0000-0000-0000E90B0000}"/>
    <cellStyle name="Currency 5 2 2 3 5 3 2" xfId="14316" xr:uid="{CD2935A5-063A-4720-84EB-B14B274D53EA}"/>
    <cellStyle name="Currency 5 2 2 3 5 4" xfId="10098" xr:uid="{E2306906-030E-4328-BAE8-79585A0D1B2B}"/>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2 2" xfId="16874" xr:uid="{79C4F57A-0641-4E63-B03E-A5CC71846ECC}"/>
    <cellStyle name="Currency 5 2 2 3 6 2 3" xfId="12656" xr:uid="{6BE7E84D-3D1E-47FA-8408-514F9FD4D177}"/>
    <cellStyle name="Currency 5 2 2 3 6 3" xfId="6300" xr:uid="{00000000-0005-0000-0000-0000ED0B0000}"/>
    <cellStyle name="Currency 5 2 2 3 6 3 2" xfId="14729" xr:uid="{246C6632-8C5C-4B50-9A7E-26B94A968D7B}"/>
    <cellStyle name="Currency 5 2 2 3 6 4" xfId="10511" xr:uid="{8FA47D81-620F-4F72-93BE-46C940221700}"/>
    <cellStyle name="Currency 5 2 2 3 7" xfId="2427" xr:uid="{00000000-0005-0000-0000-0000EE0B0000}"/>
    <cellStyle name="Currency 5 2 2 3 7 2" xfId="6713" xr:uid="{00000000-0005-0000-0000-0000EF0B0000}"/>
    <cellStyle name="Currency 5 2 2 3 7 2 2" xfId="15142" xr:uid="{7A50AE86-1E60-427C-BA52-DDAAA4089FE9}"/>
    <cellStyle name="Currency 5 2 2 3 7 3" xfId="10924" xr:uid="{4813A01C-6442-47E9-9DFA-5A219B42E655}"/>
    <cellStyle name="Currency 5 2 2 3 8" xfId="2724" xr:uid="{00000000-0005-0000-0000-0000F00B0000}"/>
    <cellStyle name="Currency 5 2 2 3 9" xfId="2805" xr:uid="{00000000-0005-0000-0000-0000F10B0000}"/>
    <cellStyle name="Currency 5 2 2 3 9 2" xfId="7030" xr:uid="{00000000-0005-0000-0000-0000F20B0000}"/>
    <cellStyle name="Currency 5 2 2 3 9 2 2" xfId="15459" xr:uid="{04844636-B34C-4421-8F94-1D3D596335A7}"/>
    <cellStyle name="Currency 5 2 2 3 9 3" xfId="11241" xr:uid="{BC4E9D34-7492-4CB1-81A1-597418BF2E40}"/>
    <cellStyle name="Currency 5 2 2 4" xfId="202" xr:uid="{00000000-0005-0000-0000-0000F30B0000}"/>
    <cellStyle name="Currency 5 2 2 4 10" xfId="8860" xr:uid="{77A06045-743A-4B22-912A-BF0FADE36D9B}"/>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2 2" xfId="15637" xr:uid="{09182014-CC14-4368-8369-09C88D991C4C}"/>
    <cellStyle name="Currency 5 2 2 4 2 2 3" xfId="11419" xr:uid="{0A02FA6C-A89F-4179-A7BF-7078508FEF5F}"/>
    <cellStyle name="Currency 5 2 2 4 2 3" xfId="5063" xr:uid="{00000000-0005-0000-0000-0000F70B0000}"/>
    <cellStyle name="Currency 5 2 2 4 2 3 2" xfId="13492" xr:uid="{51BAD377-3369-4CC3-848E-B272E559E645}"/>
    <cellStyle name="Currency 5 2 2 4 2 4" xfId="9274" xr:uid="{97AFA298-AAAD-4173-8368-42A6EE72ACC6}"/>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2 2" xfId="16050" xr:uid="{8139C920-B46D-4CC9-8451-595D69395CE7}"/>
    <cellStyle name="Currency 5 2 2 4 3 2 3" xfId="11832" xr:uid="{2F3CED96-8CA4-4A9F-A1F3-A7A1BFF14C46}"/>
    <cellStyle name="Currency 5 2 2 4 3 3" xfId="5476" xr:uid="{00000000-0005-0000-0000-0000FB0B0000}"/>
    <cellStyle name="Currency 5 2 2 4 3 3 2" xfId="13905" xr:uid="{B92D3703-8264-4910-B6CC-CDE9FD9B8FF1}"/>
    <cellStyle name="Currency 5 2 2 4 3 4" xfId="9687" xr:uid="{BB432B43-B1FC-4061-B4D2-2F63F916056C}"/>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2 2" xfId="16463" xr:uid="{B947C05C-8186-49DA-A05B-DDF68F1166B2}"/>
    <cellStyle name="Currency 5 2 2 4 4 2 3" xfId="12245" xr:uid="{E50D3A81-9529-482E-A66B-4AF69E9AF917}"/>
    <cellStyle name="Currency 5 2 2 4 4 3" xfId="5889" xr:uid="{00000000-0005-0000-0000-0000FF0B0000}"/>
    <cellStyle name="Currency 5 2 2 4 4 3 2" xfId="14318" xr:uid="{0D457171-D99A-4768-AEF0-387BE6D5E510}"/>
    <cellStyle name="Currency 5 2 2 4 4 4" xfId="10100" xr:uid="{ABA4BB6B-FBDF-4616-AC8F-B8BF476B510C}"/>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2 2" xfId="16876" xr:uid="{5A906F00-42FA-48D7-B84F-F7B8FD26C12F}"/>
    <cellStyle name="Currency 5 2 2 4 5 2 3" xfId="12658" xr:uid="{86BECC6E-E0B8-40FF-9591-1C0B0585F5BB}"/>
    <cellStyle name="Currency 5 2 2 4 5 3" xfId="6302" xr:uid="{00000000-0005-0000-0000-0000030C0000}"/>
    <cellStyle name="Currency 5 2 2 4 5 3 2" xfId="14731" xr:uid="{37E92F4E-66F1-440D-90E6-661E43890C8A}"/>
    <cellStyle name="Currency 5 2 2 4 5 4" xfId="10513" xr:uid="{DEDDCAA2-3AB1-48FA-9D86-172899B0B394}"/>
    <cellStyle name="Currency 5 2 2 4 6" xfId="2429" xr:uid="{00000000-0005-0000-0000-0000040C0000}"/>
    <cellStyle name="Currency 5 2 2 4 6 2" xfId="6715" xr:uid="{00000000-0005-0000-0000-0000050C0000}"/>
    <cellStyle name="Currency 5 2 2 4 6 2 2" xfId="15144" xr:uid="{9EC3C319-850A-4265-9B1E-A6EC2864B397}"/>
    <cellStyle name="Currency 5 2 2 4 6 3" xfId="10926" xr:uid="{AAFD7C91-04AD-4F90-917C-F6D442583FFE}"/>
    <cellStyle name="Currency 5 2 2 4 7" xfId="2726" xr:uid="{00000000-0005-0000-0000-0000060C0000}"/>
    <cellStyle name="Currency 5 2 2 4 8" xfId="2807" xr:uid="{00000000-0005-0000-0000-0000070C0000}"/>
    <cellStyle name="Currency 5 2 2 4 8 2" xfId="7032" xr:uid="{00000000-0005-0000-0000-0000080C0000}"/>
    <cellStyle name="Currency 5 2 2 4 8 2 2" xfId="15461" xr:uid="{5B5774D9-4FD0-434E-BD6E-DAE73FE63D50}"/>
    <cellStyle name="Currency 5 2 2 4 8 3" xfId="11243" xr:uid="{490F65B9-E984-407C-A1CA-4E21C4475682}"/>
    <cellStyle name="Currency 5 2 2 4 9" xfId="4649" xr:uid="{00000000-0005-0000-0000-0000090C0000}"/>
    <cellStyle name="Currency 5 2 2 4 9 2" xfId="13078" xr:uid="{E0CEAD24-E887-48C7-8102-9BD4B29952C3}"/>
    <cellStyle name="Currency 5 2 2 5" xfId="203" xr:uid="{00000000-0005-0000-0000-00000A0C0000}"/>
    <cellStyle name="Currency 5 2 2 5 10" xfId="8861" xr:uid="{F2205686-4CA8-4EB7-BAF9-39FD2FE85575}"/>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2 2" xfId="15638" xr:uid="{D4E9EE75-651F-486D-901E-11E9439FA29D}"/>
    <cellStyle name="Currency 5 2 2 5 2 2 3" xfId="11420" xr:uid="{29CBE053-6278-4B33-BD80-088A6C65C8D9}"/>
    <cellStyle name="Currency 5 2 2 5 2 3" xfId="5064" xr:uid="{00000000-0005-0000-0000-00000E0C0000}"/>
    <cellStyle name="Currency 5 2 2 5 2 3 2" xfId="13493" xr:uid="{D9ED1750-072D-47F2-AA85-F9A2B2899D1E}"/>
    <cellStyle name="Currency 5 2 2 5 2 4" xfId="9275" xr:uid="{F68C75CE-5B6B-49BF-A3B7-FB0A5C84F38B}"/>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2 2" xfId="16051" xr:uid="{71CB8957-1509-4283-8B46-D1B76A2AC4AA}"/>
    <cellStyle name="Currency 5 2 2 5 3 2 3" xfId="11833" xr:uid="{FFCF0F39-33C1-4BA1-9226-387675415816}"/>
    <cellStyle name="Currency 5 2 2 5 3 3" xfId="5477" xr:uid="{00000000-0005-0000-0000-0000120C0000}"/>
    <cellStyle name="Currency 5 2 2 5 3 3 2" xfId="13906" xr:uid="{59E6A1BC-B6E8-4B62-82FE-13EEAAA681B4}"/>
    <cellStyle name="Currency 5 2 2 5 3 4" xfId="9688" xr:uid="{B459457A-4177-4E59-982C-91C771903F89}"/>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2 2" xfId="16464" xr:uid="{FB1F2925-854C-4C0D-9898-802C07590437}"/>
    <cellStyle name="Currency 5 2 2 5 4 2 3" xfId="12246" xr:uid="{ABFE32CB-3D81-49D4-BCAA-E172339C0B56}"/>
    <cellStyle name="Currency 5 2 2 5 4 3" xfId="5890" xr:uid="{00000000-0005-0000-0000-0000160C0000}"/>
    <cellStyle name="Currency 5 2 2 5 4 3 2" xfId="14319" xr:uid="{F69EB99A-CEF9-4E65-B334-2FA0FCF1EFAB}"/>
    <cellStyle name="Currency 5 2 2 5 4 4" xfId="10101" xr:uid="{CD48D77A-C63F-418B-A847-E487FBD1C343}"/>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2 2" xfId="16877" xr:uid="{4711F24A-3E1D-46C9-B993-E21581A642EA}"/>
    <cellStyle name="Currency 5 2 2 5 5 2 3" xfId="12659" xr:uid="{7917C1BF-923B-49F2-9AF3-E83F206A1971}"/>
    <cellStyle name="Currency 5 2 2 5 5 3" xfId="6303" xr:uid="{00000000-0005-0000-0000-00001A0C0000}"/>
    <cellStyle name="Currency 5 2 2 5 5 3 2" xfId="14732" xr:uid="{B5E157D4-85A0-40FE-9803-5AC28586A651}"/>
    <cellStyle name="Currency 5 2 2 5 5 4" xfId="10514" xr:uid="{D385B508-1847-4B00-8450-82A0FB43C692}"/>
    <cellStyle name="Currency 5 2 2 5 6" xfId="2430" xr:uid="{00000000-0005-0000-0000-00001B0C0000}"/>
    <cellStyle name="Currency 5 2 2 5 6 2" xfId="6716" xr:uid="{00000000-0005-0000-0000-00001C0C0000}"/>
    <cellStyle name="Currency 5 2 2 5 6 2 2" xfId="15145" xr:uid="{2E8CA622-BCA3-45E0-A0CE-BFF4D0B255E6}"/>
    <cellStyle name="Currency 5 2 2 5 6 3" xfId="10927" xr:uid="{8DEA0147-DEAB-418E-BB6B-EC0AFF8B3DBF}"/>
    <cellStyle name="Currency 5 2 2 5 7" xfId="2727" xr:uid="{00000000-0005-0000-0000-00001D0C0000}"/>
    <cellStyle name="Currency 5 2 2 5 8" xfId="2808" xr:uid="{00000000-0005-0000-0000-00001E0C0000}"/>
    <cellStyle name="Currency 5 2 2 5 8 2" xfId="7033" xr:uid="{00000000-0005-0000-0000-00001F0C0000}"/>
    <cellStyle name="Currency 5 2 2 5 8 2 2" xfId="15462" xr:uid="{2D7A817E-FA8F-4D7F-8DD6-E3FC66DD9D12}"/>
    <cellStyle name="Currency 5 2 2 5 8 3" xfId="11244" xr:uid="{7CBFB3C5-E73A-4DB4-8F7D-D0BAC1AD1F12}"/>
    <cellStyle name="Currency 5 2 2 5 9" xfId="4650" xr:uid="{00000000-0005-0000-0000-0000200C0000}"/>
    <cellStyle name="Currency 5 2 2 5 9 2" xfId="13079" xr:uid="{AD71660A-AA61-4D42-B91C-701DB762DEEE}"/>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0 2" xfId="13080" xr:uid="{BF9D7BA8-B2F3-4067-95CC-EDF29926AE5E}"/>
    <cellStyle name="Currency 5 2 4 11" xfId="8862" xr:uid="{9216BE87-DECA-42E0-A369-45199CE505EC}"/>
    <cellStyle name="Currency 5 2 4 2" xfId="206" xr:uid="{00000000-0005-0000-0000-0000250C0000}"/>
    <cellStyle name="Currency 5 2 4 2 10" xfId="8863" xr:uid="{354E85DC-F38D-4FD3-A47B-313B3695D306}"/>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2 2" xfId="15640" xr:uid="{A077601D-AA3D-4F42-B839-BC25730B5002}"/>
    <cellStyle name="Currency 5 2 4 2 2 2 3" xfId="11422" xr:uid="{4B083DB1-3BEE-4B59-B92E-F749FFB860D3}"/>
    <cellStyle name="Currency 5 2 4 2 2 3" xfId="5066" xr:uid="{00000000-0005-0000-0000-0000290C0000}"/>
    <cellStyle name="Currency 5 2 4 2 2 3 2" xfId="13495" xr:uid="{C52A419E-29C8-44B0-9704-9565F306809B}"/>
    <cellStyle name="Currency 5 2 4 2 2 4" xfId="9277" xr:uid="{FC7F679E-BB4E-4A88-9276-04B027AC48DD}"/>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2 2" xfId="16053" xr:uid="{24A9D503-7DC1-4C2F-A02E-4662B84E8510}"/>
    <cellStyle name="Currency 5 2 4 2 3 2 3" xfId="11835" xr:uid="{3094E097-5D1C-414D-82AC-D4CD4AD2E6BC}"/>
    <cellStyle name="Currency 5 2 4 2 3 3" xfId="5479" xr:uid="{00000000-0005-0000-0000-00002D0C0000}"/>
    <cellStyle name="Currency 5 2 4 2 3 3 2" xfId="13908" xr:uid="{819D23E8-B40F-4865-8530-3478313662DE}"/>
    <cellStyle name="Currency 5 2 4 2 3 4" xfId="9690" xr:uid="{27EEEBF2-F036-401E-B520-F30696D2B683}"/>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2 2" xfId="16466" xr:uid="{8DE3A52C-AC45-44ED-9D5F-F2F0FA80C54C}"/>
    <cellStyle name="Currency 5 2 4 2 4 2 3" xfId="12248" xr:uid="{94BB5031-AD1E-4820-8471-110BD2304AF8}"/>
    <cellStyle name="Currency 5 2 4 2 4 3" xfId="5892" xr:uid="{00000000-0005-0000-0000-0000310C0000}"/>
    <cellStyle name="Currency 5 2 4 2 4 3 2" xfId="14321" xr:uid="{5F8EA53E-A54C-4EB2-9826-6FAB744C2FAA}"/>
    <cellStyle name="Currency 5 2 4 2 4 4" xfId="10103" xr:uid="{964AEA82-9134-443F-8A5A-0D37B1F5564F}"/>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2 2" xfId="16879" xr:uid="{B0FDBA1E-AA6D-4270-B9AD-7E8F386E8389}"/>
    <cellStyle name="Currency 5 2 4 2 5 2 3" xfId="12661" xr:uid="{5334818D-4918-47DD-BEF9-386DD052E414}"/>
    <cellStyle name="Currency 5 2 4 2 5 3" xfId="6305" xr:uid="{00000000-0005-0000-0000-0000350C0000}"/>
    <cellStyle name="Currency 5 2 4 2 5 3 2" xfId="14734" xr:uid="{B5FC4AC8-09A3-4A6B-B40C-A8123B4A72A0}"/>
    <cellStyle name="Currency 5 2 4 2 5 4" xfId="10516" xr:uid="{9407C9F2-587D-41C4-83A9-CA7432C8BF5E}"/>
    <cellStyle name="Currency 5 2 4 2 6" xfId="2432" xr:uid="{00000000-0005-0000-0000-0000360C0000}"/>
    <cellStyle name="Currency 5 2 4 2 6 2" xfId="6718" xr:uid="{00000000-0005-0000-0000-0000370C0000}"/>
    <cellStyle name="Currency 5 2 4 2 6 2 2" xfId="15147" xr:uid="{A64070F6-CE8A-4B8B-9492-9501904AB71F}"/>
    <cellStyle name="Currency 5 2 4 2 6 3" xfId="10929" xr:uid="{1D76BCAF-D9B8-4892-92B3-1A10BCD57C07}"/>
    <cellStyle name="Currency 5 2 4 2 7" xfId="2729" xr:uid="{00000000-0005-0000-0000-0000380C0000}"/>
    <cellStyle name="Currency 5 2 4 2 8" xfId="2810" xr:uid="{00000000-0005-0000-0000-0000390C0000}"/>
    <cellStyle name="Currency 5 2 4 2 8 2" xfId="7035" xr:uid="{00000000-0005-0000-0000-00003A0C0000}"/>
    <cellStyle name="Currency 5 2 4 2 8 2 2" xfId="15464" xr:uid="{484A0D14-478A-4776-B67F-2111E4BCF09E}"/>
    <cellStyle name="Currency 5 2 4 2 8 3" xfId="11246" xr:uid="{22C812DD-CDA3-47AD-8ABD-ACB6A63427CE}"/>
    <cellStyle name="Currency 5 2 4 2 9" xfId="4652" xr:uid="{00000000-0005-0000-0000-00003B0C0000}"/>
    <cellStyle name="Currency 5 2 4 2 9 2" xfId="13081" xr:uid="{0EFC6A8F-DC53-4005-95F9-EBB5F536F3F3}"/>
    <cellStyle name="Currency 5 2 4 3" xfId="733" xr:uid="{00000000-0005-0000-0000-00003C0C0000}"/>
    <cellStyle name="Currency 5 2 4 3 2" xfId="2986" xr:uid="{00000000-0005-0000-0000-00003D0C0000}"/>
    <cellStyle name="Currency 5 2 4 3 2 2" xfId="7210" xr:uid="{00000000-0005-0000-0000-00003E0C0000}"/>
    <cellStyle name="Currency 5 2 4 3 2 2 2" xfId="15639" xr:uid="{4E2CED1C-588F-425F-B332-5733125D7E51}"/>
    <cellStyle name="Currency 5 2 4 3 2 3" xfId="11421" xr:uid="{6B8B784B-9C01-45F9-9593-B88D4878DAAD}"/>
    <cellStyle name="Currency 5 2 4 3 3" xfId="5065" xr:uid="{00000000-0005-0000-0000-00003F0C0000}"/>
    <cellStyle name="Currency 5 2 4 3 3 2" xfId="13494" xr:uid="{C830B1CC-5072-477C-B7A2-CE41E83E8F41}"/>
    <cellStyle name="Currency 5 2 4 3 4" xfId="9276" xr:uid="{41C357B6-7427-454E-AD52-B076D70422E2}"/>
    <cellStyle name="Currency 5 2 4 4" xfId="1168" xr:uid="{00000000-0005-0000-0000-0000400C0000}"/>
    <cellStyle name="Currency 5 2 4 4 2" xfId="3399" xr:uid="{00000000-0005-0000-0000-0000410C0000}"/>
    <cellStyle name="Currency 5 2 4 4 2 2" xfId="7623" xr:uid="{00000000-0005-0000-0000-0000420C0000}"/>
    <cellStyle name="Currency 5 2 4 4 2 2 2" xfId="16052" xr:uid="{2948779A-53BD-4AC6-A9D2-D9863600E29E}"/>
    <cellStyle name="Currency 5 2 4 4 2 3" xfId="11834" xr:uid="{90739ACD-DD49-41F9-81E8-D729D23730D1}"/>
    <cellStyle name="Currency 5 2 4 4 3" xfId="5478" xr:uid="{00000000-0005-0000-0000-0000430C0000}"/>
    <cellStyle name="Currency 5 2 4 4 3 2" xfId="13907" xr:uid="{52A6E38C-E8C7-4B93-AC23-995CF1253AF7}"/>
    <cellStyle name="Currency 5 2 4 4 4" xfId="9689" xr:uid="{1FF5E71B-9FEB-4F56-A3D4-EC9246868207}"/>
    <cellStyle name="Currency 5 2 4 5" xfId="1582" xr:uid="{00000000-0005-0000-0000-0000440C0000}"/>
    <cellStyle name="Currency 5 2 4 5 2" xfId="3812" xr:uid="{00000000-0005-0000-0000-0000450C0000}"/>
    <cellStyle name="Currency 5 2 4 5 2 2" xfId="8036" xr:uid="{00000000-0005-0000-0000-0000460C0000}"/>
    <cellStyle name="Currency 5 2 4 5 2 2 2" xfId="16465" xr:uid="{AB57F061-EA7D-4801-B115-28BF3398FE39}"/>
    <cellStyle name="Currency 5 2 4 5 2 3" xfId="12247" xr:uid="{6B5A4169-311C-415F-88FD-10F65CAA67B5}"/>
    <cellStyle name="Currency 5 2 4 5 3" xfId="5891" xr:uid="{00000000-0005-0000-0000-0000470C0000}"/>
    <cellStyle name="Currency 5 2 4 5 3 2" xfId="14320" xr:uid="{DEF2DEEA-472C-44E6-9E9C-DC4983171E92}"/>
    <cellStyle name="Currency 5 2 4 5 4" xfId="10102" xr:uid="{941B161E-0AA0-4EDE-8555-678C36AC6F1A}"/>
    <cellStyle name="Currency 5 2 4 6" xfId="1996" xr:uid="{00000000-0005-0000-0000-0000480C0000}"/>
    <cellStyle name="Currency 5 2 4 6 2" xfId="4225" xr:uid="{00000000-0005-0000-0000-0000490C0000}"/>
    <cellStyle name="Currency 5 2 4 6 2 2" xfId="8449" xr:uid="{00000000-0005-0000-0000-00004A0C0000}"/>
    <cellStyle name="Currency 5 2 4 6 2 2 2" xfId="16878" xr:uid="{CC767C86-4B99-4D52-920E-7A4EB9CA8EAB}"/>
    <cellStyle name="Currency 5 2 4 6 2 3" xfId="12660" xr:uid="{124A4909-8DA9-49FD-BBC8-4B399DCA57B8}"/>
    <cellStyle name="Currency 5 2 4 6 3" xfId="6304" xr:uid="{00000000-0005-0000-0000-00004B0C0000}"/>
    <cellStyle name="Currency 5 2 4 6 3 2" xfId="14733" xr:uid="{250F27BD-CF83-4675-8AF3-10E2B43FB1A8}"/>
    <cellStyle name="Currency 5 2 4 6 4" xfId="10515" xr:uid="{23327534-255F-49F3-84FB-6076D7E0B605}"/>
    <cellStyle name="Currency 5 2 4 7" xfId="2431" xr:uid="{00000000-0005-0000-0000-00004C0C0000}"/>
    <cellStyle name="Currency 5 2 4 7 2" xfId="6717" xr:uid="{00000000-0005-0000-0000-00004D0C0000}"/>
    <cellStyle name="Currency 5 2 4 7 2 2" xfId="15146" xr:uid="{ADE1FF4A-CAE8-4629-B438-11F3E43AD336}"/>
    <cellStyle name="Currency 5 2 4 7 3" xfId="10928" xr:uid="{8757C889-CF01-4C77-AF28-654FCC3B1225}"/>
    <cellStyle name="Currency 5 2 4 8" xfId="2728" xr:uid="{00000000-0005-0000-0000-00004E0C0000}"/>
    <cellStyle name="Currency 5 2 4 9" xfId="2809" xr:uid="{00000000-0005-0000-0000-00004F0C0000}"/>
    <cellStyle name="Currency 5 2 4 9 2" xfId="7034" xr:uid="{00000000-0005-0000-0000-0000500C0000}"/>
    <cellStyle name="Currency 5 2 4 9 2 2" xfId="15463" xr:uid="{27527BD2-D8A2-4C25-B7FB-A6EF7EE4BB3C}"/>
    <cellStyle name="Currency 5 2 4 9 3" xfId="11245" xr:uid="{BE00483B-C043-4A56-BBEC-19DAAD818B1E}"/>
    <cellStyle name="Currency 5 2 5" xfId="207" xr:uid="{00000000-0005-0000-0000-0000510C0000}"/>
    <cellStyle name="Currency 5 2 5 10" xfId="8864" xr:uid="{6F291D57-2B29-4A43-9509-17E4FC23C542}"/>
    <cellStyle name="Currency 5 2 5 2" xfId="735" xr:uid="{00000000-0005-0000-0000-0000520C0000}"/>
    <cellStyle name="Currency 5 2 5 2 2" xfId="2988" xr:uid="{00000000-0005-0000-0000-0000530C0000}"/>
    <cellStyle name="Currency 5 2 5 2 2 2" xfId="7212" xr:uid="{00000000-0005-0000-0000-0000540C0000}"/>
    <cellStyle name="Currency 5 2 5 2 2 2 2" xfId="15641" xr:uid="{6603C98B-745A-49D7-982C-4966266BC1F1}"/>
    <cellStyle name="Currency 5 2 5 2 2 3" xfId="11423" xr:uid="{B15FF901-EB08-4A68-966F-6CA812079ED4}"/>
    <cellStyle name="Currency 5 2 5 2 3" xfId="5067" xr:uid="{00000000-0005-0000-0000-0000550C0000}"/>
    <cellStyle name="Currency 5 2 5 2 3 2" xfId="13496" xr:uid="{2777EE3D-B653-4CAF-B539-5AB602DA4B4B}"/>
    <cellStyle name="Currency 5 2 5 2 4" xfId="9278" xr:uid="{0408440A-43B9-4C38-A48E-C01FE86CAB4F}"/>
    <cellStyle name="Currency 5 2 5 3" xfId="1170" xr:uid="{00000000-0005-0000-0000-0000560C0000}"/>
    <cellStyle name="Currency 5 2 5 3 2" xfId="3401" xr:uid="{00000000-0005-0000-0000-0000570C0000}"/>
    <cellStyle name="Currency 5 2 5 3 2 2" xfId="7625" xr:uid="{00000000-0005-0000-0000-0000580C0000}"/>
    <cellStyle name="Currency 5 2 5 3 2 2 2" xfId="16054" xr:uid="{452F525D-75B1-4047-8C84-31649A3BF469}"/>
    <cellStyle name="Currency 5 2 5 3 2 3" xfId="11836" xr:uid="{41E5C126-A457-4950-A34A-23EB6D7061CC}"/>
    <cellStyle name="Currency 5 2 5 3 3" xfId="5480" xr:uid="{00000000-0005-0000-0000-0000590C0000}"/>
    <cellStyle name="Currency 5 2 5 3 3 2" xfId="13909" xr:uid="{26273B33-C8A8-4322-AD25-3DDDBC5392B4}"/>
    <cellStyle name="Currency 5 2 5 3 4" xfId="9691" xr:uid="{B4311013-8DC6-4BB1-B45C-F3C9FC00038C}"/>
    <cellStyle name="Currency 5 2 5 4" xfId="1584" xr:uid="{00000000-0005-0000-0000-00005A0C0000}"/>
    <cellStyle name="Currency 5 2 5 4 2" xfId="3814" xr:uid="{00000000-0005-0000-0000-00005B0C0000}"/>
    <cellStyle name="Currency 5 2 5 4 2 2" xfId="8038" xr:uid="{00000000-0005-0000-0000-00005C0C0000}"/>
    <cellStyle name="Currency 5 2 5 4 2 2 2" xfId="16467" xr:uid="{E67409D5-AC6B-49A2-8204-D29FAB0E78B8}"/>
    <cellStyle name="Currency 5 2 5 4 2 3" xfId="12249" xr:uid="{396A5C6D-E465-4544-841E-180227118971}"/>
    <cellStyle name="Currency 5 2 5 4 3" xfId="5893" xr:uid="{00000000-0005-0000-0000-00005D0C0000}"/>
    <cellStyle name="Currency 5 2 5 4 3 2" xfId="14322" xr:uid="{02676BA6-F558-40DE-86D6-01CDAB6302B7}"/>
    <cellStyle name="Currency 5 2 5 4 4" xfId="10104" xr:uid="{B62A35A9-EA5A-42BD-81E0-D87F3A3A1BA9}"/>
    <cellStyle name="Currency 5 2 5 5" xfId="1998" xr:uid="{00000000-0005-0000-0000-00005E0C0000}"/>
    <cellStyle name="Currency 5 2 5 5 2" xfId="4227" xr:uid="{00000000-0005-0000-0000-00005F0C0000}"/>
    <cellStyle name="Currency 5 2 5 5 2 2" xfId="8451" xr:uid="{00000000-0005-0000-0000-0000600C0000}"/>
    <cellStyle name="Currency 5 2 5 5 2 2 2" xfId="16880" xr:uid="{F63690A0-F642-42BE-B44F-0FD13BCC8C34}"/>
    <cellStyle name="Currency 5 2 5 5 2 3" xfId="12662" xr:uid="{F3311D01-6E3F-44E6-BAAC-18C6C5E81160}"/>
    <cellStyle name="Currency 5 2 5 5 3" xfId="6306" xr:uid="{00000000-0005-0000-0000-0000610C0000}"/>
    <cellStyle name="Currency 5 2 5 5 3 2" xfId="14735" xr:uid="{18F1888E-B189-40D9-A4F7-72E6A78C99E9}"/>
    <cellStyle name="Currency 5 2 5 5 4" xfId="10517" xr:uid="{5870043E-4801-4F18-A79A-7002798F2AB9}"/>
    <cellStyle name="Currency 5 2 5 6" xfId="2433" xr:uid="{00000000-0005-0000-0000-0000620C0000}"/>
    <cellStyle name="Currency 5 2 5 6 2" xfId="6719" xr:uid="{00000000-0005-0000-0000-0000630C0000}"/>
    <cellStyle name="Currency 5 2 5 6 2 2" xfId="15148" xr:uid="{A15A3049-09E9-48A9-B0A6-E8FCDFB502A3}"/>
    <cellStyle name="Currency 5 2 5 6 3" xfId="10930" xr:uid="{EA138EA2-0A9D-4B04-B7F1-CFD292B86576}"/>
    <cellStyle name="Currency 5 2 5 7" xfId="2730" xr:uid="{00000000-0005-0000-0000-0000640C0000}"/>
    <cellStyle name="Currency 5 2 5 8" xfId="2811" xr:uid="{00000000-0005-0000-0000-0000650C0000}"/>
    <cellStyle name="Currency 5 2 5 8 2" xfId="7036" xr:uid="{00000000-0005-0000-0000-0000660C0000}"/>
    <cellStyle name="Currency 5 2 5 8 2 2" xfId="15465" xr:uid="{F9AB7CE9-B5BB-4403-B573-C33794269B98}"/>
    <cellStyle name="Currency 5 2 5 8 3" xfId="11247" xr:uid="{EE491760-A489-4058-9A1A-69CF8B90C837}"/>
    <cellStyle name="Currency 5 2 5 9" xfId="4653" xr:uid="{00000000-0005-0000-0000-0000670C0000}"/>
    <cellStyle name="Currency 5 2 5 9 2" xfId="13082" xr:uid="{AC397C10-4BBF-4E0C-9C52-CF0E18A59E80}"/>
    <cellStyle name="Currency 5 2 6" xfId="208" xr:uid="{00000000-0005-0000-0000-0000680C0000}"/>
    <cellStyle name="Currency 5 2 6 10" xfId="8865" xr:uid="{97288801-7FD1-443F-8C11-543C1024E082}"/>
    <cellStyle name="Currency 5 2 6 2" xfId="736" xr:uid="{00000000-0005-0000-0000-0000690C0000}"/>
    <cellStyle name="Currency 5 2 6 2 2" xfId="2989" xr:uid="{00000000-0005-0000-0000-00006A0C0000}"/>
    <cellStyle name="Currency 5 2 6 2 2 2" xfId="7213" xr:uid="{00000000-0005-0000-0000-00006B0C0000}"/>
    <cellStyle name="Currency 5 2 6 2 2 2 2" xfId="15642" xr:uid="{C068CC80-460A-4266-95EE-59680C4AAA9F}"/>
    <cellStyle name="Currency 5 2 6 2 2 3" xfId="11424" xr:uid="{B2D489DA-06B8-4B52-B165-D07BEE09F945}"/>
    <cellStyle name="Currency 5 2 6 2 3" xfId="5068" xr:uid="{00000000-0005-0000-0000-00006C0C0000}"/>
    <cellStyle name="Currency 5 2 6 2 3 2" xfId="13497" xr:uid="{B0359BBD-A0E3-4515-AFE6-5B8072C7FEA2}"/>
    <cellStyle name="Currency 5 2 6 2 4" xfId="9279" xr:uid="{061450B8-88C6-4624-9E9C-23528BF82670}"/>
    <cellStyle name="Currency 5 2 6 3" xfId="1171" xr:uid="{00000000-0005-0000-0000-00006D0C0000}"/>
    <cellStyle name="Currency 5 2 6 3 2" xfId="3402" xr:uid="{00000000-0005-0000-0000-00006E0C0000}"/>
    <cellStyle name="Currency 5 2 6 3 2 2" xfId="7626" xr:uid="{00000000-0005-0000-0000-00006F0C0000}"/>
    <cellStyle name="Currency 5 2 6 3 2 2 2" xfId="16055" xr:uid="{88EF5A09-6FCE-4B45-B557-DEF5FDC2B2BD}"/>
    <cellStyle name="Currency 5 2 6 3 2 3" xfId="11837" xr:uid="{24B6797D-8B38-4F45-9648-925C317F665B}"/>
    <cellStyle name="Currency 5 2 6 3 3" xfId="5481" xr:uid="{00000000-0005-0000-0000-0000700C0000}"/>
    <cellStyle name="Currency 5 2 6 3 3 2" xfId="13910" xr:uid="{A83E0241-B2F0-419C-B752-1AEEE838EE99}"/>
    <cellStyle name="Currency 5 2 6 3 4" xfId="9692" xr:uid="{926A67B3-A42F-42CB-9DC7-CCC6927796BE}"/>
    <cellStyle name="Currency 5 2 6 4" xfId="1585" xr:uid="{00000000-0005-0000-0000-0000710C0000}"/>
    <cellStyle name="Currency 5 2 6 4 2" xfId="3815" xr:uid="{00000000-0005-0000-0000-0000720C0000}"/>
    <cellStyle name="Currency 5 2 6 4 2 2" xfId="8039" xr:uid="{00000000-0005-0000-0000-0000730C0000}"/>
    <cellStyle name="Currency 5 2 6 4 2 2 2" xfId="16468" xr:uid="{91E5FB0A-A697-41D0-921C-B96E099345D3}"/>
    <cellStyle name="Currency 5 2 6 4 2 3" xfId="12250" xr:uid="{F755F3B9-99F8-4B51-9F3C-653E51B6B55C}"/>
    <cellStyle name="Currency 5 2 6 4 3" xfId="5894" xr:uid="{00000000-0005-0000-0000-0000740C0000}"/>
    <cellStyle name="Currency 5 2 6 4 3 2" xfId="14323" xr:uid="{0434DD7B-D99A-441D-8EB1-435F96AAD9FF}"/>
    <cellStyle name="Currency 5 2 6 4 4" xfId="10105" xr:uid="{D36C3CE4-D3AD-454F-B2AD-DAA3798CDBE9}"/>
    <cellStyle name="Currency 5 2 6 5" xfId="1999" xr:uid="{00000000-0005-0000-0000-0000750C0000}"/>
    <cellStyle name="Currency 5 2 6 5 2" xfId="4228" xr:uid="{00000000-0005-0000-0000-0000760C0000}"/>
    <cellStyle name="Currency 5 2 6 5 2 2" xfId="8452" xr:uid="{00000000-0005-0000-0000-0000770C0000}"/>
    <cellStyle name="Currency 5 2 6 5 2 2 2" xfId="16881" xr:uid="{F64B36B9-B92D-4FC4-A985-B89C3B59BC4C}"/>
    <cellStyle name="Currency 5 2 6 5 2 3" xfId="12663" xr:uid="{97DFD5A6-D041-4C7A-B3AF-173590306991}"/>
    <cellStyle name="Currency 5 2 6 5 3" xfId="6307" xr:uid="{00000000-0005-0000-0000-0000780C0000}"/>
    <cellStyle name="Currency 5 2 6 5 3 2" xfId="14736" xr:uid="{D5200641-2977-4439-8458-AAADD09A6AEF}"/>
    <cellStyle name="Currency 5 2 6 5 4" xfId="10518" xr:uid="{77C51181-814A-4C75-B7F8-80A8F458AF13}"/>
    <cellStyle name="Currency 5 2 6 6" xfId="2434" xr:uid="{00000000-0005-0000-0000-0000790C0000}"/>
    <cellStyle name="Currency 5 2 6 6 2" xfId="6720" xr:uid="{00000000-0005-0000-0000-00007A0C0000}"/>
    <cellStyle name="Currency 5 2 6 6 2 2" xfId="15149" xr:uid="{53D12F22-B6EE-4E04-885A-D2583281331E}"/>
    <cellStyle name="Currency 5 2 6 6 3" xfId="10931" xr:uid="{0227CA37-6E78-4F2C-9F9D-9640E434C095}"/>
    <cellStyle name="Currency 5 2 6 7" xfId="2731" xr:uid="{00000000-0005-0000-0000-00007B0C0000}"/>
    <cellStyle name="Currency 5 2 6 8" xfId="2812" xr:uid="{00000000-0005-0000-0000-00007C0C0000}"/>
    <cellStyle name="Currency 5 2 6 8 2" xfId="7037" xr:uid="{00000000-0005-0000-0000-00007D0C0000}"/>
    <cellStyle name="Currency 5 2 6 8 2 2" xfId="15466" xr:uid="{DBE90BB0-0AB8-4D34-82A8-0AC2AD7459BF}"/>
    <cellStyle name="Currency 5 2 6 8 3" xfId="11248" xr:uid="{7A618E2E-8EAF-41F0-B1A3-C865FF8CDCF8}"/>
    <cellStyle name="Currency 5 2 6 9" xfId="4654" xr:uid="{00000000-0005-0000-0000-00007E0C0000}"/>
    <cellStyle name="Currency 5 2 6 9 2" xfId="13083" xr:uid="{47335F9A-5C1F-4A79-B7AB-38913E2E31FC}"/>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2 2" xfId="15467" xr:uid="{9E18375A-762F-45BD-9443-2895E3B4E5D8}"/>
    <cellStyle name="Currency 5 3 2 10 3" xfId="11249" xr:uid="{9B72648B-AD78-440B-AE54-D3549CBC317C}"/>
    <cellStyle name="Currency 5 3 2 11" xfId="4655" xr:uid="{00000000-0005-0000-0000-0000840C0000}"/>
    <cellStyle name="Currency 5 3 2 11 2" xfId="13084" xr:uid="{1FEAAE96-8258-4FCE-8535-26A28DEBDACC}"/>
    <cellStyle name="Currency 5 3 2 12" xfId="8866" xr:uid="{5A6698A5-3FA4-425A-B3C8-A39FEC63CDC4}"/>
    <cellStyle name="Currency 5 3 2 2" xfId="211" xr:uid="{00000000-0005-0000-0000-0000850C0000}"/>
    <cellStyle name="Currency 5 3 2 2 10" xfId="4656" xr:uid="{00000000-0005-0000-0000-0000860C0000}"/>
    <cellStyle name="Currency 5 3 2 2 10 2" xfId="13085" xr:uid="{66879477-2005-451C-860B-74BC7424850F}"/>
    <cellStyle name="Currency 5 3 2 2 11" xfId="8867" xr:uid="{6422AD0E-A8ED-4343-ACE8-05D27EF441C7}"/>
    <cellStyle name="Currency 5 3 2 2 2" xfId="212" xr:uid="{00000000-0005-0000-0000-0000870C0000}"/>
    <cellStyle name="Currency 5 3 2 2 2 10" xfId="8868" xr:uid="{F8873600-1735-4047-BB4C-603774249FEB}"/>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2 2" xfId="15645" xr:uid="{1445AC71-E091-4888-9281-EE0AA92302C7}"/>
    <cellStyle name="Currency 5 3 2 2 2 2 2 3" xfId="11427" xr:uid="{EF449978-ADBD-4999-88BE-526935FB9236}"/>
    <cellStyle name="Currency 5 3 2 2 2 2 3" xfId="5071" xr:uid="{00000000-0005-0000-0000-00008B0C0000}"/>
    <cellStyle name="Currency 5 3 2 2 2 2 3 2" xfId="13500" xr:uid="{E021987C-D3B2-4347-AEC8-53ECE938068B}"/>
    <cellStyle name="Currency 5 3 2 2 2 2 4" xfId="9282" xr:uid="{2C77F290-6E23-46D8-8C47-B5D55A5D26CC}"/>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2 2" xfId="16058" xr:uid="{EC01FE71-1685-4292-8C15-0232EE51CA24}"/>
    <cellStyle name="Currency 5 3 2 2 2 3 2 3" xfId="11840" xr:uid="{DEACA2FA-9B2B-45D1-8553-7C942B1CE107}"/>
    <cellStyle name="Currency 5 3 2 2 2 3 3" xfId="5484" xr:uid="{00000000-0005-0000-0000-00008F0C0000}"/>
    <cellStyle name="Currency 5 3 2 2 2 3 3 2" xfId="13913" xr:uid="{9966F3A7-6157-4A09-86FC-F1FDA5884BD1}"/>
    <cellStyle name="Currency 5 3 2 2 2 3 4" xfId="9695" xr:uid="{ED9D36F5-CE35-4D19-A1AA-78685C86F8F3}"/>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2 2" xfId="16471" xr:uid="{AE4E616C-535E-4529-A74B-E2FF0D01458B}"/>
    <cellStyle name="Currency 5 3 2 2 2 4 2 3" xfId="12253" xr:uid="{4BBBD51C-FCB5-4C07-8624-4F7841AA2D4E}"/>
    <cellStyle name="Currency 5 3 2 2 2 4 3" xfId="5897" xr:uid="{00000000-0005-0000-0000-0000930C0000}"/>
    <cellStyle name="Currency 5 3 2 2 2 4 3 2" xfId="14326" xr:uid="{FD175528-5F4F-44AA-AF5B-44C1F31BC40D}"/>
    <cellStyle name="Currency 5 3 2 2 2 4 4" xfId="10108" xr:uid="{C8A79482-008E-45AC-B78A-1E3798E2FB82}"/>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2 2" xfId="16884" xr:uid="{FC2A9EAC-6A1E-405A-A821-4ABC0892C9D7}"/>
    <cellStyle name="Currency 5 3 2 2 2 5 2 3" xfId="12666" xr:uid="{27AC0993-EC30-49B6-A157-6CF918BE9948}"/>
    <cellStyle name="Currency 5 3 2 2 2 5 3" xfId="6310" xr:uid="{00000000-0005-0000-0000-0000970C0000}"/>
    <cellStyle name="Currency 5 3 2 2 2 5 3 2" xfId="14739" xr:uid="{0A876E07-3589-435F-85B4-E0E4226DE922}"/>
    <cellStyle name="Currency 5 3 2 2 2 5 4" xfId="10521" xr:uid="{73408F16-9367-49C3-A910-2CAE2E2C97D9}"/>
    <cellStyle name="Currency 5 3 2 2 2 6" xfId="2437" xr:uid="{00000000-0005-0000-0000-0000980C0000}"/>
    <cellStyle name="Currency 5 3 2 2 2 6 2" xfId="6723" xr:uid="{00000000-0005-0000-0000-0000990C0000}"/>
    <cellStyle name="Currency 5 3 2 2 2 6 2 2" xfId="15152" xr:uid="{34F1BCC9-7A1B-415D-98DC-5EAC66671C65}"/>
    <cellStyle name="Currency 5 3 2 2 2 6 3" xfId="10934" xr:uid="{03FE40ED-4F6B-4FC6-8E7A-1B96B501C0AB}"/>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2 2" xfId="15469" xr:uid="{6E22B397-3029-4C6A-A057-A4B57F68A208}"/>
    <cellStyle name="Currency 5 3 2 2 2 8 3" xfId="11251" xr:uid="{0675C0BB-0EA9-461C-B860-B4DD972F9B2F}"/>
    <cellStyle name="Currency 5 3 2 2 2 9" xfId="4657" xr:uid="{00000000-0005-0000-0000-00009D0C0000}"/>
    <cellStyle name="Currency 5 3 2 2 2 9 2" xfId="13086" xr:uid="{80178421-E997-4458-8128-6121F893A957}"/>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2 2" xfId="15644" xr:uid="{CDE5EBEB-A812-4D84-98E9-6D7F73690967}"/>
    <cellStyle name="Currency 5 3 2 2 3 2 3" xfId="11426" xr:uid="{D6B8BE0C-6709-4DBF-B063-B472655654FD}"/>
    <cellStyle name="Currency 5 3 2 2 3 3" xfId="5070" xr:uid="{00000000-0005-0000-0000-0000A10C0000}"/>
    <cellStyle name="Currency 5 3 2 2 3 3 2" xfId="13499" xr:uid="{A04D8DC3-443B-4B43-8EC8-1332E4AA6176}"/>
    <cellStyle name="Currency 5 3 2 2 3 4" xfId="9281" xr:uid="{390D40E9-A4AA-48AB-A14E-C1044B1555D6}"/>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2 2" xfId="16057" xr:uid="{A04B0BA1-C5EB-4DC7-81C8-0F02B0F5007E}"/>
    <cellStyle name="Currency 5 3 2 2 4 2 3" xfId="11839" xr:uid="{D09A8379-287A-4457-9897-07CDE5EA467F}"/>
    <cellStyle name="Currency 5 3 2 2 4 3" xfId="5483" xr:uid="{00000000-0005-0000-0000-0000A50C0000}"/>
    <cellStyle name="Currency 5 3 2 2 4 3 2" xfId="13912" xr:uid="{0E53ECF9-DA66-41A0-B449-71FA62889D78}"/>
    <cellStyle name="Currency 5 3 2 2 4 4" xfId="9694" xr:uid="{689669A1-29D9-4369-8EF3-F7FE09DCD651}"/>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2 2" xfId="16470" xr:uid="{E129963A-8E7B-4D54-AF55-EA75018EBC1C}"/>
    <cellStyle name="Currency 5 3 2 2 5 2 3" xfId="12252" xr:uid="{E99F5712-8130-4FC1-AA2E-C2B1BB9B89F4}"/>
    <cellStyle name="Currency 5 3 2 2 5 3" xfId="5896" xr:uid="{00000000-0005-0000-0000-0000A90C0000}"/>
    <cellStyle name="Currency 5 3 2 2 5 3 2" xfId="14325" xr:uid="{ECD069F1-E9C4-415C-AD94-8737F2FD0A14}"/>
    <cellStyle name="Currency 5 3 2 2 5 4" xfId="10107" xr:uid="{CC2F650F-FA32-47A2-A6F3-9ED6293555E3}"/>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2 2" xfId="16883" xr:uid="{AFB6E63A-774B-4D12-96A8-E2EB4458A153}"/>
    <cellStyle name="Currency 5 3 2 2 6 2 3" xfId="12665" xr:uid="{8AB9CB18-E64C-4AD2-B731-8B709345CCEC}"/>
    <cellStyle name="Currency 5 3 2 2 6 3" xfId="6309" xr:uid="{00000000-0005-0000-0000-0000AD0C0000}"/>
    <cellStyle name="Currency 5 3 2 2 6 3 2" xfId="14738" xr:uid="{82A17356-81B9-45D2-8FE1-04A78396E971}"/>
    <cellStyle name="Currency 5 3 2 2 6 4" xfId="10520" xr:uid="{CD7BE745-412A-4F65-99A4-B48AFC48D8CF}"/>
    <cellStyle name="Currency 5 3 2 2 7" xfId="2436" xr:uid="{00000000-0005-0000-0000-0000AE0C0000}"/>
    <cellStyle name="Currency 5 3 2 2 7 2" xfId="6722" xr:uid="{00000000-0005-0000-0000-0000AF0C0000}"/>
    <cellStyle name="Currency 5 3 2 2 7 2 2" xfId="15151" xr:uid="{C227D494-07B5-4838-BD6A-0CDD865ED791}"/>
    <cellStyle name="Currency 5 3 2 2 7 3" xfId="10933" xr:uid="{3F22B6A7-9C7C-4732-A25C-C1B7BB3D0226}"/>
    <cellStyle name="Currency 5 3 2 2 8" xfId="2733" xr:uid="{00000000-0005-0000-0000-0000B00C0000}"/>
    <cellStyle name="Currency 5 3 2 2 9" xfId="2814" xr:uid="{00000000-0005-0000-0000-0000B10C0000}"/>
    <cellStyle name="Currency 5 3 2 2 9 2" xfId="7039" xr:uid="{00000000-0005-0000-0000-0000B20C0000}"/>
    <cellStyle name="Currency 5 3 2 2 9 2 2" xfId="15468" xr:uid="{F2DE95A9-49C8-478E-8024-8DC065FF9154}"/>
    <cellStyle name="Currency 5 3 2 2 9 3" xfId="11250" xr:uid="{55B259FA-E4CC-4468-8FCB-A3C6EEC10448}"/>
    <cellStyle name="Currency 5 3 2 3" xfId="213" xr:uid="{00000000-0005-0000-0000-0000B30C0000}"/>
    <cellStyle name="Currency 5 3 2 3 10" xfId="8869" xr:uid="{D4E82DE0-E9FF-4F89-ADA6-1AFDC08C3A62}"/>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2 2" xfId="15646" xr:uid="{C16F5C1F-F182-481F-B22E-D9CBEE756166}"/>
    <cellStyle name="Currency 5 3 2 3 2 2 3" xfId="11428" xr:uid="{FFEB5784-D35C-421D-A3F0-B2C446298878}"/>
    <cellStyle name="Currency 5 3 2 3 2 3" xfId="5072" xr:uid="{00000000-0005-0000-0000-0000B70C0000}"/>
    <cellStyle name="Currency 5 3 2 3 2 3 2" xfId="13501" xr:uid="{B9CC6B0C-349B-475C-9791-5ADF6428D4C5}"/>
    <cellStyle name="Currency 5 3 2 3 2 4" xfId="9283" xr:uid="{ED5EB5F1-F414-47AD-AD79-6B1793585967}"/>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2 2" xfId="16059" xr:uid="{14F2B7C7-32F7-4EE5-B84E-A29F9C21E723}"/>
    <cellStyle name="Currency 5 3 2 3 3 2 3" xfId="11841" xr:uid="{B8612F4E-FA2B-4EEE-AFAB-95F0092965BA}"/>
    <cellStyle name="Currency 5 3 2 3 3 3" xfId="5485" xr:uid="{00000000-0005-0000-0000-0000BB0C0000}"/>
    <cellStyle name="Currency 5 3 2 3 3 3 2" xfId="13914" xr:uid="{0AD0E760-4E3C-41BA-B02A-D9841B6D5544}"/>
    <cellStyle name="Currency 5 3 2 3 3 4" xfId="9696" xr:uid="{32617E54-FE08-411E-8CB9-01EAA29B40F2}"/>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2 2" xfId="16472" xr:uid="{3C597FAB-080C-44A6-9B28-F413E573B4D4}"/>
    <cellStyle name="Currency 5 3 2 3 4 2 3" xfId="12254" xr:uid="{B7EDCAC2-FC5A-46E2-B6E7-0B742D421EFB}"/>
    <cellStyle name="Currency 5 3 2 3 4 3" xfId="5898" xr:uid="{00000000-0005-0000-0000-0000BF0C0000}"/>
    <cellStyle name="Currency 5 3 2 3 4 3 2" xfId="14327" xr:uid="{4DCC1198-53B9-4742-AED7-F1EBB6F8E43A}"/>
    <cellStyle name="Currency 5 3 2 3 4 4" xfId="10109" xr:uid="{0D3B7CC7-75FD-4DA3-8E72-E90A694E723E}"/>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2 2" xfId="16885" xr:uid="{3C1ABC9B-4DCF-4C18-A59A-246ED6204C04}"/>
    <cellStyle name="Currency 5 3 2 3 5 2 3" xfId="12667" xr:uid="{2B5886FA-C5EA-465D-97BA-ACCF639BF2DC}"/>
    <cellStyle name="Currency 5 3 2 3 5 3" xfId="6311" xr:uid="{00000000-0005-0000-0000-0000C30C0000}"/>
    <cellStyle name="Currency 5 3 2 3 5 3 2" xfId="14740" xr:uid="{D09023C5-12AC-4FD0-BD39-9D42020A4ACF}"/>
    <cellStyle name="Currency 5 3 2 3 5 4" xfId="10522" xr:uid="{E4869176-387C-470C-B76E-C1842C407148}"/>
    <cellStyle name="Currency 5 3 2 3 6" xfId="2438" xr:uid="{00000000-0005-0000-0000-0000C40C0000}"/>
    <cellStyle name="Currency 5 3 2 3 6 2" xfId="6724" xr:uid="{00000000-0005-0000-0000-0000C50C0000}"/>
    <cellStyle name="Currency 5 3 2 3 6 2 2" xfId="15153" xr:uid="{5CCA53D5-B94D-496E-9FB4-D97AA0ED80C8}"/>
    <cellStyle name="Currency 5 3 2 3 6 3" xfId="10935" xr:uid="{CCCC021B-9323-4ED1-AF5A-B7890968AE9A}"/>
    <cellStyle name="Currency 5 3 2 3 7" xfId="2735" xr:uid="{00000000-0005-0000-0000-0000C60C0000}"/>
    <cellStyle name="Currency 5 3 2 3 8" xfId="2816" xr:uid="{00000000-0005-0000-0000-0000C70C0000}"/>
    <cellStyle name="Currency 5 3 2 3 8 2" xfId="7041" xr:uid="{00000000-0005-0000-0000-0000C80C0000}"/>
    <cellStyle name="Currency 5 3 2 3 8 2 2" xfId="15470" xr:uid="{A817369B-94B4-43AF-9A84-693793322C79}"/>
    <cellStyle name="Currency 5 3 2 3 8 3" xfId="11252" xr:uid="{FB8DE1AA-8FF4-4E6B-94BF-B83793A5BDB2}"/>
    <cellStyle name="Currency 5 3 2 3 9" xfId="4658" xr:uid="{00000000-0005-0000-0000-0000C90C0000}"/>
    <cellStyle name="Currency 5 3 2 3 9 2" xfId="13087" xr:uid="{A23EF2AF-9655-4D60-A746-C5E5CC711373}"/>
    <cellStyle name="Currency 5 3 2 4" xfId="737" xr:uid="{00000000-0005-0000-0000-0000CA0C0000}"/>
    <cellStyle name="Currency 5 3 2 4 2" xfId="2990" xr:uid="{00000000-0005-0000-0000-0000CB0C0000}"/>
    <cellStyle name="Currency 5 3 2 4 2 2" xfId="7214" xr:uid="{00000000-0005-0000-0000-0000CC0C0000}"/>
    <cellStyle name="Currency 5 3 2 4 2 2 2" xfId="15643" xr:uid="{3FF407ED-6139-4AF9-AFC5-C877B3F352D1}"/>
    <cellStyle name="Currency 5 3 2 4 2 3" xfId="11425" xr:uid="{C5D3BB8D-32B0-4FF9-90FD-BEF40AB81954}"/>
    <cellStyle name="Currency 5 3 2 4 3" xfId="5069" xr:uid="{00000000-0005-0000-0000-0000CD0C0000}"/>
    <cellStyle name="Currency 5 3 2 4 3 2" xfId="13498" xr:uid="{0EB683AC-F60E-4CCD-BBCF-6019875D5396}"/>
    <cellStyle name="Currency 5 3 2 4 4" xfId="9280" xr:uid="{F9A37160-6308-457B-B676-4BBC8690F1C2}"/>
    <cellStyle name="Currency 5 3 2 5" xfId="1172" xr:uid="{00000000-0005-0000-0000-0000CE0C0000}"/>
    <cellStyle name="Currency 5 3 2 5 2" xfId="3403" xr:uid="{00000000-0005-0000-0000-0000CF0C0000}"/>
    <cellStyle name="Currency 5 3 2 5 2 2" xfId="7627" xr:uid="{00000000-0005-0000-0000-0000D00C0000}"/>
    <cellStyle name="Currency 5 3 2 5 2 2 2" xfId="16056" xr:uid="{36CD5412-61A7-4C67-9CD1-34475174B34C}"/>
    <cellStyle name="Currency 5 3 2 5 2 3" xfId="11838" xr:uid="{3382A1F5-64BA-460B-836C-27C4E3C39BBD}"/>
    <cellStyle name="Currency 5 3 2 5 3" xfId="5482" xr:uid="{00000000-0005-0000-0000-0000D10C0000}"/>
    <cellStyle name="Currency 5 3 2 5 3 2" xfId="13911" xr:uid="{0A88D360-F72A-4113-A2A8-73CDC84762CD}"/>
    <cellStyle name="Currency 5 3 2 5 4" xfId="9693" xr:uid="{22AF9E46-50B7-4E0B-BB11-46EAEF8F8E2D}"/>
    <cellStyle name="Currency 5 3 2 6" xfId="1586" xr:uid="{00000000-0005-0000-0000-0000D20C0000}"/>
    <cellStyle name="Currency 5 3 2 6 2" xfId="3816" xr:uid="{00000000-0005-0000-0000-0000D30C0000}"/>
    <cellStyle name="Currency 5 3 2 6 2 2" xfId="8040" xr:uid="{00000000-0005-0000-0000-0000D40C0000}"/>
    <cellStyle name="Currency 5 3 2 6 2 2 2" xfId="16469" xr:uid="{A4BFC974-9760-4207-9BC5-C24561C25895}"/>
    <cellStyle name="Currency 5 3 2 6 2 3" xfId="12251" xr:uid="{B631D580-ED19-4DF6-8A11-DDE3E729D54E}"/>
    <cellStyle name="Currency 5 3 2 6 3" xfId="5895" xr:uid="{00000000-0005-0000-0000-0000D50C0000}"/>
    <cellStyle name="Currency 5 3 2 6 3 2" xfId="14324" xr:uid="{4A3DBC55-6027-4752-B938-1482B743688B}"/>
    <cellStyle name="Currency 5 3 2 6 4" xfId="10106" xr:uid="{7DDE8D0D-9585-4120-91C0-874058DDAAFC}"/>
    <cellStyle name="Currency 5 3 2 7" xfId="2000" xr:uid="{00000000-0005-0000-0000-0000D60C0000}"/>
    <cellStyle name="Currency 5 3 2 7 2" xfId="4229" xr:uid="{00000000-0005-0000-0000-0000D70C0000}"/>
    <cellStyle name="Currency 5 3 2 7 2 2" xfId="8453" xr:uid="{00000000-0005-0000-0000-0000D80C0000}"/>
    <cellStyle name="Currency 5 3 2 7 2 2 2" xfId="16882" xr:uid="{63AF8AE0-D9A8-4474-AECB-33FD44B9541E}"/>
    <cellStyle name="Currency 5 3 2 7 2 3" xfId="12664" xr:uid="{8790BE54-E00A-4B32-B244-D09E90E30CF5}"/>
    <cellStyle name="Currency 5 3 2 7 3" xfId="6308" xr:uid="{00000000-0005-0000-0000-0000D90C0000}"/>
    <cellStyle name="Currency 5 3 2 7 3 2" xfId="14737" xr:uid="{B7857FD3-BBCD-4330-B8BD-002EA1AEB523}"/>
    <cellStyle name="Currency 5 3 2 7 4" xfId="10519" xr:uid="{F82CA678-B6EE-4CC8-A450-910AA92DC9ED}"/>
    <cellStyle name="Currency 5 3 2 8" xfId="2435" xr:uid="{00000000-0005-0000-0000-0000DA0C0000}"/>
    <cellStyle name="Currency 5 3 2 8 2" xfId="6721" xr:uid="{00000000-0005-0000-0000-0000DB0C0000}"/>
    <cellStyle name="Currency 5 3 2 8 2 2" xfId="15150" xr:uid="{617B04D1-A634-47FE-B96E-60A0A900CC12}"/>
    <cellStyle name="Currency 5 3 2 8 3" xfId="10932" xr:uid="{56E4590B-ACD7-431B-B5E4-9791C9E841C5}"/>
    <cellStyle name="Currency 5 3 2 9" xfId="2732" xr:uid="{00000000-0005-0000-0000-0000DC0C0000}"/>
    <cellStyle name="Currency 5 3 3" xfId="214" xr:uid="{00000000-0005-0000-0000-0000DD0C0000}"/>
    <cellStyle name="Currency 5 3 3 10" xfId="4659" xr:uid="{00000000-0005-0000-0000-0000DE0C0000}"/>
    <cellStyle name="Currency 5 3 3 10 2" xfId="13088" xr:uid="{332E8A81-6C60-4D60-B063-1EA56193CB12}"/>
    <cellStyle name="Currency 5 3 3 11" xfId="8870" xr:uid="{55992F7F-886A-445D-B7DD-57C800C57D63}"/>
    <cellStyle name="Currency 5 3 3 2" xfId="215" xr:uid="{00000000-0005-0000-0000-0000DF0C0000}"/>
    <cellStyle name="Currency 5 3 3 2 10" xfId="8871" xr:uid="{099E0095-BE7D-48DD-97DE-5C696541BEFD}"/>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2 2" xfId="15648" xr:uid="{D6BE2850-37B7-4FA6-8F46-DA185CFBA6D4}"/>
    <cellStyle name="Currency 5 3 3 2 2 2 3" xfId="11430" xr:uid="{57B8079F-7058-4C95-B606-E10DA59D069B}"/>
    <cellStyle name="Currency 5 3 3 2 2 3" xfId="5074" xr:uid="{00000000-0005-0000-0000-0000E30C0000}"/>
    <cellStyle name="Currency 5 3 3 2 2 3 2" xfId="13503" xr:uid="{0F48F8C7-E2FB-476F-879F-7C122336FF56}"/>
    <cellStyle name="Currency 5 3 3 2 2 4" xfId="9285" xr:uid="{9873C682-E1A5-43F4-BB81-41BEDF6EB125}"/>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2 2" xfId="16061" xr:uid="{0DEF878B-77BB-42BB-A3FE-A80107687177}"/>
    <cellStyle name="Currency 5 3 3 2 3 2 3" xfId="11843" xr:uid="{AE3060A5-BD2F-45E5-A31A-359666E121FC}"/>
    <cellStyle name="Currency 5 3 3 2 3 3" xfId="5487" xr:uid="{00000000-0005-0000-0000-0000E70C0000}"/>
    <cellStyle name="Currency 5 3 3 2 3 3 2" xfId="13916" xr:uid="{3388EA39-7576-43E5-BBD5-606E5ED7401D}"/>
    <cellStyle name="Currency 5 3 3 2 3 4" xfId="9698" xr:uid="{530B8BE7-34D9-4A88-94CC-CD7C89687934}"/>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2 2" xfId="16474" xr:uid="{C4E4353F-42EF-4B85-9F35-78D596C40344}"/>
    <cellStyle name="Currency 5 3 3 2 4 2 3" xfId="12256" xr:uid="{74EA6CDB-0460-45DF-BF2B-A74CC721D985}"/>
    <cellStyle name="Currency 5 3 3 2 4 3" xfId="5900" xr:uid="{00000000-0005-0000-0000-0000EB0C0000}"/>
    <cellStyle name="Currency 5 3 3 2 4 3 2" xfId="14329" xr:uid="{9C71D9C4-7804-4F85-AA24-49DCBB5B541B}"/>
    <cellStyle name="Currency 5 3 3 2 4 4" xfId="10111" xr:uid="{EBF148E8-4972-4EE8-AE78-3F7BECD30B32}"/>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2 2" xfId="16887" xr:uid="{10AEE743-1502-4348-9F2D-9CB41D9BC6F2}"/>
    <cellStyle name="Currency 5 3 3 2 5 2 3" xfId="12669" xr:uid="{363FA978-8C2E-4302-B352-EA17D0D55B79}"/>
    <cellStyle name="Currency 5 3 3 2 5 3" xfId="6313" xr:uid="{00000000-0005-0000-0000-0000EF0C0000}"/>
    <cellStyle name="Currency 5 3 3 2 5 3 2" xfId="14742" xr:uid="{A899AA65-4F95-49F9-9B63-509F9302AF90}"/>
    <cellStyle name="Currency 5 3 3 2 5 4" xfId="10524" xr:uid="{404DC3AD-8170-413A-B4A1-CBC185F99FE9}"/>
    <cellStyle name="Currency 5 3 3 2 6" xfId="2440" xr:uid="{00000000-0005-0000-0000-0000F00C0000}"/>
    <cellStyle name="Currency 5 3 3 2 6 2" xfId="6726" xr:uid="{00000000-0005-0000-0000-0000F10C0000}"/>
    <cellStyle name="Currency 5 3 3 2 6 2 2" xfId="15155" xr:uid="{DDDC024A-C26E-492F-90D5-36DB0F84248E}"/>
    <cellStyle name="Currency 5 3 3 2 6 3" xfId="10937" xr:uid="{B1605062-9FCA-47B4-ABD7-59F99BA634E4}"/>
    <cellStyle name="Currency 5 3 3 2 7" xfId="2737" xr:uid="{00000000-0005-0000-0000-0000F20C0000}"/>
    <cellStyle name="Currency 5 3 3 2 8" xfId="2818" xr:uid="{00000000-0005-0000-0000-0000F30C0000}"/>
    <cellStyle name="Currency 5 3 3 2 8 2" xfId="7043" xr:uid="{00000000-0005-0000-0000-0000F40C0000}"/>
    <cellStyle name="Currency 5 3 3 2 8 2 2" xfId="15472" xr:uid="{B9DC9488-D839-4F6C-813E-B906517ADA0E}"/>
    <cellStyle name="Currency 5 3 3 2 8 3" xfId="11254" xr:uid="{CFEB1C6C-95CA-49A5-9924-C19281B23BA8}"/>
    <cellStyle name="Currency 5 3 3 2 9" xfId="4660" xr:uid="{00000000-0005-0000-0000-0000F50C0000}"/>
    <cellStyle name="Currency 5 3 3 2 9 2" xfId="13089" xr:uid="{95F19009-ED23-456A-944F-E9EA9C32D5BA}"/>
    <cellStyle name="Currency 5 3 3 3" xfId="741" xr:uid="{00000000-0005-0000-0000-0000F60C0000}"/>
    <cellStyle name="Currency 5 3 3 3 2" xfId="2994" xr:uid="{00000000-0005-0000-0000-0000F70C0000}"/>
    <cellStyle name="Currency 5 3 3 3 2 2" xfId="7218" xr:uid="{00000000-0005-0000-0000-0000F80C0000}"/>
    <cellStyle name="Currency 5 3 3 3 2 2 2" xfId="15647" xr:uid="{851B0B40-62D2-46E1-8867-3D791610E305}"/>
    <cellStyle name="Currency 5 3 3 3 2 3" xfId="11429" xr:uid="{6C7FBB65-424F-496D-B329-594D8C5AC681}"/>
    <cellStyle name="Currency 5 3 3 3 3" xfId="5073" xr:uid="{00000000-0005-0000-0000-0000F90C0000}"/>
    <cellStyle name="Currency 5 3 3 3 3 2" xfId="13502" xr:uid="{1DD87487-2374-44CB-8873-90AA6E37E569}"/>
    <cellStyle name="Currency 5 3 3 3 4" xfId="9284" xr:uid="{82C04E02-4B1F-4CEC-8C1B-0753D6CE2F73}"/>
    <cellStyle name="Currency 5 3 3 4" xfId="1176" xr:uid="{00000000-0005-0000-0000-0000FA0C0000}"/>
    <cellStyle name="Currency 5 3 3 4 2" xfId="3407" xr:uid="{00000000-0005-0000-0000-0000FB0C0000}"/>
    <cellStyle name="Currency 5 3 3 4 2 2" xfId="7631" xr:uid="{00000000-0005-0000-0000-0000FC0C0000}"/>
    <cellStyle name="Currency 5 3 3 4 2 2 2" xfId="16060" xr:uid="{D0097483-77AD-4107-9DE5-5F7BF46D489E}"/>
    <cellStyle name="Currency 5 3 3 4 2 3" xfId="11842" xr:uid="{879BADDD-F26E-4315-A15A-71034FFC459C}"/>
    <cellStyle name="Currency 5 3 3 4 3" xfId="5486" xr:uid="{00000000-0005-0000-0000-0000FD0C0000}"/>
    <cellStyle name="Currency 5 3 3 4 3 2" xfId="13915" xr:uid="{28AF72C0-E981-4D91-99B8-8D5FDEC0FCA9}"/>
    <cellStyle name="Currency 5 3 3 4 4" xfId="9697" xr:uid="{0BF8D537-6790-4546-B3D5-EF653182202E}"/>
    <cellStyle name="Currency 5 3 3 5" xfId="1590" xr:uid="{00000000-0005-0000-0000-0000FE0C0000}"/>
    <cellStyle name="Currency 5 3 3 5 2" xfId="3820" xr:uid="{00000000-0005-0000-0000-0000FF0C0000}"/>
    <cellStyle name="Currency 5 3 3 5 2 2" xfId="8044" xr:uid="{00000000-0005-0000-0000-0000000D0000}"/>
    <cellStyle name="Currency 5 3 3 5 2 2 2" xfId="16473" xr:uid="{1CEF7B61-5617-422F-A2E8-98A4CEE89C47}"/>
    <cellStyle name="Currency 5 3 3 5 2 3" xfId="12255" xr:uid="{A7DAD08D-69B5-40DB-B9CC-5FD7FAB6E7E1}"/>
    <cellStyle name="Currency 5 3 3 5 3" xfId="5899" xr:uid="{00000000-0005-0000-0000-0000010D0000}"/>
    <cellStyle name="Currency 5 3 3 5 3 2" xfId="14328" xr:uid="{876345B6-B269-4978-856C-49312AB4579B}"/>
    <cellStyle name="Currency 5 3 3 5 4" xfId="10110" xr:uid="{88DD7C08-6869-432C-8208-D05E26463977}"/>
    <cellStyle name="Currency 5 3 3 6" xfId="2004" xr:uid="{00000000-0005-0000-0000-0000020D0000}"/>
    <cellStyle name="Currency 5 3 3 6 2" xfId="4233" xr:uid="{00000000-0005-0000-0000-0000030D0000}"/>
    <cellStyle name="Currency 5 3 3 6 2 2" xfId="8457" xr:uid="{00000000-0005-0000-0000-0000040D0000}"/>
    <cellStyle name="Currency 5 3 3 6 2 2 2" xfId="16886" xr:uid="{6F5D1786-BFE8-42D1-9F0C-A2C1DB97DEF1}"/>
    <cellStyle name="Currency 5 3 3 6 2 3" xfId="12668" xr:uid="{15E0C287-C00B-49AC-88A5-B774A441C03E}"/>
    <cellStyle name="Currency 5 3 3 6 3" xfId="6312" xr:uid="{00000000-0005-0000-0000-0000050D0000}"/>
    <cellStyle name="Currency 5 3 3 6 3 2" xfId="14741" xr:uid="{3D00E52D-78CE-4925-B4B1-98DE63E3F7F5}"/>
    <cellStyle name="Currency 5 3 3 6 4" xfId="10523" xr:uid="{FEBDBB2B-85DD-467E-9B3D-4FA0B0D43E26}"/>
    <cellStyle name="Currency 5 3 3 7" xfId="2439" xr:uid="{00000000-0005-0000-0000-0000060D0000}"/>
    <cellStyle name="Currency 5 3 3 7 2" xfId="6725" xr:uid="{00000000-0005-0000-0000-0000070D0000}"/>
    <cellStyle name="Currency 5 3 3 7 2 2" xfId="15154" xr:uid="{433C9594-BF9E-47B6-8723-B9B93465993A}"/>
    <cellStyle name="Currency 5 3 3 7 3" xfId="10936" xr:uid="{ED2E93CA-FADF-491D-A236-80BE92E03E2E}"/>
    <cellStyle name="Currency 5 3 3 8" xfId="2736" xr:uid="{00000000-0005-0000-0000-0000080D0000}"/>
    <cellStyle name="Currency 5 3 3 9" xfId="2817" xr:uid="{00000000-0005-0000-0000-0000090D0000}"/>
    <cellStyle name="Currency 5 3 3 9 2" xfId="7042" xr:uid="{00000000-0005-0000-0000-00000A0D0000}"/>
    <cellStyle name="Currency 5 3 3 9 2 2" xfId="15471" xr:uid="{A7696622-AB58-4177-B238-C11E458E2438}"/>
    <cellStyle name="Currency 5 3 3 9 3" xfId="11253" xr:uid="{8D5615AE-13D1-4CC6-9FCD-BA33CC3C0DE7}"/>
    <cellStyle name="Currency 5 3 4" xfId="216" xr:uid="{00000000-0005-0000-0000-00000B0D0000}"/>
    <cellStyle name="Currency 5 3 4 10" xfId="8872" xr:uid="{6D8ADE51-3963-4159-9AA4-7A467DA4AF2F}"/>
    <cellStyle name="Currency 5 3 4 2" xfId="743" xr:uid="{00000000-0005-0000-0000-00000C0D0000}"/>
    <cellStyle name="Currency 5 3 4 2 2" xfId="2996" xr:uid="{00000000-0005-0000-0000-00000D0D0000}"/>
    <cellStyle name="Currency 5 3 4 2 2 2" xfId="7220" xr:uid="{00000000-0005-0000-0000-00000E0D0000}"/>
    <cellStyle name="Currency 5 3 4 2 2 2 2" xfId="15649" xr:uid="{F345D57F-9400-4D52-8F8E-7931E0FFDD98}"/>
    <cellStyle name="Currency 5 3 4 2 2 3" xfId="11431" xr:uid="{9C352888-AECF-469B-B448-F66D4D731B65}"/>
    <cellStyle name="Currency 5 3 4 2 3" xfId="5075" xr:uid="{00000000-0005-0000-0000-00000F0D0000}"/>
    <cellStyle name="Currency 5 3 4 2 3 2" xfId="13504" xr:uid="{B4D5D002-DC82-4B01-B96D-4FA2978A662D}"/>
    <cellStyle name="Currency 5 3 4 2 4" xfId="9286" xr:uid="{C97344CB-BDDA-4ED8-9F09-C06DDC19CE0E}"/>
    <cellStyle name="Currency 5 3 4 3" xfId="1178" xr:uid="{00000000-0005-0000-0000-0000100D0000}"/>
    <cellStyle name="Currency 5 3 4 3 2" xfId="3409" xr:uid="{00000000-0005-0000-0000-0000110D0000}"/>
    <cellStyle name="Currency 5 3 4 3 2 2" xfId="7633" xr:uid="{00000000-0005-0000-0000-0000120D0000}"/>
    <cellStyle name="Currency 5 3 4 3 2 2 2" xfId="16062" xr:uid="{CDA3F29D-1A25-479D-9573-9467D9FB7B1C}"/>
    <cellStyle name="Currency 5 3 4 3 2 3" xfId="11844" xr:uid="{31C8AF2D-07E6-4D87-ACCC-3E161A9E97B2}"/>
    <cellStyle name="Currency 5 3 4 3 3" xfId="5488" xr:uid="{00000000-0005-0000-0000-0000130D0000}"/>
    <cellStyle name="Currency 5 3 4 3 3 2" xfId="13917" xr:uid="{515718A5-51CC-4BDE-8980-0D1C614F0D92}"/>
    <cellStyle name="Currency 5 3 4 3 4" xfId="9699" xr:uid="{A5B1F73A-75F1-4944-81CE-F5601D9D0CB3}"/>
    <cellStyle name="Currency 5 3 4 4" xfId="1592" xr:uid="{00000000-0005-0000-0000-0000140D0000}"/>
    <cellStyle name="Currency 5 3 4 4 2" xfId="3822" xr:uid="{00000000-0005-0000-0000-0000150D0000}"/>
    <cellStyle name="Currency 5 3 4 4 2 2" xfId="8046" xr:uid="{00000000-0005-0000-0000-0000160D0000}"/>
    <cellStyle name="Currency 5 3 4 4 2 2 2" xfId="16475" xr:uid="{6709B78B-6C8D-4DFB-972D-A08EE8C3A98D}"/>
    <cellStyle name="Currency 5 3 4 4 2 3" xfId="12257" xr:uid="{8DCD47B0-6839-4F64-ADCA-9F552563239E}"/>
    <cellStyle name="Currency 5 3 4 4 3" xfId="5901" xr:uid="{00000000-0005-0000-0000-0000170D0000}"/>
    <cellStyle name="Currency 5 3 4 4 3 2" xfId="14330" xr:uid="{D83D79EF-7D94-4416-84CF-564377046AF1}"/>
    <cellStyle name="Currency 5 3 4 4 4" xfId="10112" xr:uid="{7AFCB6A3-F1C1-461C-90DE-FEFB9EF453DC}"/>
    <cellStyle name="Currency 5 3 4 5" xfId="2006" xr:uid="{00000000-0005-0000-0000-0000180D0000}"/>
    <cellStyle name="Currency 5 3 4 5 2" xfId="4235" xr:uid="{00000000-0005-0000-0000-0000190D0000}"/>
    <cellStyle name="Currency 5 3 4 5 2 2" xfId="8459" xr:uid="{00000000-0005-0000-0000-00001A0D0000}"/>
    <cellStyle name="Currency 5 3 4 5 2 2 2" xfId="16888" xr:uid="{05781F8F-3E9E-41A9-962E-320C9D9C7748}"/>
    <cellStyle name="Currency 5 3 4 5 2 3" xfId="12670" xr:uid="{0E9A20E7-0142-4FCB-8C61-2AF0E3462BCA}"/>
    <cellStyle name="Currency 5 3 4 5 3" xfId="6314" xr:uid="{00000000-0005-0000-0000-00001B0D0000}"/>
    <cellStyle name="Currency 5 3 4 5 3 2" xfId="14743" xr:uid="{C078C742-58F2-448C-82FC-3FFD5E332874}"/>
    <cellStyle name="Currency 5 3 4 5 4" xfId="10525" xr:uid="{72330DB1-E9A9-486D-A44C-48D431656BD5}"/>
    <cellStyle name="Currency 5 3 4 6" xfId="2441" xr:uid="{00000000-0005-0000-0000-00001C0D0000}"/>
    <cellStyle name="Currency 5 3 4 6 2" xfId="6727" xr:uid="{00000000-0005-0000-0000-00001D0D0000}"/>
    <cellStyle name="Currency 5 3 4 6 2 2" xfId="15156" xr:uid="{8C8921AA-7C99-4936-AF19-6C8471C9CFD5}"/>
    <cellStyle name="Currency 5 3 4 6 3" xfId="10938" xr:uid="{799CA58D-87A5-49B6-84B2-2E0F7B226D11}"/>
    <cellStyle name="Currency 5 3 4 7" xfId="2738" xr:uid="{00000000-0005-0000-0000-00001E0D0000}"/>
    <cellStyle name="Currency 5 3 4 8" xfId="2819" xr:uid="{00000000-0005-0000-0000-00001F0D0000}"/>
    <cellStyle name="Currency 5 3 4 8 2" xfId="7044" xr:uid="{00000000-0005-0000-0000-0000200D0000}"/>
    <cellStyle name="Currency 5 3 4 8 2 2" xfId="15473" xr:uid="{5BF46979-E9F0-42FF-8404-A1000FE4DA5E}"/>
    <cellStyle name="Currency 5 3 4 8 3" xfId="11255" xr:uid="{49BD842E-48C5-44AC-A82A-4796F105D859}"/>
    <cellStyle name="Currency 5 3 4 9" xfId="4661" xr:uid="{00000000-0005-0000-0000-0000210D0000}"/>
    <cellStyle name="Currency 5 3 4 9 2" xfId="13090" xr:uid="{C0C0DE60-8BB5-453D-97B0-5C41A584FEB7}"/>
    <cellStyle name="Currency 5 3 5" xfId="217" xr:uid="{00000000-0005-0000-0000-0000220D0000}"/>
    <cellStyle name="Currency 5 3 5 10" xfId="8873" xr:uid="{2642CD4A-8E35-4938-A343-72075175B360}"/>
    <cellStyle name="Currency 5 3 5 2" xfId="744" xr:uid="{00000000-0005-0000-0000-0000230D0000}"/>
    <cellStyle name="Currency 5 3 5 2 2" xfId="2997" xr:uid="{00000000-0005-0000-0000-0000240D0000}"/>
    <cellStyle name="Currency 5 3 5 2 2 2" xfId="7221" xr:uid="{00000000-0005-0000-0000-0000250D0000}"/>
    <cellStyle name="Currency 5 3 5 2 2 2 2" xfId="15650" xr:uid="{F0BE4AE4-97A6-471C-AF23-9E502AA71648}"/>
    <cellStyle name="Currency 5 3 5 2 2 3" xfId="11432" xr:uid="{AC96E94D-7F8C-4444-91DB-F44F49558F52}"/>
    <cellStyle name="Currency 5 3 5 2 3" xfId="5076" xr:uid="{00000000-0005-0000-0000-0000260D0000}"/>
    <cellStyle name="Currency 5 3 5 2 3 2" xfId="13505" xr:uid="{9317FB6C-AB01-4596-9B32-65BB04474A5A}"/>
    <cellStyle name="Currency 5 3 5 2 4" xfId="9287" xr:uid="{7DEA27B5-03EA-483B-8F0F-332AD8938159}"/>
    <cellStyle name="Currency 5 3 5 3" xfId="1179" xr:uid="{00000000-0005-0000-0000-0000270D0000}"/>
    <cellStyle name="Currency 5 3 5 3 2" xfId="3410" xr:uid="{00000000-0005-0000-0000-0000280D0000}"/>
    <cellStyle name="Currency 5 3 5 3 2 2" xfId="7634" xr:uid="{00000000-0005-0000-0000-0000290D0000}"/>
    <cellStyle name="Currency 5 3 5 3 2 2 2" xfId="16063" xr:uid="{E6BF154B-B1A9-456F-81E9-473A7EB31204}"/>
    <cellStyle name="Currency 5 3 5 3 2 3" xfId="11845" xr:uid="{BBB73CFA-3E53-415F-9011-9601CF38D3A4}"/>
    <cellStyle name="Currency 5 3 5 3 3" xfId="5489" xr:uid="{00000000-0005-0000-0000-00002A0D0000}"/>
    <cellStyle name="Currency 5 3 5 3 3 2" xfId="13918" xr:uid="{84FE96E1-96A6-41A8-A8BD-33A7E21A4C61}"/>
    <cellStyle name="Currency 5 3 5 3 4" xfId="9700" xr:uid="{8499CD1D-FE69-41D2-B12D-26171890B137}"/>
    <cellStyle name="Currency 5 3 5 4" xfId="1593" xr:uid="{00000000-0005-0000-0000-00002B0D0000}"/>
    <cellStyle name="Currency 5 3 5 4 2" xfId="3823" xr:uid="{00000000-0005-0000-0000-00002C0D0000}"/>
    <cellStyle name="Currency 5 3 5 4 2 2" xfId="8047" xr:uid="{00000000-0005-0000-0000-00002D0D0000}"/>
    <cellStyle name="Currency 5 3 5 4 2 2 2" xfId="16476" xr:uid="{6E233E27-1A60-4F97-AD99-CD5C173F9BD8}"/>
    <cellStyle name="Currency 5 3 5 4 2 3" xfId="12258" xr:uid="{B3C7612D-125B-4800-A0AE-FE61BF78B997}"/>
    <cellStyle name="Currency 5 3 5 4 3" xfId="5902" xr:uid="{00000000-0005-0000-0000-00002E0D0000}"/>
    <cellStyle name="Currency 5 3 5 4 3 2" xfId="14331" xr:uid="{B977A0C5-593D-44B4-8349-8749703C6F01}"/>
    <cellStyle name="Currency 5 3 5 4 4" xfId="10113" xr:uid="{3AF36ABD-6974-4418-90A2-FA3750E1632F}"/>
    <cellStyle name="Currency 5 3 5 5" xfId="2007" xr:uid="{00000000-0005-0000-0000-00002F0D0000}"/>
    <cellStyle name="Currency 5 3 5 5 2" xfId="4236" xr:uid="{00000000-0005-0000-0000-0000300D0000}"/>
    <cellStyle name="Currency 5 3 5 5 2 2" xfId="8460" xr:uid="{00000000-0005-0000-0000-0000310D0000}"/>
    <cellStyle name="Currency 5 3 5 5 2 2 2" xfId="16889" xr:uid="{FA2C450B-8278-446F-8F15-9DD5B062D378}"/>
    <cellStyle name="Currency 5 3 5 5 2 3" xfId="12671" xr:uid="{65647065-5480-494A-B584-898006EBBE8D}"/>
    <cellStyle name="Currency 5 3 5 5 3" xfId="6315" xr:uid="{00000000-0005-0000-0000-0000320D0000}"/>
    <cellStyle name="Currency 5 3 5 5 3 2" xfId="14744" xr:uid="{6DB2A1F0-A04D-474F-8930-710A87386B34}"/>
    <cellStyle name="Currency 5 3 5 5 4" xfId="10526" xr:uid="{EFAEF0A0-559C-461B-A6CC-686CFA7D9F87}"/>
    <cellStyle name="Currency 5 3 5 6" xfId="2442" xr:uid="{00000000-0005-0000-0000-0000330D0000}"/>
    <cellStyle name="Currency 5 3 5 6 2" xfId="6728" xr:uid="{00000000-0005-0000-0000-0000340D0000}"/>
    <cellStyle name="Currency 5 3 5 6 2 2" xfId="15157" xr:uid="{71BFD476-455D-458A-8EE1-89426E9B8E7D}"/>
    <cellStyle name="Currency 5 3 5 6 3" xfId="10939" xr:uid="{9EED1B05-7ECA-4B75-AE85-395896F51FF5}"/>
    <cellStyle name="Currency 5 3 5 7" xfId="2739" xr:uid="{00000000-0005-0000-0000-0000350D0000}"/>
    <cellStyle name="Currency 5 3 5 8" xfId="2820" xr:uid="{00000000-0005-0000-0000-0000360D0000}"/>
    <cellStyle name="Currency 5 3 5 8 2" xfId="7045" xr:uid="{00000000-0005-0000-0000-0000370D0000}"/>
    <cellStyle name="Currency 5 3 5 8 2 2" xfId="15474" xr:uid="{826B0597-751A-4741-98C1-F6874C4C95EA}"/>
    <cellStyle name="Currency 5 3 5 8 3" xfId="11256" xr:uid="{7B344A38-0ADE-4209-BA3D-60B71FBA864E}"/>
    <cellStyle name="Currency 5 3 5 9" xfId="4662" xr:uid="{00000000-0005-0000-0000-0000380D0000}"/>
    <cellStyle name="Currency 5 3 5 9 2" xfId="13091" xr:uid="{51BA46F9-0F46-4038-A1C6-97BC47427B84}"/>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0 2" xfId="13092" xr:uid="{2CE3C8F5-5FF3-4FCB-998F-BBCAC86CD9F0}"/>
    <cellStyle name="Currency 5 5 11" xfId="8874" xr:uid="{8E73B93C-6CE3-48D5-A46D-9ED1B56FB16E}"/>
    <cellStyle name="Currency 5 5 2" xfId="220" xr:uid="{00000000-0005-0000-0000-00003D0D0000}"/>
    <cellStyle name="Currency 5 5 2 10" xfId="8875" xr:uid="{9D9FC3F3-2C97-4873-A98E-F550FD6C544A}"/>
    <cellStyle name="Currency 5 5 2 2" xfId="747" xr:uid="{00000000-0005-0000-0000-00003E0D0000}"/>
    <cellStyle name="Currency 5 5 2 2 2" xfId="2999" xr:uid="{00000000-0005-0000-0000-00003F0D0000}"/>
    <cellStyle name="Currency 5 5 2 2 2 2" xfId="7223" xr:uid="{00000000-0005-0000-0000-0000400D0000}"/>
    <cellStyle name="Currency 5 5 2 2 2 2 2" xfId="15652" xr:uid="{51F17FDD-BEA3-43BA-9234-AC847ABC3025}"/>
    <cellStyle name="Currency 5 5 2 2 2 3" xfId="11434" xr:uid="{EEDD890F-F417-4F4B-BFB0-FDA07A986896}"/>
    <cellStyle name="Currency 5 5 2 2 3" xfId="5078" xr:uid="{00000000-0005-0000-0000-0000410D0000}"/>
    <cellStyle name="Currency 5 5 2 2 3 2" xfId="13507" xr:uid="{3971E360-BC3D-41B1-8882-DCC7F75360FE}"/>
    <cellStyle name="Currency 5 5 2 2 4" xfId="9289" xr:uid="{F5FD1DBB-AAB1-4DD8-9C47-1B7EB15E265D}"/>
    <cellStyle name="Currency 5 5 2 3" xfId="1181" xr:uid="{00000000-0005-0000-0000-0000420D0000}"/>
    <cellStyle name="Currency 5 5 2 3 2" xfId="3412" xr:uid="{00000000-0005-0000-0000-0000430D0000}"/>
    <cellStyle name="Currency 5 5 2 3 2 2" xfId="7636" xr:uid="{00000000-0005-0000-0000-0000440D0000}"/>
    <cellStyle name="Currency 5 5 2 3 2 2 2" xfId="16065" xr:uid="{6DE26DCF-D7D3-4358-97FF-2131A8B139F0}"/>
    <cellStyle name="Currency 5 5 2 3 2 3" xfId="11847" xr:uid="{8BD1B66B-BF97-4FE1-A9F0-BD6CCAAEDA5F}"/>
    <cellStyle name="Currency 5 5 2 3 3" xfId="5491" xr:uid="{00000000-0005-0000-0000-0000450D0000}"/>
    <cellStyle name="Currency 5 5 2 3 3 2" xfId="13920" xr:uid="{972BBFC5-B152-44A0-AE13-A007EF5DBE1C}"/>
    <cellStyle name="Currency 5 5 2 3 4" xfId="9702" xr:uid="{658ACA19-922F-4149-BF40-69A7C5ADD9B0}"/>
    <cellStyle name="Currency 5 5 2 4" xfId="1595" xr:uid="{00000000-0005-0000-0000-0000460D0000}"/>
    <cellStyle name="Currency 5 5 2 4 2" xfId="3825" xr:uid="{00000000-0005-0000-0000-0000470D0000}"/>
    <cellStyle name="Currency 5 5 2 4 2 2" xfId="8049" xr:uid="{00000000-0005-0000-0000-0000480D0000}"/>
    <cellStyle name="Currency 5 5 2 4 2 2 2" xfId="16478" xr:uid="{C6044357-B91D-4214-9919-EF64A8E23DBB}"/>
    <cellStyle name="Currency 5 5 2 4 2 3" xfId="12260" xr:uid="{01FA36C9-CF88-499E-BA86-1269673A8300}"/>
    <cellStyle name="Currency 5 5 2 4 3" xfId="5904" xr:uid="{00000000-0005-0000-0000-0000490D0000}"/>
    <cellStyle name="Currency 5 5 2 4 3 2" xfId="14333" xr:uid="{EDCA1B88-A888-429B-A255-B89DD687338F}"/>
    <cellStyle name="Currency 5 5 2 4 4" xfId="10115" xr:uid="{B2A06DD6-9248-4567-9721-F9C03DB1FE26}"/>
    <cellStyle name="Currency 5 5 2 5" xfId="2009" xr:uid="{00000000-0005-0000-0000-00004A0D0000}"/>
    <cellStyle name="Currency 5 5 2 5 2" xfId="4238" xr:uid="{00000000-0005-0000-0000-00004B0D0000}"/>
    <cellStyle name="Currency 5 5 2 5 2 2" xfId="8462" xr:uid="{00000000-0005-0000-0000-00004C0D0000}"/>
    <cellStyle name="Currency 5 5 2 5 2 2 2" xfId="16891" xr:uid="{2116EC0B-C8AB-4093-8E53-90B791BF53F8}"/>
    <cellStyle name="Currency 5 5 2 5 2 3" xfId="12673" xr:uid="{3010CC58-FC64-4546-ADED-E6DA641B7337}"/>
    <cellStyle name="Currency 5 5 2 5 3" xfId="6317" xr:uid="{00000000-0005-0000-0000-00004D0D0000}"/>
    <cellStyle name="Currency 5 5 2 5 3 2" xfId="14746" xr:uid="{083DA8E8-4801-4C9E-BB11-73BF07206D0F}"/>
    <cellStyle name="Currency 5 5 2 5 4" xfId="10528" xr:uid="{27E65AFA-1B12-4E9B-ACF2-BFD45B24026C}"/>
    <cellStyle name="Currency 5 5 2 6" xfId="2444" xr:uid="{00000000-0005-0000-0000-00004E0D0000}"/>
    <cellStyle name="Currency 5 5 2 6 2" xfId="6730" xr:uid="{00000000-0005-0000-0000-00004F0D0000}"/>
    <cellStyle name="Currency 5 5 2 6 2 2" xfId="15159" xr:uid="{4E796693-A4A0-4C3A-B046-41B30B7B8897}"/>
    <cellStyle name="Currency 5 5 2 6 3" xfId="10941" xr:uid="{20A34AF4-012E-4069-8B39-CF7664FA5C3B}"/>
    <cellStyle name="Currency 5 5 2 7" xfId="2741" xr:uid="{00000000-0005-0000-0000-0000500D0000}"/>
    <cellStyle name="Currency 5 5 2 8" xfId="2822" xr:uid="{00000000-0005-0000-0000-0000510D0000}"/>
    <cellStyle name="Currency 5 5 2 8 2" xfId="7047" xr:uid="{00000000-0005-0000-0000-0000520D0000}"/>
    <cellStyle name="Currency 5 5 2 8 2 2" xfId="15476" xr:uid="{CA74A9C8-BCA7-4FF9-A397-7A0715C38DA5}"/>
    <cellStyle name="Currency 5 5 2 8 3" xfId="11258" xr:uid="{C8F82AD8-D559-48C9-9AAE-5F6ABF358413}"/>
    <cellStyle name="Currency 5 5 2 9" xfId="4664" xr:uid="{00000000-0005-0000-0000-0000530D0000}"/>
    <cellStyle name="Currency 5 5 2 9 2" xfId="13093" xr:uid="{47A2986E-4E6E-4FE7-87B2-9E60A63BBF8A}"/>
    <cellStyle name="Currency 5 5 3" xfId="746" xr:uid="{00000000-0005-0000-0000-0000540D0000}"/>
    <cellStyle name="Currency 5 5 3 2" xfId="2998" xr:uid="{00000000-0005-0000-0000-0000550D0000}"/>
    <cellStyle name="Currency 5 5 3 2 2" xfId="7222" xr:uid="{00000000-0005-0000-0000-0000560D0000}"/>
    <cellStyle name="Currency 5 5 3 2 2 2" xfId="15651" xr:uid="{3A9A7CA9-C877-451F-AB40-0B2188978088}"/>
    <cellStyle name="Currency 5 5 3 2 3" xfId="11433" xr:uid="{C4774B10-85DA-4041-82DE-1605E8A75813}"/>
    <cellStyle name="Currency 5 5 3 3" xfId="5077" xr:uid="{00000000-0005-0000-0000-0000570D0000}"/>
    <cellStyle name="Currency 5 5 3 3 2" xfId="13506" xr:uid="{5C6F0865-A250-4EA9-A548-99A1DE4F591A}"/>
    <cellStyle name="Currency 5 5 3 4" xfId="9288" xr:uid="{D08B21CE-112E-4F6C-87C7-25E09A9074D0}"/>
    <cellStyle name="Currency 5 5 4" xfId="1180" xr:uid="{00000000-0005-0000-0000-0000580D0000}"/>
    <cellStyle name="Currency 5 5 4 2" xfId="3411" xr:uid="{00000000-0005-0000-0000-0000590D0000}"/>
    <cellStyle name="Currency 5 5 4 2 2" xfId="7635" xr:uid="{00000000-0005-0000-0000-00005A0D0000}"/>
    <cellStyle name="Currency 5 5 4 2 2 2" xfId="16064" xr:uid="{4906C3FB-018C-4A88-975D-291C749B13EF}"/>
    <cellStyle name="Currency 5 5 4 2 3" xfId="11846" xr:uid="{E13F04BF-96A6-4406-A06E-0559B603DB6D}"/>
    <cellStyle name="Currency 5 5 4 3" xfId="5490" xr:uid="{00000000-0005-0000-0000-00005B0D0000}"/>
    <cellStyle name="Currency 5 5 4 3 2" xfId="13919" xr:uid="{44283951-25FB-434D-BEE2-A1EB8625D9A1}"/>
    <cellStyle name="Currency 5 5 4 4" xfId="9701" xr:uid="{3EC68F35-42EA-4583-BFC5-DB685238B956}"/>
    <cellStyle name="Currency 5 5 5" xfId="1594" xr:uid="{00000000-0005-0000-0000-00005C0D0000}"/>
    <cellStyle name="Currency 5 5 5 2" xfId="3824" xr:uid="{00000000-0005-0000-0000-00005D0D0000}"/>
    <cellStyle name="Currency 5 5 5 2 2" xfId="8048" xr:uid="{00000000-0005-0000-0000-00005E0D0000}"/>
    <cellStyle name="Currency 5 5 5 2 2 2" xfId="16477" xr:uid="{DF44D5FE-B51F-4390-90E1-17F94F0E8B69}"/>
    <cellStyle name="Currency 5 5 5 2 3" xfId="12259" xr:uid="{7F28E7C9-A63A-4624-A27A-4EE4A203B75C}"/>
    <cellStyle name="Currency 5 5 5 3" xfId="5903" xr:uid="{00000000-0005-0000-0000-00005F0D0000}"/>
    <cellStyle name="Currency 5 5 5 3 2" xfId="14332" xr:uid="{700AAE67-8B2C-4CCD-9A86-30D06082C69F}"/>
    <cellStyle name="Currency 5 5 5 4" xfId="10114" xr:uid="{A81DA1FD-27FC-4907-87FB-A8CA82000F6B}"/>
    <cellStyle name="Currency 5 5 6" xfId="2008" xr:uid="{00000000-0005-0000-0000-0000600D0000}"/>
    <cellStyle name="Currency 5 5 6 2" xfId="4237" xr:uid="{00000000-0005-0000-0000-0000610D0000}"/>
    <cellStyle name="Currency 5 5 6 2 2" xfId="8461" xr:uid="{00000000-0005-0000-0000-0000620D0000}"/>
    <cellStyle name="Currency 5 5 6 2 2 2" xfId="16890" xr:uid="{31B4E1D7-EB55-4BE3-A991-F4210108C093}"/>
    <cellStyle name="Currency 5 5 6 2 3" xfId="12672" xr:uid="{2C554CB9-2240-485F-8D7C-9710D5784DBA}"/>
    <cellStyle name="Currency 5 5 6 3" xfId="6316" xr:uid="{00000000-0005-0000-0000-0000630D0000}"/>
    <cellStyle name="Currency 5 5 6 3 2" xfId="14745" xr:uid="{82B43046-C107-44F9-A22A-635F3BF3735F}"/>
    <cellStyle name="Currency 5 5 6 4" xfId="10527" xr:uid="{0E8C96EA-AD00-42A6-B7B8-64C155A4BEB5}"/>
    <cellStyle name="Currency 5 5 7" xfId="2443" xr:uid="{00000000-0005-0000-0000-0000640D0000}"/>
    <cellStyle name="Currency 5 5 7 2" xfId="6729" xr:uid="{00000000-0005-0000-0000-0000650D0000}"/>
    <cellStyle name="Currency 5 5 7 2 2" xfId="15158" xr:uid="{D509E3E5-4469-42D1-AF54-49B88E81E15B}"/>
    <cellStyle name="Currency 5 5 7 3" xfId="10940" xr:uid="{43465E74-CD97-47E4-B808-666EB15564AD}"/>
    <cellStyle name="Currency 5 5 8" xfId="2740" xr:uid="{00000000-0005-0000-0000-0000660D0000}"/>
    <cellStyle name="Currency 5 5 9" xfId="2821" xr:uid="{00000000-0005-0000-0000-0000670D0000}"/>
    <cellStyle name="Currency 5 5 9 2" xfId="7046" xr:uid="{00000000-0005-0000-0000-0000680D0000}"/>
    <cellStyle name="Currency 5 5 9 2 2" xfId="15475" xr:uid="{822EFD32-889A-45FF-B59E-6D2D06E05C93}"/>
    <cellStyle name="Currency 5 5 9 3" xfId="11257" xr:uid="{2937405F-E378-40B9-A569-3C747D3CD7DF}"/>
    <cellStyle name="Currency 5 6" xfId="221" xr:uid="{00000000-0005-0000-0000-0000690D0000}"/>
    <cellStyle name="Currency 5 6 10" xfId="8876" xr:uid="{9E840936-0B2F-43EA-904E-F5333A75AB39}"/>
    <cellStyle name="Currency 5 6 2" xfId="748" xr:uid="{00000000-0005-0000-0000-00006A0D0000}"/>
    <cellStyle name="Currency 5 6 2 2" xfId="3000" xr:uid="{00000000-0005-0000-0000-00006B0D0000}"/>
    <cellStyle name="Currency 5 6 2 2 2" xfId="7224" xr:uid="{00000000-0005-0000-0000-00006C0D0000}"/>
    <cellStyle name="Currency 5 6 2 2 2 2" xfId="15653" xr:uid="{863A3E98-673A-4E18-9A2C-8167FB394352}"/>
    <cellStyle name="Currency 5 6 2 2 3" xfId="11435" xr:uid="{9229D038-E550-4BC5-840E-B5C32FE49521}"/>
    <cellStyle name="Currency 5 6 2 3" xfId="5079" xr:uid="{00000000-0005-0000-0000-00006D0D0000}"/>
    <cellStyle name="Currency 5 6 2 3 2" xfId="13508" xr:uid="{D6CCA511-65A2-47C9-B202-D3F0027B2020}"/>
    <cellStyle name="Currency 5 6 2 4" xfId="9290" xr:uid="{9DCF99BF-FFA4-4B06-AB4C-30797DF9D62D}"/>
    <cellStyle name="Currency 5 6 3" xfId="1182" xr:uid="{00000000-0005-0000-0000-00006E0D0000}"/>
    <cellStyle name="Currency 5 6 3 2" xfId="3413" xr:uid="{00000000-0005-0000-0000-00006F0D0000}"/>
    <cellStyle name="Currency 5 6 3 2 2" xfId="7637" xr:uid="{00000000-0005-0000-0000-0000700D0000}"/>
    <cellStyle name="Currency 5 6 3 2 2 2" xfId="16066" xr:uid="{B40A93F1-56FA-430D-AC1F-0EED2709CA7A}"/>
    <cellStyle name="Currency 5 6 3 2 3" xfId="11848" xr:uid="{38552799-C63E-466F-A7DC-7F228F7FEF05}"/>
    <cellStyle name="Currency 5 6 3 3" xfId="5492" xr:uid="{00000000-0005-0000-0000-0000710D0000}"/>
    <cellStyle name="Currency 5 6 3 3 2" xfId="13921" xr:uid="{F993973C-B9DA-4B10-A4DC-D49E6533CF55}"/>
    <cellStyle name="Currency 5 6 3 4" xfId="9703" xr:uid="{5FDB73AE-359A-436D-8C0A-88C7B4E172BC}"/>
    <cellStyle name="Currency 5 6 4" xfId="1596" xr:uid="{00000000-0005-0000-0000-0000720D0000}"/>
    <cellStyle name="Currency 5 6 4 2" xfId="3826" xr:uid="{00000000-0005-0000-0000-0000730D0000}"/>
    <cellStyle name="Currency 5 6 4 2 2" xfId="8050" xr:uid="{00000000-0005-0000-0000-0000740D0000}"/>
    <cellStyle name="Currency 5 6 4 2 2 2" xfId="16479" xr:uid="{FF8D0EE0-E2A1-4133-B2EF-1A3F39F1D892}"/>
    <cellStyle name="Currency 5 6 4 2 3" xfId="12261" xr:uid="{67C2FD0F-DEAB-432C-BBAE-FC51E4C3E5E2}"/>
    <cellStyle name="Currency 5 6 4 3" xfId="5905" xr:uid="{00000000-0005-0000-0000-0000750D0000}"/>
    <cellStyle name="Currency 5 6 4 3 2" xfId="14334" xr:uid="{90CB161C-03A0-4A40-9C45-8D23DC7412E7}"/>
    <cellStyle name="Currency 5 6 4 4" xfId="10116" xr:uid="{AB66CD7D-337B-4A43-8EDA-B4932ECA0E43}"/>
    <cellStyle name="Currency 5 6 5" xfId="2010" xr:uid="{00000000-0005-0000-0000-0000760D0000}"/>
    <cellStyle name="Currency 5 6 5 2" xfId="4239" xr:uid="{00000000-0005-0000-0000-0000770D0000}"/>
    <cellStyle name="Currency 5 6 5 2 2" xfId="8463" xr:uid="{00000000-0005-0000-0000-0000780D0000}"/>
    <cellStyle name="Currency 5 6 5 2 2 2" xfId="16892" xr:uid="{EA386FF2-A5B3-4BCA-A334-890BC262121B}"/>
    <cellStyle name="Currency 5 6 5 2 3" xfId="12674" xr:uid="{7668A891-5813-460A-A7C5-1A4599E84C71}"/>
    <cellStyle name="Currency 5 6 5 3" xfId="6318" xr:uid="{00000000-0005-0000-0000-0000790D0000}"/>
    <cellStyle name="Currency 5 6 5 3 2" xfId="14747" xr:uid="{80B3CDDE-B4B2-4D2F-A09A-F53C4A965F04}"/>
    <cellStyle name="Currency 5 6 5 4" xfId="10529" xr:uid="{378490B0-93B7-4B0E-B622-C4C0A2D93129}"/>
    <cellStyle name="Currency 5 6 6" xfId="2445" xr:uid="{00000000-0005-0000-0000-00007A0D0000}"/>
    <cellStyle name="Currency 5 6 6 2" xfId="6731" xr:uid="{00000000-0005-0000-0000-00007B0D0000}"/>
    <cellStyle name="Currency 5 6 6 2 2" xfId="15160" xr:uid="{CDC3A058-2576-498E-A536-AF55D848F4E7}"/>
    <cellStyle name="Currency 5 6 6 3" xfId="10942" xr:uid="{593C09DB-7EBF-4082-BD63-1B7FE0D40DC6}"/>
    <cellStyle name="Currency 5 6 7" xfId="2742" xr:uid="{00000000-0005-0000-0000-00007C0D0000}"/>
    <cellStyle name="Currency 5 6 8" xfId="2823" xr:uid="{00000000-0005-0000-0000-00007D0D0000}"/>
    <cellStyle name="Currency 5 6 8 2" xfId="7048" xr:uid="{00000000-0005-0000-0000-00007E0D0000}"/>
    <cellStyle name="Currency 5 6 8 2 2" xfId="15477" xr:uid="{0B50499C-C5AB-41B3-89FF-93464B90F24F}"/>
    <cellStyle name="Currency 5 6 8 3" xfId="11259" xr:uid="{2F29B23C-D0F6-4E80-87B8-926B01B3B237}"/>
    <cellStyle name="Currency 5 6 9" xfId="4665" xr:uid="{00000000-0005-0000-0000-00007F0D0000}"/>
    <cellStyle name="Currency 5 6 9 2" xfId="13094" xr:uid="{1F301F29-C14C-4479-9780-5903987E6FFD}"/>
    <cellStyle name="Currency 5 7" xfId="222" xr:uid="{00000000-0005-0000-0000-0000800D0000}"/>
    <cellStyle name="Currency 5 7 10" xfId="8877" xr:uid="{148837CF-F56D-4C68-B9DF-25BF30E09132}"/>
    <cellStyle name="Currency 5 7 2" xfId="749" xr:uid="{00000000-0005-0000-0000-0000810D0000}"/>
    <cellStyle name="Currency 5 7 2 2" xfId="3001" xr:uid="{00000000-0005-0000-0000-0000820D0000}"/>
    <cellStyle name="Currency 5 7 2 2 2" xfId="7225" xr:uid="{00000000-0005-0000-0000-0000830D0000}"/>
    <cellStyle name="Currency 5 7 2 2 2 2" xfId="15654" xr:uid="{0211C97D-CCAA-4D82-9ABA-E2E929DDBB34}"/>
    <cellStyle name="Currency 5 7 2 2 3" xfId="11436" xr:uid="{6E8C3034-4787-4EBF-985C-9948246B3340}"/>
    <cellStyle name="Currency 5 7 2 3" xfId="5080" xr:uid="{00000000-0005-0000-0000-0000840D0000}"/>
    <cellStyle name="Currency 5 7 2 3 2" xfId="13509" xr:uid="{181AD8A1-BC99-4A90-83E2-BCD28483983D}"/>
    <cellStyle name="Currency 5 7 2 4" xfId="9291" xr:uid="{5C47793F-A795-496C-B90A-8083C7817DAA}"/>
    <cellStyle name="Currency 5 7 3" xfId="1183" xr:uid="{00000000-0005-0000-0000-0000850D0000}"/>
    <cellStyle name="Currency 5 7 3 2" xfId="3414" xr:uid="{00000000-0005-0000-0000-0000860D0000}"/>
    <cellStyle name="Currency 5 7 3 2 2" xfId="7638" xr:uid="{00000000-0005-0000-0000-0000870D0000}"/>
    <cellStyle name="Currency 5 7 3 2 2 2" xfId="16067" xr:uid="{64F2B84A-777C-4DA0-9B4B-75438E95E786}"/>
    <cellStyle name="Currency 5 7 3 2 3" xfId="11849" xr:uid="{0EB54A74-81AC-4EE0-A450-897339A446CF}"/>
    <cellStyle name="Currency 5 7 3 3" xfId="5493" xr:uid="{00000000-0005-0000-0000-0000880D0000}"/>
    <cellStyle name="Currency 5 7 3 3 2" xfId="13922" xr:uid="{B9BF4018-93EB-4ED7-A219-F376F8E1A8D7}"/>
    <cellStyle name="Currency 5 7 3 4" xfId="9704" xr:uid="{051E3A15-757D-4A58-B665-EBC4BF7116AB}"/>
    <cellStyle name="Currency 5 7 4" xfId="1597" xr:uid="{00000000-0005-0000-0000-0000890D0000}"/>
    <cellStyle name="Currency 5 7 4 2" xfId="3827" xr:uid="{00000000-0005-0000-0000-00008A0D0000}"/>
    <cellStyle name="Currency 5 7 4 2 2" xfId="8051" xr:uid="{00000000-0005-0000-0000-00008B0D0000}"/>
    <cellStyle name="Currency 5 7 4 2 2 2" xfId="16480" xr:uid="{E4B8760E-CDC1-41D5-B79B-7BA4C954D8B9}"/>
    <cellStyle name="Currency 5 7 4 2 3" xfId="12262" xr:uid="{24DBD857-D081-424F-B969-FB212AD5C5C8}"/>
    <cellStyle name="Currency 5 7 4 3" xfId="5906" xr:uid="{00000000-0005-0000-0000-00008C0D0000}"/>
    <cellStyle name="Currency 5 7 4 3 2" xfId="14335" xr:uid="{FFBE07C9-64CF-4EFD-8027-55146A26610E}"/>
    <cellStyle name="Currency 5 7 4 4" xfId="10117" xr:uid="{CC02A8F8-CDF2-488B-ABFD-FEA74FD5B243}"/>
    <cellStyle name="Currency 5 7 5" xfId="2011" xr:uid="{00000000-0005-0000-0000-00008D0D0000}"/>
    <cellStyle name="Currency 5 7 5 2" xfId="4240" xr:uid="{00000000-0005-0000-0000-00008E0D0000}"/>
    <cellStyle name="Currency 5 7 5 2 2" xfId="8464" xr:uid="{00000000-0005-0000-0000-00008F0D0000}"/>
    <cellStyle name="Currency 5 7 5 2 2 2" xfId="16893" xr:uid="{98EBA529-2096-4886-8003-F8712B0F64FD}"/>
    <cellStyle name="Currency 5 7 5 2 3" xfId="12675" xr:uid="{99B73114-10E6-49EE-AB3C-15AA07D906A1}"/>
    <cellStyle name="Currency 5 7 5 3" xfId="6319" xr:uid="{00000000-0005-0000-0000-0000900D0000}"/>
    <cellStyle name="Currency 5 7 5 3 2" xfId="14748" xr:uid="{8260CEF8-0CB1-488D-AC56-607BE1B2F488}"/>
    <cellStyle name="Currency 5 7 5 4" xfId="10530" xr:uid="{8A3F7D39-3E12-4DBE-ACA9-5335AD5C2AC6}"/>
    <cellStyle name="Currency 5 7 6" xfId="2446" xr:uid="{00000000-0005-0000-0000-0000910D0000}"/>
    <cellStyle name="Currency 5 7 6 2" xfId="6732" xr:uid="{00000000-0005-0000-0000-0000920D0000}"/>
    <cellStyle name="Currency 5 7 6 2 2" xfId="15161" xr:uid="{E8D47653-C542-4722-B636-4A61411550C4}"/>
    <cellStyle name="Currency 5 7 6 3" xfId="10943" xr:uid="{5A653556-C155-4D99-A07A-C3D20FE85693}"/>
    <cellStyle name="Currency 5 7 7" xfId="2743" xr:uid="{00000000-0005-0000-0000-0000930D0000}"/>
    <cellStyle name="Currency 5 7 8" xfId="2824" xr:uid="{00000000-0005-0000-0000-0000940D0000}"/>
    <cellStyle name="Currency 5 7 8 2" xfId="7049" xr:uid="{00000000-0005-0000-0000-0000950D0000}"/>
    <cellStyle name="Currency 5 7 8 2 2" xfId="15478" xr:uid="{E5409EC7-D3D1-4E76-A73D-2286004F917B}"/>
    <cellStyle name="Currency 5 7 8 3" xfId="11260" xr:uid="{6F757C55-19FF-4763-96DC-79BB0FBBDC68}"/>
    <cellStyle name="Currency 5 7 9" xfId="4666" xr:uid="{00000000-0005-0000-0000-0000960D0000}"/>
    <cellStyle name="Currency 5 7 9 2" xfId="13095" xr:uid="{9262128C-9282-462E-BE4A-3CBBFDF2DDC1}"/>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0 2 2" xfId="15162" xr:uid="{260CA43B-D7EA-4205-AD3F-50F94F4DAF6F}"/>
    <cellStyle name="Normal 12 10 3" xfId="10944" xr:uid="{C19951E7-AA64-4BD5-A5CC-4ED9C3145DC4}"/>
    <cellStyle name="Normal 12 11" xfId="4667" xr:uid="{00000000-0005-0000-0000-0000CC0D0000}"/>
    <cellStyle name="Normal 12 11 2" xfId="13096" xr:uid="{31AC099D-E17B-4E1F-94BC-A449240719C6}"/>
    <cellStyle name="Normal 12 12" xfId="8878" xr:uid="{D80D733F-E48D-4EE6-B174-AD5B627C3E4D}"/>
    <cellStyle name="Normal 12 2" xfId="260" xr:uid="{00000000-0005-0000-0000-0000CD0D0000}"/>
    <cellStyle name="Normal 12 2 10" xfId="8879" xr:uid="{4F39ECD5-0E10-4659-BA26-FDEDE93C7641}"/>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2 2" xfId="15658" xr:uid="{B24D35DC-CD34-4D27-BE62-FFB1ED822141}"/>
    <cellStyle name="Normal 12 2 2 2 2 2 3" xfId="11440" xr:uid="{3085B0C0-DA59-4020-BB0C-34215F1D422D}"/>
    <cellStyle name="Normal 12 2 2 2 2 3" xfId="5084" xr:uid="{00000000-0005-0000-0000-0000D30D0000}"/>
    <cellStyle name="Normal 12 2 2 2 2 3 2" xfId="13513" xr:uid="{F7A34888-B30D-4738-A926-2BA73C54FDB4}"/>
    <cellStyle name="Normal 12 2 2 2 2 4" xfId="9295" xr:uid="{87C38175-BE8D-4783-B387-043C043BD3AC}"/>
    <cellStyle name="Normal 12 2 2 2 3" xfId="1187" xr:uid="{00000000-0005-0000-0000-0000D40D0000}"/>
    <cellStyle name="Normal 12 2 2 2 3 2" xfId="3418" xr:uid="{00000000-0005-0000-0000-0000D50D0000}"/>
    <cellStyle name="Normal 12 2 2 2 3 2 2" xfId="7642" xr:uid="{00000000-0005-0000-0000-0000D60D0000}"/>
    <cellStyle name="Normal 12 2 2 2 3 2 2 2" xfId="16071" xr:uid="{7BBF8186-30FD-4657-BF9E-0265EF9376D8}"/>
    <cellStyle name="Normal 12 2 2 2 3 2 3" xfId="11853" xr:uid="{21FEC55E-73C7-4A8B-8442-00ECACB6EE2D}"/>
    <cellStyle name="Normal 12 2 2 2 3 3" xfId="5497" xr:uid="{00000000-0005-0000-0000-0000D70D0000}"/>
    <cellStyle name="Normal 12 2 2 2 3 3 2" xfId="13926" xr:uid="{FEB060D2-4C79-4476-9BA7-E8FDD536F008}"/>
    <cellStyle name="Normal 12 2 2 2 3 4" xfId="9708" xr:uid="{9A2DBCF6-4F7B-4E1D-B1F4-3EE71EEA62D1}"/>
    <cellStyle name="Normal 12 2 2 2 4" xfId="1601" xr:uid="{00000000-0005-0000-0000-0000D80D0000}"/>
    <cellStyle name="Normal 12 2 2 2 4 2" xfId="3831" xr:uid="{00000000-0005-0000-0000-0000D90D0000}"/>
    <cellStyle name="Normal 12 2 2 2 4 2 2" xfId="8055" xr:uid="{00000000-0005-0000-0000-0000DA0D0000}"/>
    <cellStyle name="Normal 12 2 2 2 4 2 2 2" xfId="16484" xr:uid="{5EC9D8C2-7619-468D-838F-DE8494DDC3A1}"/>
    <cellStyle name="Normal 12 2 2 2 4 2 3" xfId="12266" xr:uid="{E92DDAD1-B81C-4ECB-B957-FAF6679A7162}"/>
    <cellStyle name="Normal 12 2 2 2 4 3" xfId="5910" xr:uid="{00000000-0005-0000-0000-0000DB0D0000}"/>
    <cellStyle name="Normal 12 2 2 2 4 3 2" xfId="14339" xr:uid="{2E1046BB-5F8A-4054-B713-E08532BB1CB6}"/>
    <cellStyle name="Normal 12 2 2 2 4 4" xfId="10121" xr:uid="{08214113-084C-43D5-A7DA-287A632BCEE9}"/>
    <cellStyle name="Normal 12 2 2 2 5" xfId="2015" xr:uid="{00000000-0005-0000-0000-0000DC0D0000}"/>
    <cellStyle name="Normal 12 2 2 2 5 2" xfId="4244" xr:uid="{00000000-0005-0000-0000-0000DD0D0000}"/>
    <cellStyle name="Normal 12 2 2 2 5 2 2" xfId="8468" xr:uid="{00000000-0005-0000-0000-0000DE0D0000}"/>
    <cellStyle name="Normal 12 2 2 2 5 2 2 2" xfId="16897" xr:uid="{50FABB45-97D0-49B4-9470-2A57F4441E47}"/>
    <cellStyle name="Normal 12 2 2 2 5 2 3" xfId="12679" xr:uid="{0FA3B01C-24BB-4A45-81C4-7EBCFEE4C0CA}"/>
    <cellStyle name="Normal 12 2 2 2 5 3" xfId="6323" xr:uid="{00000000-0005-0000-0000-0000DF0D0000}"/>
    <cellStyle name="Normal 12 2 2 2 5 3 2" xfId="14752" xr:uid="{D31919F9-2E6F-430C-AF29-BEA819A63B22}"/>
    <cellStyle name="Normal 12 2 2 2 5 4" xfId="10534" xr:uid="{AA4C2FF0-AAE3-43F2-B974-FA0CD783D85E}"/>
    <cellStyle name="Normal 12 2 2 2 6" xfId="2451" xr:uid="{00000000-0005-0000-0000-0000E00D0000}"/>
    <cellStyle name="Normal 12 2 2 2 6 2" xfId="6736" xr:uid="{00000000-0005-0000-0000-0000E10D0000}"/>
    <cellStyle name="Normal 12 2 2 2 6 2 2" xfId="15165" xr:uid="{425BA499-D9E0-43DC-9885-EE089B7BD060}"/>
    <cellStyle name="Normal 12 2 2 2 6 3" xfId="10947" xr:uid="{495E4957-B848-4F93-BEE9-3FA5F82F0527}"/>
    <cellStyle name="Normal 12 2 2 2 7" xfId="4670" xr:uid="{00000000-0005-0000-0000-0000E20D0000}"/>
    <cellStyle name="Normal 12 2 2 2 7 2" xfId="13099" xr:uid="{CA26F49C-EBC4-418B-8839-46CADBA2D8EE}"/>
    <cellStyle name="Normal 12 2 2 2 8" xfId="8881" xr:uid="{48B50F39-274C-4139-BAFA-0EF6E4A1F168}"/>
    <cellStyle name="Normal 12 2 2 3" xfId="763" xr:uid="{00000000-0005-0000-0000-0000E30D0000}"/>
    <cellStyle name="Normal 12 2 2 3 2" xfId="3004" xr:uid="{00000000-0005-0000-0000-0000E40D0000}"/>
    <cellStyle name="Normal 12 2 2 3 2 2" xfId="7228" xr:uid="{00000000-0005-0000-0000-0000E50D0000}"/>
    <cellStyle name="Normal 12 2 2 3 2 2 2" xfId="15657" xr:uid="{4899CDFF-8216-42EC-A6A7-9567A88FBE37}"/>
    <cellStyle name="Normal 12 2 2 3 2 3" xfId="11439" xr:uid="{DA6C5BB7-6BD2-403F-B5AD-3CC7F2EB3BE0}"/>
    <cellStyle name="Normal 12 2 2 3 3" xfId="5083" xr:uid="{00000000-0005-0000-0000-0000E60D0000}"/>
    <cellStyle name="Normal 12 2 2 3 3 2" xfId="13512" xr:uid="{64167145-594F-43AF-B3F8-AF83B0ECA508}"/>
    <cellStyle name="Normal 12 2 2 3 4" xfId="9294" xr:uid="{DDC6C76D-667D-4E0F-A447-BA7D4E8F1CAF}"/>
    <cellStyle name="Normal 12 2 2 4" xfId="1186" xr:uid="{00000000-0005-0000-0000-0000E70D0000}"/>
    <cellStyle name="Normal 12 2 2 4 2" xfId="3417" xr:uid="{00000000-0005-0000-0000-0000E80D0000}"/>
    <cellStyle name="Normal 12 2 2 4 2 2" xfId="7641" xr:uid="{00000000-0005-0000-0000-0000E90D0000}"/>
    <cellStyle name="Normal 12 2 2 4 2 2 2" xfId="16070" xr:uid="{FA0B3274-FDFD-4D98-8A54-ECE90EAC8752}"/>
    <cellStyle name="Normal 12 2 2 4 2 3" xfId="11852" xr:uid="{A7DB22DB-F23F-4C04-9EBC-D32667EF16AE}"/>
    <cellStyle name="Normal 12 2 2 4 3" xfId="5496" xr:uid="{00000000-0005-0000-0000-0000EA0D0000}"/>
    <cellStyle name="Normal 12 2 2 4 3 2" xfId="13925" xr:uid="{64CB2B78-412F-49C4-930A-3E76D2FD4512}"/>
    <cellStyle name="Normal 12 2 2 4 4" xfId="9707" xr:uid="{275F1738-A0F1-46FF-A47D-6AE82BF2FD0F}"/>
    <cellStyle name="Normal 12 2 2 5" xfId="1600" xr:uid="{00000000-0005-0000-0000-0000EB0D0000}"/>
    <cellStyle name="Normal 12 2 2 5 2" xfId="3830" xr:uid="{00000000-0005-0000-0000-0000EC0D0000}"/>
    <cellStyle name="Normal 12 2 2 5 2 2" xfId="8054" xr:uid="{00000000-0005-0000-0000-0000ED0D0000}"/>
    <cellStyle name="Normal 12 2 2 5 2 2 2" xfId="16483" xr:uid="{4D5C466F-B577-4338-98D3-9232E99688CA}"/>
    <cellStyle name="Normal 12 2 2 5 2 3" xfId="12265" xr:uid="{2DBA99FC-21C6-4021-8C6A-3D6AA704083E}"/>
    <cellStyle name="Normal 12 2 2 5 3" xfId="5909" xr:uid="{00000000-0005-0000-0000-0000EE0D0000}"/>
    <cellStyle name="Normal 12 2 2 5 3 2" xfId="14338" xr:uid="{9D78BFAC-B2BE-402B-B3DC-AA7AF8956AE1}"/>
    <cellStyle name="Normal 12 2 2 5 4" xfId="10120" xr:uid="{2DBD6F84-0885-425D-A255-9A485A9E9322}"/>
    <cellStyle name="Normal 12 2 2 6" xfId="2014" xr:uid="{00000000-0005-0000-0000-0000EF0D0000}"/>
    <cellStyle name="Normal 12 2 2 6 2" xfId="4243" xr:uid="{00000000-0005-0000-0000-0000F00D0000}"/>
    <cellStyle name="Normal 12 2 2 6 2 2" xfId="8467" xr:uid="{00000000-0005-0000-0000-0000F10D0000}"/>
    <cellStyle name="Normal 12 2 2 6 2 2 2" xfId="16896" xr:uid="{02E18A38-3BBA-453C-ABA0-003FACF98473}"/>
    <cellStyle name="Normal 12 2 2 6 2 3" xfId="12678" xr:uid="{C844D8D2-591B-4450-BD83-C7D482A13A24}"/>
    <cellStyle name="Normal 12 2 2 6 3" xfId="6322" xr:uid="{00000000-0005-0000-0000-0000F20D0000}"/>
    <cellStyle name="Normal 12 2 2 6 3 2" xfId="14751" xr:uid="{AF395064-CBB0-4BB0-8C9B-9379D5E132A8}"/>
    <cellStyle name="Normal 12 2 2 6 4" xfId="10533" xr:uid="{A22C304A-E997-4995-B662-3774B5631E81}"/>
    <cellStyle name="Normal 12 2 2 7" xfId="2450" xr:uid="{00000000-0005-0000-0000-0000F30D0000}"/>
    <cellStyle name="Normal 12 2 2 7 2" xfId="6735" xr:uid="{00000000-0005-0000-0000-0000F40D0000}"/>
    <cellStyle name="Normal 12 2 2 7 2 2" xfId="15164" xr:uid="{42AF1957-F513-4ACA-BF0B-4034BE0EE04C}"/>
    <cellStyle name="Normal 12 2 2 7 3" xfId="10946" xr:uid="{A339604C-83F7-4B70-B2CF-F465C96C0342}"/>
    <cellStyle name="Normal 12 2 2 8" xfId="4669" xr:uid="{00000000-0005-0000-0000-0000F50D0000}"/>
    <cellStyle name="Normal 12 2 2 8 2" xfId="13098" xr:uid="{406D2BCD-9BD2-4238-9608-874A509DE63E}"/>
    <cellStyle name="Normal 12 2 2 9" xfId="8880" xr:uid="{61163F36-721D-443A-B9CE-55A78380A81B}"/>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2 2" xfId="15659" xr:uid="{06E93BB9-A67D-4948-95B3-826340A42D1D}"/>
    <cellStyle name="Normal 12 2 3 2 2 3" xfId="11441" xr:uid="{FEBE39DF-1BA5-40EF-8408-EC29FBE4F994}"/>
    <cellStyle name="Normal 12 2 3 2 3" xfId="5085" xr:uid="{00000000-0005-0000-0000-0000FA0D0000}"/>
    <cellStyle name="Normal 12 2 3 2 3 2" xfId="13514" xr:uid="{DA660DEA-BB45-49DC-AFDF-3E2D9A07B179}"/>
    <cellStyle name="Normal 12 2 3 2 4" xfId="9296" xr:uid="{D9550C73-B64A-4904-9595-056B8A66C62E}"/>
    <cellStyle name="Normal 12 2 3 3" xfId="1188" xr:uid="{00000000-0005-0000-0000-0000FB0D0000}"/>
    <cellStyle name="Normal 12 2 3 3 2" xfId="3419" xr:uid="{00000000-0005-0000-0000-0000FC0D0000}"/>
    <cellStyle name="Normal 12 2 3 3 2 2" xfId="7643" xr:uid="{00000000-0005-0000-0000-0000FD0D0000}"/>
    <cellStyle name="Normal 12 2 3 3 2 2 2" xfId="16072" xr:uid="{8193FF9F-12C6-4E06-A000-821EABE1D588}"/>
    <cellStyle name="Normal 12 2 3 3 2 3" xfId="11854" xr:uid="{6C3B9FC1-7A93-49BC-8D13-D12A3CF68255}"/>
    <cellStyle name="Normal 12 2 3 3 3" xfId="5498" xr:uid="{00000000-0005-0000-0000-0000FE0D0000}"/>
    <cellStyle name="Normal 12 2 3 3 3 2" xfId="13927" xr:uid="{E040A399-45E3-44F5-AE73-3721B3C7913F}"/>
    <cellStyle name="Normal 12 2 3 3 4" xfId="9709" xr:uid="{57D18779-2AAB-4419-8AC0-BB535507B539}"/>
    <cellStyle name="Normal 12 2 3 4" xfId="1602" xr:uid="{00000000-0005-0000-0000-0000FF0D0000}"/>
    <cellStyle name="Normal 12 2 3 4 2" xfId="3832" xr:uid="{00000000-0005-0000-0000-0000000E0000}"/>
    <cellStyle name="Normal 12 2 3 4 2 2" xfId="8056" xr:uid="{00000000-0005-0000-0000-0000010E0000}"/>
    <cellStyle name="Normal 12 2 3 4 2 2 2" xfId="16485" xr:uid="{3E0504FD-8CC9-4311-AA14-D07C7C983AE3}"/>
    <cellStyle name="Normal 12 2 3 4 2 3" xfId="12267" xr:uid="{31452BBD-FD5E-40A5-BA27-3A28F31DB3C6}"/>
    <cellStyle name="Normal 12 2 3 4 3" xfId="5911" xr:uid="{00000000-0005-0000-0000-0000020E0000}"/>
    <cellStyle name="Normal 12 2 3 4 3 2" xfId="14340" xr:uid="{00ABE979-A5C1-4F4F-9CF4-11E1516C6FF9}"/>
    <cellStyle name="Normal 12 2 3 4 4" xfId="10122" xr:uid="{83D5A745-DFE4-445C-99DE-9DD0FC6A9118}"/>
    <cellStyle name="Normal 12 2 3 5" xfId="2016" xr:uid="{00000000-0005-0000-0000-0000030E0000}"/>
    <cellStyle name="Normal 12 2 3 5 2" xfId="4245" xr:uid="{00000000-0005-0000-0000-0000040E0000}"/>
    <cellStyle name="Normal 12 2 3 5 2 2" xfId="8469" xr:uid="{00000000-0005-0000-0000-0000050E0000}"/>
    <cellStyle name="Normal 12 2 3 5 2 2 2" xfId="16898" xr:uid="{096FC311-13FE-4B60-BD4A-1DBC4DB64FC8}"/>
    <cellStyle name="Normal 12 2 3 5 2 3" xfId="12680" xr:uid="{026ECB4D-0159-4C6B-BEB5-58A337834CB5}"/>
    <cellStyle name="Normal 12 2 3 5 3" xfId="6324" xr:uid="{00000000-0005-0000-0000-0000060E0000}"/>
    <cellStyle name="Normal 12 2 3 5 3 2" xfId="14753" xr:uid="{C36260E0-9895-4299-BB70-13945822535A}"/>
    <cellStyle name="Normal 12 2 3 5 4" xfId="10535" xr:uid="{227ADB6F-7840-477B-82F9-E9AB349121D4}"/>
    <cellStyle name="Normal 12 2 3 6" xfId="2452" xr:uid="{00000000-0005-0000-0000-0000070E0000}"/>
    <cellStyle name="Normal 12 2 3 6 2" xfId="6737" xr:uid="{00000000-0005-0000-0000-0000080E0000}"/>
    <cellStyle name="Normal 12 2 3 6 2 2" xfId="15166" xr:uid="{D33D3AE4-776B-44BB-906F-A2D42D7CE220}"/>
    <cellStyle name="Normal 12 2 3 6 3" xfId="10948" xr:uid="{8EDF5803-AD3A-42F0-B34D-290899C86B9E}"/>
    <cellStyle name="Normal 12 2 3 7" xfId="4671" xr:uid="{00000000-0005-0000-0000-0000090E0000}"/>
    <cellStyle name="Normal 12 2 3 7 2" xfId="13100" xr:uid="{28957BF9-B8C0-44C0-92BB-0D662E0C29B5}"/>
    <cellStyle name="Normal 12 2 3 8" xfId="8882" xr:uid="{66EF02A7-A313-4D0C-AA9B-78361F3EEE05}"/>
    <cellStyle name="Normal 12 2 4" xfId="762" xr:uid="{00000000-0005-0000-0000-00000A0E0000}"/>
    <cellStyle name="Normal 12 2 4 2" xfId="3003" xr:uid="{00000000-0005-0000-0000-00000B0E0000}"/>
    <cellStyle name="Normal 12 2 4 2 2" xfId="7227" xr:uid="{00000000-0005-0000-0000-00000C0E0000}"/>
    <cellStyle name="Normal 12 2 4 2 2 2" xfId="15656" xr:uid="{B97B8825-3641-446F-AF47-B4CEF42AECD7}"/>
    <cellStyle name="Normal 12 2 4 2 3" xfId="11438" xr:uid="{71D70387-C72D-4066-82AD-1CC87E05F24B}"/>
    <cellStyle name="Normal 12 2 4 3" xfId="5082" xr:uid="{00000000-0005-0000-0000-00000D0E0000}"/>
    <cellStyle name="Normal 12 2 4 3 2" xfId="13511" xr:uid="{DBFE85CE-8225-49E6-9C61-589AB67408E1}"/>
    <cellStyle name="Normal 12 2 4 4" xfId="9293" xr:uid="{75EA88F9-1716-442D-93D3-3C75E847FE27}"/>
    <cellStyle name="Normal 12 2 5" xfId="1185" xr:uid="{00000000-0005-0000-0000-00000E0E0000}"/>
    <cellStyle name="Normal 12 2 5 2" xfId="3416" xr:uid="{00000000-0005-0000-0000-00000F0E0000}"/>
    <cellStyle name="Normal 12 2 5 2 2" xfId="7640" xr:uid="{00000000-0005-0000-0000-0000100E0000}"/>
    <cellStyle name="Normal 12 2 5 2 2 2" xfId="16069" xr:uid="{BAE6A69B-F674-4B79-9517-B4B7EB126894}"/>
    <cellStyle name="Normal 12 2 5 2 3" xfId="11851" xr:uid="{8AF3BFD2-BE97-4CF3-94A6-DAEEF1AAB923}"/>
    <cellStyle name="Normal 12 2 5 3" xfId="5495" xr:uid="{00000000-0005-0000-0000-0000110E0000}"/>
    <cellStyle name="Normal 12 2 5 3 2" xfId="13924" xr:uid="{8E9E7A98-F8D2-43B2-8879-EF2CCAFA24E4}"/>
    <cellStyle name="Normal 12 2 5 4" xfId="9706" xr:uid="{E557630A-D483-468E-987D-7254A18E4B9B}"/>
    <cellStyle name="Normal 12 2 6" xfId="1599" xr:uid="{00000000-0005-0000-0000-0000120E0000}"/>
    <cellStyle name="Normal 12 2 6 2" xfId="3829" xr:uid="{00000000-0005-0000-0000-0000130E0000}"/>
    <cellStyle name="Normal 12 2 6 2 2" xfId="8053" xr:uid="{00000000-0005-0000-0000-0000140E0000}"/>
    <cellStyle name="Normal 12 2 6 2 2 2" xfId="16482" xr:uid="{7022F2B8-1094-4A29-BD8C-1346F9B21452}"/>
    <cellStyle name="Normal 12 2 6 2 3" xfId="12264" xr:uid="{9AC5CBDE-89FD-4EA7-A236-9AE51DF3C7FA}"/>
    <cellStyle name="Normal 12 2 6 3" xfId="5908" xr:uid="{00000000-0005-0000-0000-0000150E0000}"/>
    <cellStyle name="Normal 12 2 6 3 2" xfId="14337" xr:uid="{25404888-AE91-4423-BCB4-445968B2EF80}"/>
    <cellStyle name="Normal 12 2 6 4" xfId="10119" xr:uid="{16E852DB-D60C-45D2-86A3-082106384DE9}"/>
    <cellStyle name="Normal 12 2 7" xfId="2013" xr:uid="{00000000-0005-0000-0000-0000160E0000}"/>
    <cellStyle name="Normal 12 2 7 2" xfId="4242" xr:uid="{00000000-0005-0000-0000-0000170E0000}"/>
    <cellStyle name="Normal 12 2 7 2 2" xfId="8466" xr:uid="{00000000-0005-0000-0000-0000180E0000}"/>
    <cellStyle name="Normal 12 2 7 2 2 2" xfId="16895" xr:uid="{7B6CEDE9-E4DC-488A-B2F3-A60082A158BB}"/>
    <cellStyle name="Normal 12 2 7 2 3" xfId="12677" xr:uid="{38771659-7038-4EB2-A4A1-3CABB911150F}"/>
    <cellStyle name="Normal 12 2 7 3" xfId="6321" xr:uid="{00000000-0005-0000-0000-0000190E0000}"/>
    <cellStyle name="Normal 12 2 7 3 2" xfId="14750" xr:uid="{7A06A8EB-BBC9-44B3-BAAD-6E936E8CD02E}"/>
    <cellStyle name="Normal 12 2 7 4" xfId="10532" xr:uid="{33D18916-2236-4E8A-A478-748BB7EEF966}"/>
    <cellStyle name="Normal 12 2 8" xfId="2449" xr:uid="{00000000-0005-0000-0000-00001A0E0000}"/>
    <cellStyle name="Normal 12 2 8 2" xfId="6734" xr:uid="{00000000-0005-0000-0000-00001B0E0000}"/>
    <cellStyle name="Normal 12 2 8 2 2" xfId="15163" xr:uid="{E15A3959-B900-4556-B1AD-7C69695F00CA}"/>
    <cellStyle name="Normal 12 2 8 3" xfId="10945" xr:uid="{87162010-8639-49E6-943B-D5D866B9D2E4}"/>
    <cellStyle name="Normal 12 2 9" xfId="4668" xr:uid="{00000000-0005-0000-0000-00001C0E0000}"/>
    <cellStyle name="Normal 12 2 9 2" xfId="13097" xr:uid="{1E1F5778-9E02-4494-8EF4-423F917739DB}"/>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2 2" xfId="15661" xr:uid="{923A8FE4-E2A5-4953-A230-D2F73C799840}"/>
    <cellStyle name="Normal 12 3 2 2 2 3" xfId="11443" xr:uid="{81FA1EF7-DE73-4DB2-B5F1-B42C5FCC267A}"/>
    <cellStyle name="Normal 12 3 2 2 3" xfId="5087" xr:uid="{00000000-0005-0000-0000-0000220E0000}"/>
    <cellStyle name="Normal 12 3 2 2 3 2" xfId="13516" xr:uid="{17CAC530-2534-4F50-BAB5-836004FFD94B}"/>
    <cellStyle name="Normal 12 3 2 2 4" xfId="9298" xr:uid="{6A677FE9-6709-4312-AE09-2819F8AC2172}"/>
    <cellStyle name="Normal 12 3 2 3" xfId="1190" xr:uid="{00000000-0005-0000-0000-0000230E0000}"/>
    <cellStyle name="Normal 12 3 2 3 2" xfId="3421" xr:uid="{00000000-0005-0000-0000-0000240E0000}"/>
    <cellStyle name="Normal 12 3 2 3 2 2" xfId="7645" xr:uid="{00000000-0005-0000-0000-0000250E0000}"/>
    <cellStyle name="Normal 12 3 2 3 2 2 2" xfId="16074" xr:uid="{9F8EECCC-1C1B-40C0-948F-AE609CE88133}"/>
    <cellStyle name="Normal 12 3 2 3 2 3" xfId="11856" xr:uid="{930D228A-DE87-4477-B177-E1CA40A42A72}"/>
    <cellStyle name="Normal 12 3 2 3 3" xfId="5500" xr:uid="{00000000-0005-0000-0000-0000260E0000}"/>
    <cellStyle name="Normal 12 3 2 3 3 2" xfId="13929" xr:uid="{68A73F0F-445E-4D58-B507-9BF2317A0073}"/>
    <cellStyle name="Normal 12 3 2 3 4" xfId="9711" xr:uid="{C5D284D2-4D74-4AB5-B30A-938EFAEA2B5E}"/>
    <cellStyle name="Normal 12 3 2 4" xfId="1604" xr:uid="{00000000-0005-0000-0000-0000270E0000}"/>
    <cellStyle name="Normal 12 3 2 4 2" xfId="3834" xr:uid="{00000000-0005-0000-0000-0000280E0000}"/>
    <cellStyle name="Normal 12 3 2 4 2 2" xfId="8058" xr:uid="{00000000-0005-0000-0000-0000290E0000}"/>
    <cellStyle name="Normal 12 3 2 4 2 2 2" xfId="16487" xr:uid="{3BC1B789-351D-48CF-A665-F5FB8A7402C7}"/>
    <cellStyle name="Normal 12 3 2 4 2 3" xfId="12269" xr:uid="{A545D42B-AE9A-4A34-A47B-E1A7E2F58EFA}"/>
    <cellStyle name="Normal 12 3 2 4 3" xfId="5913" xr:uid="{00000000-0005-0000-0000-00002A0E0000}"/>
    <cellStyle name="Normal 12 3 2 4 3 2" xfId="14342" xr:uid="{2FA462CB-5EB0-404B-9590-7681BC636AD9}"/>
    <cellStyle name="Normal 12 3 2 4 4" xfId="10124" xr:uid="{12921AE4-9C59-49F0-AD74-67EC51B87E3D}"/>
    <cellStyle name="Normal 12 3 2 5" xfId="2018" xr:uid="{00000000-0005-0000-0000-00002B0E0000}"/>
    <cellStyle name="Normal 12 3 2 5 2" xfId="4247" xr:uid="{00000000-0005-0000-0000-00002C0E0000}"/>
    <cellStyle name="Normal 12 3 2 5 2 2" xfId="8471" xr:uid="{00000000-0005-0000-0000-00002D0E0000}"/>
    <cellStyle name="Normal 12 3 2 5 2 2 2" xfId="16900" xr:uid="{0AB2525A-7BB8-44C0-8488-4C3B6FDB6C52}"/>
    <cellStyle name="Normal 12 3 2 5 2 3" xfId="12682" xr:uid="{018DA68D-B2DE-4F7E-A205-C383351C97A4}"/>
    <cellStyle name="Normal 12 3 2 5 3" xfId="6326" xr:uid="{00000000-0005-0000-0000-00002E0E0000}"/>
    <cellStyle name="Normal 12 3 2 5 3 2" xfId="14755" xr:uid="{69BE64F0-32BA-4BEE-AE78-34BB6AC6BB20}"/>
    <cellStyle name="Normal 12 3 2 5 4" xfId="10537" xr:uid="{5141F562-430E-4FD3-9D7E-4CB93514B5F6}"/>
    <cellStyle name="Normal 12 3 2 6" xfId="2454" xr:uid="{00000000-0005-0000-0000-00002F0E0000}"/>
    <cellStyle name="Normal 12 3 2 6 2" xfId="6739" xr:uid="{00000000-0005-0000-0000-0000300E0000}"/>
    <cellStyle name="Normal 12 3 2 6 2 2" xfId="15168" xr:uid="{AE19557A-4A0B-4106-9A98-190A56C77D22}"/>
    <cellStyle name="Normal 12 3 2 6 3" xfId="10950" xr:uid="{0B96AD72-FCF7-4048-B50B-2AB115D545AF}"/>
    <cellStyle name="Normal 12 3 2 7" xfId="4673" xr:uid="{00000000-0005-0000-0000-0000310E0000}"/>
    <cellStyle name="Normal 12 3 2 7 2" xfId="13102" xr:uid="{5D8AE654-75DB-49E7-A933-AC666C760CE3}"/>
    <cellStyle name="Normal 12 3 2 8" xfId="8884" xr:uid="{C8DB03BA-EC3B-4B6F-81E6-E0DCB18364BF}"/>
    <cellStyle name="Normal 12 3 3" xfId="766" xr:uid="{00000000-0005-0000-0000-0000320E0000}"/>
    <cellStyle name="Normal 12 3 3 2" xfId="3007" xr:uid="{00000000-0005-0000-0000-0000330E0000}"/>
    <cellStyle name="Normal 12 3 3 2 2" xfId="7231" xr:uid="{00000000-0005-0000-0000-0000340E0000}"/>
    <cellStyle name="Normal 12 3 3 2 2 2" xfId="15660" xr:uid="{7CB27114-F110-4D8E-BF8F-5A0C451D8AC2}"/>
    <cellStyle name="Normal 12 3 3 2 3" xfId="11442" xr:uid="{B877B173-8519-4F27-8D21-D07011370471}"/>
    <cellStyle name="Normal 12 3 3 3" xfId="5086" xr:uid="{00000000-0005-0000-0000-0000350E0000}"/>
    <cellStyle name="Normal 12 3 3 3 2" xfId="13515" xr:uid="{3A59DEFF-106A-4118-8777-BBB2520CD409}"/>
    <cellStyle name="Normal 12 3 3 4" xfId="9297" xr:uid="{EB512410-0B3A-4C4B-A70E-E6808D412284}"/>
    <cellStyle name="Normal 12 3 4" xfId="1189" xr:uid="{00000000-0005-0000-0000-0000360E0000}"/>
    <cellStyle name="Normal 12 3 4 2" xfId="3420" xr:uid="{00000000-0005-0000-0000-0000370E0000}"/>
    <cellStyle name="Normal 12 3 4 2 2" xfId="7644" xr:uid="{00000000-0005-0000-0000-0000380E0000}"/>
    <cellStyle name="Normal 12 3 4 2 2 2" xfId="16073" xr:uid="{BE95EE82-29B1-4E4B-87AC-4A5560D58909}"/>
    <cellStyle name="Normal 12 3 4 2 3" xfId="11855" xr:uid="{05188936-17D3-47AE-B93F-404A64B35D8D}"/>
    <cellStyle name="Normal 12 3 4 3" xfId="5499" xr:uid="{00000000-0005-0000-0000-0000390E0000}"/>
    <cellStyle name="Normal 12 3 4 3 2" xfId="13928" xr:uid="{7E164B43-1A2C-4935-938E-BF9AA20EC6AB}"/>
    <cellStyle name="Normal 12 3 4 4" xfId="9710" xr:uid="{48812A33-6E29-4F65-97B7-65418E72336B}"/>
    <cellStyle name="Normal 12 3 5" xfId="1603" xr:uid="{00000000-0005-0000-0000-00003A0E0000}"/>
    <cellStyle name="Normal 12 3 5 2" xfId="3833" xr:uid="{00000000-0005-0000-0000-00003B0E0000}"/>
    <cellStyle name="Normal 12 3 5 2 2" xfId="8057" xr:uid="{00000000-0005-0000-0000-00003C0E0000}"/>
    <cellStyle name="Normal 12 3 5 2 2 2" xfId="16486" xr:uid="{545A2685-9992-4158-814E-8EFE774C29EC}"/>
    <cellStyle name="Normal 12 3 5 2 3" xfId="12268" xr:uid="{5B927191-10A2-4FCF-A70E-D8691E8794DC}"/>
    <cellStyle name="Normal 12 3 5 3" xfId="5912" xr:uid="{00000000-0005-0000-0000-00003D0E0000}"/>
    <cellStyle name="Normal 12 3 5 3 2" xfId="14341" xr:uid="{AE80F315-5264-4C85-A269-93D711CF1F43}"/>
    <cellStyle name="Normal 12 3 5 4" xfId="10123" xr:uid="{9E0B564F-8676-4BF7-AF2E-4959A86C6880}"/>
    <cellStyle name="Normal 12 3 6" xfId="2017" xr:uid="{00000000-0005-0000-0000-00003E0E0000}"/>
    <cellStyle name="Normal 12 3 6 2" xfId="4246" xr:uid="{00000000-0005-0000-0000-00003F0E0000}"/>
    <cellStyle name="Normal 12 3 6 2 2" xfId="8470" xr:uid="{00000000-0005-0000-0000-0000400E0000}"/>
    <cellStyle name="Normal 12 3 6 2 2 2" xfId="16899" xr:uid="{F3A3AC0A-6645-41A1-9577-B4A10D235BCF}"/>
    <cellStyle name="Normal 12 3 6 2 3" xfId="12681" xr:uid="{6C48197C-6869-4491-8295-046544E86202}"/>
    <cellStyle name="Normal 12 3 6 3" xfId="6325" xr:uid="{00000000-0005-0000-0000-0000410E0000}"/>
    <cellStyle name="Normal 12 3 6 3 2" xfId="14754" xr:uid="{111BA9C5-C334-438F-A44C-BF8BF52A4D87}"/>
    <cellStyle name="Normal 12 3 6 4" xfId="10536" xr:uid="{262574EA-1A2F-4959-8CA4-4A12974DF950}"/>
    <cellStyle name="Normal 12 3 7" xfId="2453" xr:uid="{00000000-0005-0000-0000-0000420E0000}"/>
    <cellStyle name="Normal 12 3 7 2" xfId="6738" xr:uid="{00000000-0005-0000-0000-0000430E0000}"/>
    <cellStyle name="Normal 12 3 7 2 2" xfId="15167" xr:uid="{111831F5-1A74-482C-9AD4-BCCCE8EA4AD3}"/>
    <cellStyle name="Normal 12 3 7 3" xfId="10949" xr:uid="{8A56E7C1-0718-4440-BE9E-7360B920D5D9}"/>
    <cellStyle name="Normal 12 3 8" xfId="4672" xr:uid="{00000000-0005-0000-0000-0000440E0000}"/>
    <cellStyle name="Normal 12 3 8 2" xfId="13101" xr:uid="{1C8DACED-A6D6-4B66-BFF0-8120BDA79AF8}"/>
    <cellStyle name="Normal 12 3 9" xfId="8883" xr:uid="{8F70590E-BF5C-41BE-B245-53DA2E6B93C6}"/>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2 2" xfId="15662" xr:uid="{914F49A9-9B43-411B-B95A-DE193892BC3C}"/>
    <cellStyle name="Normal 12 4 2 2 3" xfId="11444" xr:uid="{A47E7FB6-8170-4B9D-B7C2-64FADEB2B962}"/>
    <cellStyle name="Normal 12 4 2 3" xfId="5088" xr:uid="{00000000-0005-0000-0000-0000490E0000}"/>
    <cellStyle name="Normal 12 4 2 3 2" xfId="13517" xr:uid="{9F828670-9C2A-4D36-AA7C-26A1025E4471}"/>
    <cellStyle name="Normal 12 4 2 4" xfId="9299" xr:uid="{A21F216F-3AC8-4187-B4CD-1DFC89298B17}"/>
    <cellStyle name="Normal 12 4 3" xfId="1191" xr:uid="{00000000-0005-0000-0000-00004A0E0000}"/>
    <cellStyle name="Normal 12 4 3 2" xfId="3422" xr:uid="{00000000-0005-0000-0000-00004B0E0000}"/>
    <cellStyle name="Normal 12 4 3 2 2" xfId="7646" xr:uid="{00000000-0005-0000-0000-00004C0E0000}"/>
    <cellStyle name="Normal 12 4 3 2 2 2" xfId="16075" xr:uid="{783858C1-49E5-4251-99A2-9FA39D238D30}"/>
    <cellStyle name="Normal 12 4 3 2 3" xfId="11857" xr:uid="{3EC49AF5-E303-43A8-BAF8-3A4A1C48C4B8}"/>
    <cellStyle name="Normal 12 4 3 3" xfId="5501" xr:uid="{00000000-0005-0000-0000-00004D0E0000}"/>
    <cellStyle name="Normal 12 4 3 3 2" xfId="13930" xr:uid="{964F9BD3-3DBD-467C-B362-9F330BF1BA82}"/>
    <cellStyle name="Normal 12 4 3 4" xfId="9712" xr:uid="{1A21C1F6-BD4B-4544-B393-9F986F871940}"/>
    <cellStyle name="Normal 12 4 4" xfId="1605" xr:uid="{00000000-0005-0000-0000-00004E0E0000}"/>
    <cellStyle name="Normal 12 4 4 2" xfId="3835" xr:uid="{00000000-0005-0000-0000-00004F0E0000}"/>
    <cellStyle name="Normal 12 4 4 2 2" xfId="8059" xr:uid="{00000000-0005-0000-0000-0000500E0000}"/>
    <cellStyle name="Normal 12 4 4 2 2 2" xfId="16488" xr:uid="{B8D8F31E-42C5-429F-BDB4-FDC9FE9307EB}"/>
    <cellStyle name="Normal 12 4 4 2 3" xfId="12270" xr:uid="{C50A2CDB-B566-4EDB-9555-7B2D152D40D0}"/>
    <cellStyle name="Normal 12 4 4 3" xfId="5914" xr:uid="{00000000-0005-0000-0000-0000510E0000}"/>
    <cellStyle name="Normal 12 4 4 3 2" xfId="14343" xr:uid="{8371093C-5B36-40BC-A631-CAB6F37D825C}"/>
    <cellStyle name="Normal 12 4 4 4" xfId="10125" xr:uid="{797ABF17-4851-47D9-97AE-10B8AE61CAFE}"/>
    <cellStyle name="Normal 12 4 5" xfId="2019" xr:uid="{00000000-0005-0000-0000-0000520E0000}"/>
    <cellStyle name="Normal 12 4 5 2" xfId="4248" xr:uid="{00000000-0005-0000-0000-0000530E0000}"/>
    <cellStyle name="Normal 12 4 5 2 2" xfId="8472" xr:uid="{00000000-0005-0000-0000-0000540E0000}"/>
    <cellStyle name="Normal 12 4 5 2 2 2" xfId="16901" xr:uid="{6C31B3C6-3A90-4939-B42D-A8CEF0DFD9DF}"/>
    <cellStyle name="Normal 12 4 5 2 3" xfId="12683" xr:uid="{A842C1CA-C0B3-4C03-B8A7-FA066553D3A7}"/>
    <cellStyle name="Normal 12 4 5 3" xfId="6327" xr:uid="{00000000-0005-0000-0000-0000550E0000}"/>
    <cellStyle name="Normal 12 4 5 3 2" xfId="14756" xr:uid="{3CA80C5A-207C-4006-9A8C-D9AE5A77E165}"/>
    <cellStyle name="Normal 12 4 5 4" xfId="10538" xr:uid="{A2AE1B94-3000-44AA-A0E3-F0B994821EF4}"/>
    <cellStyle name="Normal 12 4 6" xfId="2455" xr:uid="{00000000-0005-0000-0000-0000560E0000}"/>
    <cellStyle name="Normal 12 4 6 2" xfId="6740" xr:uid="{00000000-0005-0000-0000-0000570E0000}"/>
    <cellStyle name="Normal 12 4 6 2 2" xfId="15169" xr:uid="{8BFD2247-DDFF-4D8E-AA4D-F348CCC2D990}"/>
    <cellStyle name="Normal 12 4 6 3" xfId="10951" xr:uid="{F040B69A-854F-4EE3-B14C-5F93B0D55994}"/>
    <cellStyle name="Normal 12 4 7" xfId="4674" xr:uid="{00000000-0005-0000-0000-0000580E0000}"/>
    <cellStyle name="Normal 12 4 7 2" xfId="13103" xr:uid="{589CD1CE-D1F7-4231-82A5-D864239DA870}"/>
    <cellStyle name="Normal 12 4 8" xfId="8885" xr:uid="{52CC0BE9-D2C2-41C2-9D13-79A1BC6334B3}"/>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2 2" xfId="15655" xr:uid="{EBBB70BC-A6A2-4605-8CEE-DFA0192C6632}"/>
    <cellStyle name="Normal 12 6 2 3" xfId="11437" xr:uid="{15461648-EAE8-441B-B6E7-3FD425641E36}"/>
    <cellStyle name="Normal 12 6 3" xfId="5081" xr:uid="{00000000-0005-0000-0000-00005D0E0000}"/>
    <cellStyle name="Normal 12 6 3 2" xfId="13510" xr:uid="{EC1F9F16-A61F-46DD-9695-A3CA8D83EC48}"/>
    <cellStyle name="Normal 12 6 4" xfId="9292" xr:uid="{6FBCBAB7-8A30-4E63-952B-17185D70A68A}"/>
    <cellStyle name="Normal 12 7" xfId="1184" xr:uid="{00000000-0005-0000-0000-00005E0E0000}"/>
    <cellStyle name="Normal 12 7 2" xfId="3415" xr:uid="{00000000-0005-0000-0000-00005F0E0000}"/>
    <cellStyle name="Normal 12 7 2 2" xfId="7639" xr:uid="{00000000-0005-0000-0000-0000600E0000}"/>
    <cellStyle name="Normal 12 7 2 2 2" xfId="16068" xr:uid="{F3E96B29-D08B-4C20-8012-4A0E5CCD1C3C}"/>
    <cellStyle name="Normal 12 7 2 3" xfId="11850" xr:uid="{4CC9543D-5784-4C31-825E-BE87317A3962}"/>
    <cellStyle name="Normal 12 7 3" xfId="5494" xr:uid="{00000000-0005-0000-0000-0000610E0000}"/>
    <cellStyle name="Normal 12 7 3 2" xfId="13923" xr:uid="{6672B45B-F73B-4C18-B1CD-044E4F3A33F6}"/>
    <cellStyle name="Normal 12 7 4" xfId="9705" xr:uid="{2A424636-D386-4783-9B71-0996A39E40BB}"/>
    <cellStyle name="Normal 12 8" xfId="1598" xr:uid="{00000000-0005-0000-0000-0000620E0000}"/>
    <cellStyle name="Normal 12 8 2" xfId="3828" xr:uid="{00000000-0005-0000-0000-0000630E0000}"/>
    <cellStyle name="Normal 12 8 2 2" xfId="8052" xr:uid="{00000000-0005-0000-0000-0000640E0000}"/>
    <cellStyle name="Normal 12 8 2 2 2" xfId="16481" xr:uid="{525ECF57-B9AD-4745-B923-BF7ACE69B200}"/>
    <cellStyle name="Normal 12 8 2 3" xfId="12263" xr:uid="{D48D7688-3CCE-4592-88B1-56A1738574CE}"/>
    <cellStyle name="Normal 12 8 3" xfId="5907" xr:uid="{00000000-0005-0000-0000-0000650E0000}"/>
    <cellStyle name="Normal 12 8 3 2" xfId="14336" xr:uid="{262AB5CE-E427-4A35-9A9C-626079BDB609}"/>
    <cellStyle name="Normal 12 8 4" xfId="10118" xr:uid="{284EC214-D9D1-4A34-B5A8-1B3814DD0BBA}"/>
    <cellStyle name="Normal 12 9" xfId="2012" xr:uid="{00000000-0005-0000-0000-0000660E0000}"/>
    <cellStyle name="Normal 12 9 2" xfId="4241" xr:uid="{00000000-0005-0000-0000-0000670E0000}"/>
    <cellStyle name="Normal 12 9 2 2" xfId="8465" xr:uid="{00000000-0005-0000-0000-0000680E0000}"/>
    <cellStyle name="Normal 12 9 2 2 2" xfId="16894" xr:uid="{D7065C3F-7ACC-43E0-BCB4-AD76B92CDA4B}"/>
    <cellStyle name="Normal 12 9 2 3" xfId="12676" xr:uid="{C84CCE92-77FD-4D67-B764-4483B9256955}"/>
    <cellStyle name="Normal 12 9 3" xfId="6320" xr:uid="{00000000-0005-0000-0000-0000690E0000}"/>
    <cellStyle name="Normal 12 9 3 2" xfId="14749" xr:uid="{1E47BF0F-F761-4513-9B4D-2D7A5A5D2AF0}"/>
    <cellStyle name="Normal 12 9 4" xfId="10531" xr:uid="{5DA8489D-F731-43F0-9362-D1B948FBC15C}"/>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2 2" xfId="15663" xr:uid="{0E00C935-2D06-445B-9D1C-922C48BD21AD}"/>
    <cellStyle name="Normal 14 2 2 3" xfId="11445" xr:uid="{9ADCC160-C92B-4727-A483-8FD9771E3C80}"/>
    <cellStyle name="Normal 14 2 3" xfId="5089" xr:uid="{00000000-0005-0000-0000-0000700E0000}"/>
    <cellStyle name="Normal 14 2 3 2" xfId="13518" xr:uid="{A6D90C42-C655-46EB-B5AB-26D44B0BA622}"/>
    <cellStyle name="Normal 14 2 4" xfId="9300" xr:uid="{53F48ED6-2F2A-4E8C-8BC5-7C61DAE896C1}"/>
    <cellStyle name="Normal 14 3" xfId="1192" xr:uid="{00000000-0005-0000-0000-0000710E0000}"/>
    <cellStyle name="Normal 14 3 2" xfId="3423" xr:uid="{00000000-0005-0000-0000-0000720E0000}"/>
    <cellStyle name="Normal 14 3 2 2" xfId="7647" xr:uid="{00000000-0005-0000-0000-0000730E0000}"/>
    <cellStyle name="Normal 14 3 2 2 2" xfId="16076" xr:uid="{9982A97E-F3C4-46F2-8A5B-DF49B929C5B5}"/>
    <cellStyle name="Normal 14 3 2 3" xfId="11858" xr:uid="{269C6E20-3E41-49E8-B232-6D48294FFE81}"/>
    <cellStyle name="Normal 14 3 3" xfId="5502" xr:uid="{00000000-0005-0000-0000-0000740E0000}"/>
    <cellStyle name="Normal 14 3 3 2" xfId="13931" xr:uid="{3434939A-674D-4CA1-9E08-F3465A8EE619}"/>
    <cellStyle name="Normal 14 3 4" xfId="9713" xr:uid="{9194F907-CA97-4844-9A58-44A3D5479464}"/>
    <cellStyle name="Normal 14 4" xfId="1606" xr:uid="{00000000-0005-0000-0000-0000750E0000}"/>
    <cellStyle name="Normal 14 4 2" xfId="3836" xr:uid="{00000000-0005-0000-0000-0000760E0000}"/>
    <cellStyle name="Normal 14 4 2 2" xfId="8060" xr:uid="{00000000-0005-0000-0000-0000770E0000}"/>
    <cellStyle name="Normal 14 4 2 2 2" xfId="16489" xr:uid="{A7B6A455-670A-40DD-BF3F-644E89180922}"/>
    <cellStyle name="Normal 14 4 2 3" xfId="12271" xr:uid="{080E37BB-61F7-4375-B027-F410142EDD9C}"/>
    <cellStyle name="Normal 14 4 3" xfId="5915" xr:uid="{00000000-0005-0000-0000-0000780E0000}"/>
    <cellStyle name="Normal 14 4 3 2" xfId="14344" xr:uid="{C6D34338-AD34-4437-B94A-A1E8BE3EC1F0}"/>
    <cellStyle name="Normal 14 4 4" xfId="10126" xr:uid="{E221A8D1-57E7-47D7-8625-7AF7C44D26DE}"/>
    <cellStyle name="Normal 14 5" xfId="2020" xr:uid="{00000000-0005-0000-0000-0000790E0000}"/>
    <cellStyle name="Normal 14 5 2" xfId="4249" xr:uid="{00000000-0005-0000-0000-00007A0E0000}"/>
    <cellStyle name="Normal 14 5 2 2" xfId="8473" xr:uid="{00000000-0005-0000-0000-00007B0E0000}"/>
    <cellStyle name="Normal 14 5 2 2 2" xfId="16902" xr:uid="{E81802C4-D9EF-497B-8CD9-B90042B6F286}"/>
    <cellStyle name="Normal 14 5 2 3" xfId="12684" xr:uid="{E3B67029-0E49-4E94-B11B-77001CE383F3}"/>
    <cellStyle name="Normal 14 5 3" xfId="6328" xr:uid="{00000000-0005-0000-0000-00007C0E0000}"/>
    <cellStyle name="Normal 14 5 3 2" xfId="14757" xr:uid="{7B93B94B-7634-44A7-B951-254BD7E4CF9E}"/>
    <cellStyle name="Normal 14 5 4" xfId="10539" xr:uid="{EAA62947-D00D-40C8-8B6D-0527C43E4898}"/>
    <cellStyle name="Normal 14 6" xfId="2456" xr:uid="{00000000-0005-0000-0000-00007D0E0000}"/>
    <cellStyle name="Normal 14 6 2" xfId="6741" xr:uid="{00000000-0005-0000-0000-00007E0E0000}"/>
    <cellStyle name="Normal 14 6 2 2" xfId="15170" xr:uid="{7732236B-BF04-4F67-BA2F-B3703A7C9596}"/>
    <cellStyle name="Normal 14 6 3" xfId="10952" xr:uid="{CCF8EDF7-E74C-4989-8DA1-4A97955BEF6D}"/>
    <cellStyle name="Normal 14 7" xfId="4675" xr:uid="{00000000-0005-0000-0000-00007F0E0000}"/>
    <cellStyle name="Normal 14 7 2" xfId="13104" xr:uid="{9CD650F2-51FE-4A15-859E-A3D0E8FD8294}"/>
    <cellStyle name="Normal 14 8" xfId="8886" xr:uid="{A9CC3C79-E7F8-4F07-9266-9F5F95AD6B1F}"/>
    <cellStyle name="Normal 15" xfId="4497" xr:uid="{00000000-0005-0000-0000-0000800E0000}"/>
    <cellStyle name="Normal 15 2" xfId="12930" xr:uid="{5CC0C107-D810-4788-AB0F-4340937B91AC}"/>
    <cellStyle name="Normal 16" xfId="4501" xr:uid="{00000000-0005-0000-0000-0000810E0000}"/>
    <cellStyle name="Normal 16 2" xfId="12933" xr:uid="{11732490-7352-42DC-AE62-E6D4103089D3}"/>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2 2" xfId="16903" xr:uid="{296F7773-115B-4A70-890A-520C053573FC}"/>
    <cellStyle name="Normal 2 4 2 10 2 3" xfId="12685" xr:uid="{59B28A8B-4E9B-4659-A14C-ACBB41F2070C}"/>
    <cellStyle name="Normal 2 4 2 10 3" xfId="6329" xr:uid="{00000000-0005-0000-0000-0000900E0000}"/>
    <cellStyle name="Normal 2 4 2 10 3 2" xfId="14758" xr:uid="{B7315435-D892-43A7-BC87-260B3006ADCB}"/>
    <cellStyle name="Normal 2 4 2 10 4" xfId="10540" xr:uid="{94A97DDC-DD41-4792-9833-D733D6E1CE62}"/>
    <cellStyle name="Normal 2 4 2 11" xfId="2457" xr:uid="{00000000-0005-0000-0000-0000910E0000}"/>
    <cellStyle name="Normal 2 4 2 11 2" xfId="6742" xr:uid="{00000000-0005-0000-0000-0000920E0000}"/>
    <cellStyle name="Normal 2 4 2 11 2 2" xfId="15171" xr:uid="{42DC3FD9-517A-4061-BB36-625830C63D72}"/>
    <cellStyle name="Normal 2 4 2 11 3" xfId="10953" xr:uid="{156541D0-F8E6-4F83-909C-0FE0617D51A2}"/>
    <cellStyle name="Normal 2 4 2 12" xfId="4676" xr:uid="{00000000-0005-0000-0000-0000930E0000}"/>
    <cellStyle name="Normal 2 4 2 12 2" xfId="13105" xr:uid="{B2C78F25-B02E-470A-B639-C864CEDB0E9A}"/>
    <cellStyle name="Normal 2 4 2 13" xfId="8887" xr:uid="{EB22C570-AA43-42E3-8F32-62B877913293}"/>
    <cellStyle name="Normal 2 4 2 2" xfId="280" xr:uid="{00000000-0005-0000-0000-0000940E0000}"/>
    <cellStyle name="Normal 2 4 2 3" xfId="281" xr:uid="{00000000-0005-0000-0000-0000950E0000}"/>
    <cellStyle name="Normal 2 4 2 3 10" xfId="4677" xr:uid="{00000000-0005-0000-0000-0000960E0000}"/>
    <cellStyle name="Normal 2 4 2 3 10 2" xfId="13106" xr:uid="{534E0173-BB5D-4471-845A-01D38322F64C}"/>
    <cellStyle name="Normal 2 4 2 3 11" xfId="8888" xr:uid="{BC6EB616-AED7-40F9-8D4C-B8D517BD3501}"/>
    <cellStyle name="Normal 2 4 2 3 2" xfId="282" xr:uid="{00000000-0005-0000-0000-0000970E0000}"/>
    <cellStyle name="Normal 2 4 2 3 2 10" xfId="8889" xr:uid="{D38C1D26-60E9-414B-A6BC-13AA6E8A3F05}"/>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2 2" xfId="15668" xr:uid="{6CC430F6-412D-4126-AE83-9416719EE34C}"/>
    <cellStyle name="Normal 2 4 2 3 2 2 2 2 2 3" xfId="11450" xr:uid="{69588C32-9B0C-4E5E-AEE8-7555CCE07B73}"/>
    <cellStyle name="Normal 2 4 2 3 2 2 2 2 3" xfId="5094" xr:uid="{00000000-0005-0000-0000-00009D0E0000}"/>
    <cellStyle name="Normal 2 4 2 3 2 2 2 2 3 2" xfId="13523" xr:uid="{1C3FC35C-92D6-4855-8197-D23E56D8E50F}"/>
    <cellStyle name="Normal 2 4 2 3 2 2 2 2 4" xfId="9305" xr:uid="{0902BCA4-A649-4968-89EC-8A8C1172EF54}"/>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2 2" xfId="16081" xr:uid="{B5EBA7AB-BCCA-40F6-8D88-7B242AE59062}"/>
    <cellStyle name="Normal 2 4 2 3 2 2 2 3 2 3" xfId="11863" xr:uid="{A1DA18B4-15C7-4357-BAF6-E69D005D817E}"/>
    <cellStyle name="Normal 2 4 2 3 2 2 2 3 3" xfId="5507" xr:uid="{00000000-0005-0000-0000-0000A10E0000}"/>
    <cellStyle name="Normal 2 4 2 3 2 2 2 3 3 2" xfId="13936" xr:uid="{1E9A1EC7-880F-48B6-AA3C-72FD25B572BE}"/>
    <cellStyle name="Normal 2 4 2 3 2 2 2 3 4" xfId="9718" xr:uid="{156A4EFA-8F33-434A-A355-121F8BBD98D2}"/>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2 2" xfId="16494" xr:uid="{17F23D28-5CB8-43E0-8DC5-7583362219CC}"/>
    <cellStyle name="Normal 2 4 2 3 2 2 2 4 2 3" xfId="12276" xr:uid="{57B79357-C998-4AC9-BBC1-9673E45B6449}"/>
    <cellStyle name="Normal 2 4 2 3 2 2 2 4 3" xfId="5920" xr:uid="{00000000-0005-0000-0000-0000A50E0000}"/>
    <cellStyle name="Normal 2 4 2 3 2 2 2 4 3 2" xfId="14349" xr:uid="{DA201A0C-20D7-46A0-A291-D8033C9F6FC3}"/>
    <cellStyle name="Normal 2 4 2 3 2 2 2 4 4" xfId="10131" xr:uid="{EDACF92B-4200-4BF7-9B76-0C62703E900E}"/>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2 2" xfId="16907" xr:uid="{F7250C30-3100-47DD-9C9B-B21AD1131E0A}"/>
    <cellStyle name="Normal 2 4 2 3 2 2 2 5 2 3" xfId="12689" xr:uid="{B6A83997-CC79-44F4-A79D-F7BA10034C99}"/>
    <cellStyle name="Normal 2 4 2 3 2 2 2 5 3" xfId="6333" xr:uid="{00000000-0005-0000-0000-0000A90E0000}"/>
    <cellStyle name="Normal 2 4 2 3 2 2 2 5 3 2" xfId="14762" xr:uid="{DBC738A1-95CD-47DF-A459-14A0B5E3382C}"/>
    <cellStyle name="Normal 2 4 2 3 2 2 2 5 4" xfId="10544" xr:uid="{1E1D5088-82A6-45C1-882E-38014CA575E7}"/>
    <cellStyle name="Normal 2 4 2 3 2 2 2 6" xfId="2461" xr:uid="{00000000-0005-0000-0000-0000AA0E0000}"/>
    <cellStyle name="Normal 2 4 2 3 2 2 2 6 2" xfId="6746" xr:uid="{00000000-0005-0000-0000-0000AB0E0000}"/>
    <cellStyle name="Normal 2 4 2 3 2 2 2 6 2 2" xfId="15175" xr:uid="{510EDD0B-245C-4B1E-ACC6-02B2FDBDF0D5}"/>
    <cellStyle name="Normal 2 4 2 3 2 2 2 6 3" xfId="10957" xr:uid="{66FA2BA5-80BE-4674-8346-8C93581EA04D}"/>
    <cellStyle name="Normal 2 4 2 3 2 2 2 7" xfId="4680" xr:uid="{00000000-0005-0000-0000-0000AC0E0000}"/>
    <cellStyle name="Normal 2 4 2 3 2 2 2 7 2" xfId="13109" xr:uid="{ABA49020-44F5-40DD-BF81-08642ABFF204}"/>
    <cellStyle name="Normal 2 4 2 3 2 2 2 8" xfId="8891" xr:uid="{CFC1B2BD-F6B2-4B4C-8B7C-9B3953E627DD}"/>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2 2" xfId="15667" xr:uid="{5639DCB4-98D0-40E8-883F-02361D0EF99E}"/>
    <cellStyle name="Normal 2 4 2 3 2 2 3 2 3" xfId="11449" xr:uid="{59944329-9B52-4264-B785-9A3350BFD343}"/>
    <cellStyle name="Normal 2 4 2 3 2 2 3 3" xfId="5093" xr:uid="{00000000-0005-0000-0000-0000B00E0000}"/>
    <cellStyle name="Normal 2 4 2 3 2 2 3 3 2" xfId="13522" xr:uid="{05F377A3-A6F7-41BB-831A-54584ABBB3B4}"/>
    <cellStyle name="Normal 2 4 2 3 2 2 3 4" xfId="9304" xr:uid="{E2A087FC-78FB-499A-A862-9E68DB00DC88}"/>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2 2" xfId="16080" xr:uid="{9DBA3348-E54C-45AC-B6B3-11FC66C4F148}"/>
    <cellStyle name="Normal 2 4 2 3 2 2 4 2 3" xfId="11862" xr:uid="{B2492F1E-036A-42FA-ADD2-800C3F0B39E4}"/>
    <cellStyle name="Normal 2 4 2 3 2 2 4 3" xfId="5506" xr:uid="{00000000-0005-0000-0000-0000B40E0000}"/>
    <cellStyle name="Normal 2 4 2 3 2 2 4 3 2" xfId="13935" xr:uid="{CF7BFBB5-7031-4A89-9264-A016B315262D}"/>
    <cellStyle name="Normal 2 4 2 3 2 2 4 4" xfId="9717" xr:uid="{BB38DDAC-9F7C-4ECE-AB54-0130A5A28592}"/>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2 2" xfId="16493" xr:uid="{94676838-8E7E-4B88-945D-A00C839114E5}"/>
    <cellStyle name="Normal 2 4 2 3 2 2 5 2 3" xfId="12275" xr:uid="{B606619C-68BD-4A7E-9868-271DCB06F1D9}"/>
    <cellStyle name="Normal 2 4 2 3 2 2 5 3" xfId="5919" xr:uid="{00000000-0005-0000-0000-0000B80E0000}"/>
    <cellStyle name="Normal 2 4 2 3 2 2 5 3 2" xfId="14348" xr:uid="{B16FBF73-966C-4B58-9C69-279D1147D20E}"/>
    <cellStyle name="Normal 2 4 2 3 2 2 5 4" xfId="10130" xr:uid="{C0F6D9A5-E636-4AEF-B632-8B9231001B44}"/>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2 2" xfId="16906" xr:uid="{E2CDFAF6-4CCC-426F-9680-34EF6C658D22}"/>
    <cellStyle name="Normal 2 4 2 3 2 2 6 2 3" xfId="12688" xr:uid="{C719704E-5238-4AB8-9927-B544DAA6700D}"/>
    <cellStyle name="Normal 2 4 2 3 2 2 6 3" xfId="6332" xr:uid="{00000000-0005-0000-0000-0000BC0E0000}"/>
    <cellStyle name="Normal 2 4 2 3 2 2 6 3 2" xfId="14761" xr:uid="{7920B592-7F79-4100-B103-965129DB697B}"/>
    <cellStyle name="Normal 2 4 2 3 2 2 6 4" xfId="10543" xr:uid="{10120BCB-6378-42E6-B290-B69E3D6DC86D}"/>
    <cellStyle name="Normal 2 4 2 3 2 2 7" xfId="2460" xr:uid="{00000000-0005-0000-0000-0000BD0E0000}"/>
    <cellStyle name="Normal 2 4 2 3 2 2 7 2" xfId="6745" xr:uid="{00000000-0005-0000-0000-0000BE0E0000}"/>
    <cellStyle name="Normal 2 4 2 3 2 2 7 2 2" xfId="15174" xr:uid="{207B1258-EC1B-4C0B-9CBA-012FB99899D5}"/>
    <cellStyle name="Normal 2 4 2 3 2 2 7 3" xfId="10956" xr:uid="{2E444719-102B-44DA-A51C-17B51CB7639B}"/>
    <cellStyle name="Normal 2 4 2 3 2 2 8" xfId="4679" xr:uid="{00000000-0005-0000-0000-0000BF0E0000}"/>
    <cellStyle name="Normal 2 4 2 3 2 2 8 2" xfId="13108" xr:uid="{F9B60FFF-C362-4579-9794-5614B4C75277}"/>
    <cellStyle name="Normal 2 4 2 3 2 2 9" xfId="8890" xr:uid="{38FF7F4A-6B04-44B1-98DB-4A2D528D612E}"/>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2 2" xfId="15669" xr:uid="{17F117B2-936C-46C9-9559-56CFFA15948C}"/>
    <cellStyle name="Normal 2 4 2 3 2 3 2 2 3" xfId="11451" xr:uid="{66C7C108-0A69-430D-8B45-0235CFA58A9A}"/>
    <cellStyle name="Normal 2 4 2 3 2 3 2 3" xfId="5095" xr:uid="{00000000-0005-0000-0000-0000C40E0000}"/>
    <cellStyle name="Normal 2 4 2 3 2 3 2 3 2" xfId="13524" xr:uid="{C67A4AA4-1974-4E9F-9AC3-11ABD49CBD6F}"/>
    <cellStyle name="Normal 2 4 2 3 2 3 2 4" xfId="9306" xr:uid="{8A14B5DC-47B5-4700-AF0E-0AFD295650B9}"/>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2 2" xfId="16082" xr:uid="{5655761D-3835-4B75-8470-ADC26C10AFB9}"/>
    <cellStyle name="Normal 2 4 2 3 2 3 3 2 3" xfId="11864" xr:uid="{E1AFC7CE-849C-407C-AF2B-3FF571B625FD}"/>
    <cellStyle name="Normal 2 4 2 3 2 3 3 3" xfId="5508" xr:uid="{00000000-0005-0000-0000-0000C80E0000}"/>
    <cellStyle name="Normal 2 4 2 3 2 3 3 3 2" xfId="13937" xr:uid="{771F0FE5-03D6-42A9-850A-E16C30F7B434}"/>
    <cellStyle name="Normal 2 4 2 3 2 3 3 4" xfId="9719" xr:uid="{1CBE0A36-CA27-4CD6-A48B-BEE9B8F37B6D}"/>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2 2" xfId="16495" xr:uid="{56B5555E-2C85-4753-8C2B-84A3804AA442}"/>
    <cellStyle name="Normal 2 4 2 3 2 3 4 2 3" xfId="12277" xr:uid="{88FE12C2-810D-42B7-AA63-0D8DFDB227DE}"/>
    <cellStyle name="Normal 2 4 2 3 2 3 4 3" xfId="5921" xr:uid="{00000000-0005-0000-0000-0000CC0E0000}"/>
    <cellStyle name="Normal 2 4 2 3 2 3 4 3 2" xfId="14350" xr:uid="{01AC9841-BF93-4025-8F02-BF7C0A7B0728}"/>
    <cellStyle name="Normal 2 4 2 3 2 3 4 4" xfId="10132" xr:uid="{94ADB0E3-0905-47DC-AED1-A498E0E0B862}"/>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2 2" xfId="16908" xr:uid="{74A1365E-63EA-447A-8397-596085CF1C46}"/>
    <cellStyle name="Normal 2 4 2 3 2 3 5 2 3" xfId="12690" xr:uid="{E176F30A-AF04-4C5B-8D61-E3B3318AD799}"/>
    <cellStyle name="Normal 2 4 2 3 2 3 5 3" xfId="6334" xr:uid="{00000000-0005-0000-0000-0000D00E0000}"/>
    <cellStyle name="Normal 2 4 2 3 2 3 5 3 2" xfId="14763" xr:uid="{2257B073-690B-43CE-AB3E-C54CDA5B3A09}"/>
    <cellStyle name="Normal 2 4 2 3 2 3 5 4" xfId="10545" xr:uid="{C6F834D5-7371-4900-A077-E09BAB4A54ED}"/>
    <cellStyle name="Normal 2 4 2 3 2 3 6" xfId="2462" xr:uid="{00000000-0005-0000-0000-0000D10E0000}"/>
    <cellStyle name="Normal 2 4 2 3 2 3 6 2" xfId="6747" xr:uid="{00000000-0005-0000-0000-0000D20E0000}"/>
    <cellStyle name="Normal 2 4 2 3 2 3 6 2 2" xfId="15176" xr:uid="{82F2D0E2-4C96-4312-BCF2-4FEE3408A46B}"/>
    <cellStyle name="Normal 2 4 2 3 2 3 6 3" xfId="10958" xr:uid="{CC8573FD-4854-4F4E-9669-53E9FBAFC973}"/>
    <cellStyle name="Normal 2 4 2 3 2 3 7" xfId="4681" xr:uid="{00000000-0005-0000-0000-0000D30E0000}"/>
    <cellStyle name="Normal 2 4 2 3 2 3 7 2" xfId="13110" xr:uid="{2BB91F8C-60E5-409F-81EF-DE0F66A05478}"/>
    <cellStyle name="Normal 2 4 2 3 2 3 8" xfId="8892" xr:uid="{5DF9A135-F07C-4AE2-AE7A-2A0368D75E85}"/>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2 2" xfId="15666" xr:uid="{51F436F7-DA21-4663-B11F-A8D4C5104DC4}"/>
    <cellStyle name="Normal 2 4 2 3 2 4 2 3" xfId="11448" xr:uid="{B4FFBE3D-EBEB-4A42-9938-E6CB66B5FA9D}"/>
    <cellStyle name="Normal 2 4 2 3 2 4 3" xfId="5092" xr:uid="{00000000-0005-0000-0000-0000D70E0000}"/>
    <cellStyle name="Normal 2 4 2 3 2 4 3 2" xfId="13521" xr:uid="{BEFC0A8A-472A-4E5A-9339-1DFD992D7804}"/>
    <cellStyle name="Normal 2 4 2 3 2 4 4" xfId="9303" xr:uid="{44C6A51F-4FFB-40F4-AC0C-51D1E70AC9A6}"/>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2 2" xfId="16079" xr:uid="{0AB7802A-EB27-462A-B065-8CD197BFC2DE}"/>
    <cellStyle name="Normal 2 4 2 3 2 5 2 3" xfId="11861" xr:uid="{4FE3E244-95E2-4CA5-ABA0-3F22DC773E30}"/>
    <cellStyle name="Normal 2 4 2 3 2 5 3" xfId="5505" xr:uid="{00000000-0005-0000-0000-0000DB0E0000}"/>
    <cellStyle name="Normal 2 4 2 3 2 5 3 2" xfId="13934" xr:uid="{A9671DC7-2E12-4972-9898-49DAC4D93B73}"/>
    <cellStyle name="Normal 2 4 2 3 2 5 4" xfId="9716" xr:uid="{5FE787CB-6108-4098-B342-0783B8A3AE62}"/>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2 2" xfId="16492" xr:uid="{27C9CA2A-D54E-4B36-AF6B-62ABD5ECF3FC}"/>
    <cellStyle name="Normal 2 4 2 3 2 6 2 3" xfId="12274" xr:uid="{D627BFB6-5003-45BF-B587-2378F84C5D3A}"/>
    <cellStyle name="Normal 2 4 2 3 2 6 3" xfId="5918" xr:uid="{00000000-0005-0000-0000-0000DF0E0000}"/>
    <cellStyle name="Normal 2 4 2 3 2 6 3 2" xfId="14347" xr:uid="{6D3688EB-8809-449E-86BE-181CAB5D04A4}"/>
    <cellStyle name="Normal 2 4 2 3 2 6 4" xfId="10129" xr:uid="{65DBA319-5CC3-4AF4-B61D-D5A9AE4BE6E3}"/>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2 2" xfId="16905" xr:uid="{ACF740EB-C377-405E-9E7C-F72291A6D91B}"/>
    <cellStyle name="Normal 2 4 2 3 2 7 2 3" xfId="12687" xr:uid="{DF013C80-837B-4638-A993-A911DF9700AA}"/>
    <cellStyle name="Normal 2 4 2 3 2 7 3" xfId="6331" xr:uid="{00000000-0005-0000-0000-0000E30E0000}"/>
    <cellStyle name="Normal 2 4 2 3 2 7 3 2" xfId="14760" xr:uid="{2FEFE0CD-E314-431A-8013-A3EC01DDE4D3}"/>
    <cellStyle name="Normal 2 4 2 3 2 7 4" xfId="10542" xr:uid="{788F7C93-8968-470A-AADC-C7F02C7FD3FB}"/>
    <cellStyle name="Normal 2 4 2 3 2 8" xfId="2459" xr:uid="{00000000-0005-0000-0000-0000E40E0000}"/>
    <cellStyle name="Normal 2 4 2 3 2 8 2" xfId="6744" xr:uid="{00000000-0005-0000-0000-0000E50E0000}"/>
    <cellStyle name="Normal 2 4 2 3 2 8 2 2" xfId="15173" xr:uid="{36F7C4B4-588A-4EE3-98F5-C9EB47B8C79E}"/>
    <cellStyle name="Normal 2 4 2 3 2 8 3" xfId="10955" xr:uid="{D855661D-C0D2-4A4B-8990-7950637721A5}"/>
    <cellStyle name="Normal 2 4 2 3 2 9" xfId="4678" xr:uid="{00000000-0005-0000-0000-0000E60E0000}"/>
    <cellStyle name="Normal 2 4 2 3 2 9 2" xfId="13107" xr:uid="{49E84EF2-8314-47A1-9533-472525F25166}"/>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2 2" xfId="15671" xr:uid="{287AA7A5-F483-4E89-9EBE-A35BC0CBA3B3}"/>
    <cellStyle name="Normal 2 4 2 3 3 2 2 2 3" xfId="11453" xr:uid="{090D1951-FEE0-4683-9880-B666D95895E6}"/>
    <cellStyle name="Normal 2 4 2 3 3 2 2 3" xfId="5097" xr:uid="{00000000-0005-0000-0000-0000EC0E0000}"/>
    <cellStyle name="Normal 2 4 2 3 3 2 2 3 2" xfId="13526" xr:uid="{A1CA8561-0A8C-40FC-8852-25699EF75EAB}"/>
    <cellStyle name="Normal 2 4 2 3 3 2 2 4" xfId="9308" xr:uid="{093A1E07-A771-408B-AB9D-AE098031697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2 2" xfId="16084" xr:uid="{FB3545BA-7FAF-4A6F-BD43-494027F79E5D}"/>
    <cellStyle name="Normal 2 4 2 3 3 2 3 2 3" xfId="11866" xr:uid="{FA60CCC5-C51C-4C50-98D2-24D81C400EF9}"/>
    <cellStyle name="Normal 2 4 2 3 3 2 3 3" xfId="5510" xr:uid="{00000000-0005-0000-0000-0000F00E0000}"/>
    <cellStyle name="Normal 2 4 2 3 3 2 3 3 2" xfId="13939" xr:uid="{8F21BDA4-0DCF-4CF7-B8A2-E73B8D837F09}"/>
    <cellStyle name="Normal 2 4 2 3 3 2 3 4" xfId="9721" xr:uid="{4577C3F0-131D-4FC0-A757-9EF2A6ED8835}"/>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2 2" xfId="16497" xr:uid="{8C3AEDC5-4F68-473A-BAB7-C9D7254815A4}"/>
    <cellStyle name="Normal 2 4 2 3 3 2 4 2 3" xfId="12279" xr:uid="{2E4E2635-3C35-4632-ACCA-359C1F4C68A8}"/>
    <cellStyle name="Normal 2 4 2 3 3 2 4 3" xfId="5923" xr:uid="{00000000-0005-0000-0000-0000F40E0000}"/>
    <cellStyle name="Normal 2 4 2 3 3 2 4 3 2" xfId="14352" xr:uid="{7F0066BB-FA9A-484B-BF89-BB4686A18E51}"/>
    <cellStyle name="Normal 2 4 2 3 3 2 4 4" xfId="10134" xr:uid="{55D439C2-AE5A-416A-BE13-6CD9ABC58999}"/>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2 2" xfId="16910" xr:uid="{4D20CC0E-01CD-427D-9554-51245BAFB4C2}"/>
    <cellStyle name="Normal 2 4 2 3 3 2 5 2 3" xfId="12692" xr:uid="{C9A70637-7950-43C9-A529-912462CCF03E}"/>
    <cellStyle name="Normal 2 4 2 3 3 2 5 3" xfId="6336" xr:uid="{00000000-0005-0000-0000-0000F80E0000}"/>
    <cellStyle name="Normal 2 4 2 3 3 2 5 3 2" xfId="14765" xr:uid="{DE16191B-DF44-4CE4-A412-14351E0BFE5F}"/>
    <cellStyle name="Normal 2 4 2 3 3 2 5 4" xfId="10547" xr:uid="{60831BA0-5AF4-4E78-A37E-F0A6F9AFD238}"/>
    <cellStyle name="Normal 2 4 2 3 3 2 6" xfId="2464" xr:uid="{00000000-0005-0000-0000-0000F90E0000}"/>
    <cellStyle name="Normal 2 4 2 3 3 2 6 2" xfId="6749" xr:uid="{00000000-0005-0000-0000-0000FA0E0000}"/>
    <cellStyle name="Normal 2 4 2 3 3 2 6 2 2" xfId="15178" xr:uid="{0FE7A326-A4DE-42F2-A0DC-0EB3C9BF3C3D}"/>
    <cellStyle name="Normal 2 4 2 3 3 2 6 3" xfId="10960" xr:uid="{2797B7EA-3A12-4AAD-9754-94B70F1D36D5}"/>
    <cellStyle name="Normal 2 4 2 3 3 2 7" xfId="4683" xr:uid="{00000000-0005-0000-0000-0000FB0E0000}"/>
    <cellStyle name="Normal 2 4 2 3 3 2 7 2" xfId="13112" xr:uid="{8A9898F2-02E2-4366-946A-23A81E3ABE2A}"/>
    <cellStyle name="Normal 2 4 2 3 3 2 8" xfId="8894" xr:uid="{8C224E2D-0667-4C78-89EA-82535067E905}"/>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2 2" xfId="15670" xr:uid="{C5E474B5-8548-4FBC-A91E-2CEA37F67BBC}"/>
    <cellStyle name="Normal 2 4 2 3 3 3 2 3" xfId="11452" xr:uid="{B352016C-C747-46A4-A9A1-BDCAE6749FEA}"/>
    <cellStyle name="Normal 2 4 2 3 3 3 3" xfId="5096" xr:uid="{00000000-0005-0000-0000-0000FF0E0000}"/>
    <cellStyle name="Normal 2 4 2 3 3 3 3 2" xfId="13525" xr:uid="{140771C2-3753-49EC-A57E-2B8D77655349}"/>
    <cellStyle name="Normal 2 4 2 3 3 3 4" xfId="9307" xr:uid="{F45A1EC4-D7D9-4D45-9A43-7EE6420259B3}"/>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2 2" xfId="16083" xr:uid="{08C50ABA-7463-4340-8569-EAF56A4DFA09}"/>
    <cellStyle name="Normal 2 4 2 3 3 4 2 3" xfId="11865" xr:uid="{4C66115E-1D1B-4F80-A718-22ADDF21954F}"/>
    <cellStyle name="Normal 2 4 2 3 3 4 3" xfId="5509" xr:uid="{00000000-0005-0000-0000-0000030F0000}"/>
    <cellStyle name="Normal 2 4 2 3 3 4 3 2" xfId="13938" xr:uid="{AFFFF95C-ABC6-45FD-8C56-2CFC30D92FF9}"/>
    <cellStyle name="Normal 2 4 2 3 3 4 4" xfId="9720" xr:uid="{0656FFB3-9EAE-431B-91E3-86A72ABF7233}"/>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2 2" xfId="16496" xr:uid="{676F7AB4-FC0F-4CE2-AB49-D8EB79C20748}"/>
    <cellStyle name="Normal 2 4 2 3 3 5 2 3" xfId="12278" xr:uid="{5BC5F488-6F96-4E4D-9989-46EDFCA1DE5B}"/>
    <cellStyle name="Normal 2 4 2 3 3 5 3" xfId="5922" xr:uid="{00000000-0005-0000-0000-0000070F0000}"/>
    <cellStyle name="Normal 2 4 2 3 3 5 3 2" xfId="14351" xr:uid="{64E5878D-5DFE-4ACA-814B-1F90EA1F7913}"/>
    <cellStyle name="Normal 2 4 2 3 3 5 4" xfId="10133" xr:uid="{B498E6D4-B57B-448B-BB65-EE61033FB0AA}"/>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2 2" xfId="16909" xr:uid="{485E4143-56ED-44DC-8781-7A5CB6AAA5F8}"/>
    <cellStyle name="Normal 2 4 2 3 3 6 2 3" xfId="12691" xr:uid="{C2EE868E-CB32-4E9D-8843-DBF172D8EAD5}"/>
    <cellStyle name="Normal 2 4 2 3 3 6 3" xfId="6335" xr:uid="{00000000-0005-0000-0000-00000B0F0000}"/>
    <cellStyle name="Normal 2 4 2 3 3 6 3 2" xfId="14764" xr:uid="{9C455186-B5C9-4E6A-BC54-69BAB208EFF0}"/>
    <cellStyle name="Normal 2 4 2 3 3 6 4" xfId="10546" xr:uid="{AFC1D220-6D32-4074-A6F9-8781AEA3F4B7}"/>
    <cellStyle name="Normal 2 4 2 3 3 7" xfId="2463" xr:uid="{00000000-0005-0000-0000-00000C0F0000}"/>
    <cellStyle name="Normal 2 4 2 3 3 7 2" xfId="6748" xr:uid="{00000000-0005-0000-0000-00000D0F0000}"/>
    <cellStyle name="Normal 2 4 2 3 3 7 2 2" xfId="15177" xr:uid="{F2C56686-8FB5-4809-8E36-B19AD9FBC7B2}"/>
    <cellStyle name="Normal 2 4 2 3 3 7 3" xfId="10959" xr:uid="{3834A64E-34E0-41BD-B862-C0ECC8968106}"/>
    <cellStyle name="Normal 2 4 2 3 3 8" xfId="4682" xr:uid="{00000000-0005-0000-0000-00000E0F0000}"/>
    <cellStyle name="Normal 2 4 2 3 3 8 2" xfId="13111" xr:uid="{7A288C66-658A-4424-964A-D7087F7C5133}"/>
    <cellStyle name="Normal 2 4 2 3 3 9" xfId="8893" xr:uid="{CB70369E-81C1-4AE4-B424-ABDE12386A14}"/>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2 2" xfId="15672" xr:uid="{20933A56-80C8-4F07-926F-2E4077328F77}"/>
    <cellStyle name="Normal 2 4 2 3 4 2 2 3" xfId="11454" xr:uid="{F922A5A7-D49C-46D7-9DED-4F542AA75DA5}"/>
    <cellStyle name="Normal 2 4 2 3 4 2 3" xfId="5098" xr:uid="{00000000-0005-0000-0000-0000130F0000}"/>
    <cellStyle name="Normal 2 4 2 3 4 2 3 2" xfId="13527" xr:uid="{0963E1AB-F4A9-4AE9-86D7-4B56EFC6EE5F}"/>
    <cellStyle name="Normal 2 4 2 3 4 2 4" xfId="9309" xr:uid="{DB4083C6-F80D-4D96-924B-10CEDA7CEAF1}"/>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2 2" xfId="16085" xr:uid="{B990049D-234C-41CC-B151-0101AC70AF99}"/>
    <cellStyle name="Normal 2 4 2 3 4 3 2 3" xfId="11867" xr:uid="{C9AF6010-6EED-4E5E-B66A-021660554D05}"/>
    <cellStyle name="Normal 2 4 2 3 4 3 3" xfId="5511" xr:uid="{00000000-0005-0000-0000-0000170F0000}"/>
    <cellStyle name="Normal 2 4 2 3 4 3 3 2" xfId="13940" xr:uid="{7C8E4E86-D654-4122-866B-902EBE21DE98}"/>
    <cellStyle name="Normal 2 4 2 3 4 3 4" xfId="9722" xr:uid="{4637738E-EB41-472D-8BCC-2D525B837F71}"/>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2 2" xfId="16498" xr:uid="{2A62C819-3666-4F60-83E7-39ABDE998C8A}"/>
    <cellStyle name="Normal 2 4 2 3 4 4 2 3" xfId="12280" xr:uid="{D26DC37C-368D-4561-AD97-14A6AE44EA5F}"/>
    <cellStyle name="Normal 2 4 2 3 4 4 3" xfId="5924" xr:uid="{00000000-0005-0000-0000-00001B0F0000}"/>
    <cellStyle name="Normal 2 4 2 3 4 4 3 2" xfId="14353" xr:uid="{DC682FC7-3854-499A-A673-17C4815EBAE1}"/>
    <cellStyle name="Normal 2 4 2 3 4 4 4" xfId="10135" xr:uid="{06B4AE14-0276-448D-A2B4-82B9AC829F0B}"/>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2 2" xfId="16911" xr:uid="{146D17B7-D5A6-4544-9E51-421E5845AC96}"/>
    <cellStyle name="Normal 2 4 2 3 4 5 2 3" xfId="12693" xr:uid="{240E6ABF-421C-4A56-9B2D-063056C1C279}"/>
    <cellStyle name="Normal 2 4 2 3 4 5 3" xfId="6337" xr:uid="{00000000-0005-0000-0000-00001F0F0000}"/>
    <cellStyle name="Normal 2 4 2 3 4 5 3 2" xfId="14766" xr:uid="{6F56DC3D-1A4A-4762-B3DA-C3393A35DEA4}"/>
    <cellStyle name="Normal 2 4 2 3 4 5 4" xfId="10548" xr:uid="{AE8472EC-2A9C-4858-9B64-C3CCCB1F1708}"/>
    <cellStyle name="Normal 2 4 2 3 4 6" xfId="2465" xr:uid="{00000000-0005-0000-0000-0000200F0000}"/>
    <cellStyle name="Normal 2 4 2 3 4 6 2" xfId="6750" xr:uid="{00000000-0005-0000-0000-0000210F0000}"/>
    <cellStyle name="Normal 2 4 2 3 4 6 2 2" xfId="15179" xr:uid="{DCB006D1-3D79-46B9-BE2D-5522132AF950}"/>
    <cellStyle name="Normal 2 4 2 3 4 6 3" xfId="10961" xr:uid="{391F2932-A2B7-44CE-AA41-4BB51E05EEB3}"/>
    <cellStyle name="Normal 2 4 2 3 4 7" xfId="4684" xr:uid="{00000000-0005-0000-0000-0000220F0000}"/>
    <cellStyle name="Normal 2 4 2 3 4 7 2" xfId="13113" xr:uid="{8FA1EBD9-F234-4CD5-92B4-3B3458ECD00B}"/>
    <cellStyle name="Normal 2 4 2 3 4 8" xfId="8895" xr:uid="{A41DDC25-6ADB-4286-A0AF-EBA8E8E0CCB0}"/>
    <cellStyle name="Normal 2 4 2 3 5" xfId="773" xr:uid="{00000000-0005-0000-0000-0000230F0000}"/>
    <cellStyle name="Normal 2 4 2 3 5 2" xfId="3012" xr:uid="{00000000-0005-0000-0000-0000240F0000}"/>
    <cellStyle name="Normal 2 4 2 3 5 2 2" xfId="7236" xr:uid="{00000000-0005-0000-0000-0000250F0000}"/>
    <cellStyle name="Normal 2 4 2 3 5 2 2 2" xfId="15665" xr:uid="{CE82C34F-A2FC-4924-A209-C6DDF012B4F0}"/>
    <cellStyle name="Normal 2 4 2 3 5 2 3" xfId="11447" xr:uid="{A2003CE9-4B9A-4CEB-8E81-3D9FC5937DA8}"/>
    <cellStyle name="Normal 2 4 2 3 5 3" xfId="5091" xr:uid="{00000000-0005-0000-0000-0000260F0000}"/>
    <cellStyle name="Normal 2 4 2 3 5 3 2" xfId="13520" xr:uid="{43CE08F5-DE03-4164-BC7A-4B67369CDE5F}"/>
    <cellStyle name="Normal 2 4 2 3 5 4" xfId="9302" xr:uid="{F113772B-3718-4AB9-8150-952BB32B0450}"/>
    <cellStyle name="Normal 2 4 2 3 6" xfId="1195" xr:uid="{00000000-0005-0000-0000-0000270F0000}"/>
    <cellStyle name="Normal 2 4 2 3 6 2" xfId="3425" xr:uid="{00000000-0005-0000-0000-0000280F0000}"/>
    <cellStyle name="Normal 2 4 2 3 6 2 2" xfId="7649" xr:uid="{00000000-0005-0000-0000-0000290F0000}"/>
    <cellStyle name="Normal 2 4 2 3 6 2 2 2" xfId="16078" xr:uid="{355081BD-F332-4C72-974B-EFA99B27BE1F}"/>
    <cellStyle name="Normal 2 4 2 3 6 2 3" xfId="11860" xr:uid="{142A7B35-0388-45C1-9793-35D28A0B5FC7}"/>
    <cellStyle name="Normal 2 4 2 3 6 3" xfId="5504" xr:uid="{00000000-0005-0000-0000-00002A0F0000}"/>
    <cellStyle name="Normal 2 4 2 3 6 3 2" xfId="13933" xr:uid="{16989E47-BCF2-4520-BE21-6B33F1CDDDC4}"/>
    <cellStyle name="Normal 2 4 2 3 6 4" xfId="9715" xr:uid="{6FE30571-1B4B-41C0-A710-8F146CB6C552}"/>
    <cellStyle name="Normal 2 4 2 3 7" xfId="1608" xr:uid="{00000000-0005-0000-0000-00002B0F0000}"/>
    <cellStyle name="Normal 2 4 2 3 7 2" xfId="3838" xr:uid="{00000000-0005-0000-0000-00002C0F0000}"/>
    <cellStyle name="Normal 2 4 2 3 7 2 2" xfId="8062" xr:uid="{00000000-0005-0000-0000-00002D0F0000}"/>
    <cellStyle name="Normal 2 4 2 3 7 2 2 2" xfId="16491" xr:uid="{A65CCC20-64B8-4894-B73F-90B087346C65}"/>
    <cellStyle name="Normal 2 4 2 3 7 2 3" xfId="12273" xr:uid="{9FAE5ADC-2078-4150-9C5F-6BD888685AC5}"/>
    <cellStyle name="Normal 2 4 2 3 7 3" xfId="5917" xr:uid="{00000000-0005-0000-0000-00002E0F0000}"/>
    <cellStyle name="Normal 2 4 2 3 7 3 2" xfId="14346" xr:uid="{86BBED20-870C-4C53-8270-B591C47942E5}"/>
    <cellStyle name="Normal 2 4 2 3 7 4" xfId="10128" xr:uid="{F40D7D3E-EE9B-48BB-AAE0-68C20542A8CC}"/>
    <cellStyle name="Normal 2 4 2 3 8" xfId="2022" xr:uid="{00000000-0005-0000-0000-00002F0F0000}"/>
    <cellStyle name="Normal 2 4 2 3 8 2" xfId="4251" xr:uid="{00000000-0005-0000-0000-0000300F0000}"/>
    <cellStyle name="Normal 2 4 2 3 8 2 2" xfId="8475" xr:uid="{00000000-0005-0000-0000-0000310F0000}"/>
    <cellStyle name="Normal 2 4 2 3 8 2 2 2" xfId="16904" xr:uid="{80D7CF8F-7575-4DAD-A9B7-7A54C15264A0}"/>
    <cellStyle name="Normal 2 4 2 3 8 2 3" xfId="12686" xr:uid="{054A60FD-718F-4DD6-B064-06024CDA6AEC}"/>
    <cellStyle name="Normal 2 4 2 3 8 3" xfId="6330" xr:uid="{00000000-0005-0000-0000-0000320F0000}"/>
    <cellStyle name="Normal 2 4 2 3 8 3 2" xfId="14759" xr:uid="{AAD062CC-C275-4D54-B3D7-C820B72DEE90}"/>
    <cellStyle name="Normal 2 4 2 3 8 4" xfId="10541" xr:uid="{5EA0DE75-F05E-4D2C-BDED-406A70C91EAE}"/>
    <cellStyle name="Normal 2 4 2 3 9" xfId="2458" xr:uid="{00000000-0005-0000-0000-0000330F0000}"/>
    <cellStyle name="Normal 2 4 2 3 9 2" xfId="6743" xr:uid="{00000000-0005-0000-0000-0000340F0000}"/>
    <cellStyle name="Normal 2 4 2 3 9 2 2" xfId="15172" xr:uid="{6468A32B-A82D-4AD1-999B-7F270556F9B8}"/>
    <cellStyle name="Normal 2 4 2 3 9 3" xfId="10954" xr:uid="{461BDB81-7FC8-4C83-9245-6196C42DF191}"/>
    <cellStyle name="Normal 2 4 2 4" xfId="289" xr:uid="{00000000-0005-0000-0000-0000350F0000}"/>
    <cellStyle name="Normal 2 4 2 4 10" xfId="8896" xr:uid="{5163B56D-A53F-4888-82FA-873B5A994F7E}"/>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2 2" xfId="15675" xr:uid="{43344305-522D-41F8-9B27-54DEB58B58DD}"/>
    <cellStyle name="Normal 2 4 2 4 2 2 2 2 3" xfId="11457" xr:uid="{A93ADEDF-E400-4A75-8064-4A120BDF8001}"/>
    <cellStyle name="Normal 2 4 2 4 2 2 2 3" xfId="5101" xr:uid="{00000000-0005-0000-0000-00003B0F0000}"/>
    <cellStyle name="Normal 2 4 2 4 2 2 2 3 2" xfId="13530" xr:uid="{366D518D-12C0-49AC-8024-244301491D85}"/>
    <cellStyle name="Normal 2 4 2 4 2 2 2 4" xfId="9312" xr:uid="{52AC7D6F-E979-424B-AE68-94C887DA0DDA}"/>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2 2" xfId="16088" xr:uid="{9C1E39CA-6B2B-4298-93D1-F5A2804DE98B}"/>
    <cellStyle name="Normal 2 4 2 4 2 2 3 2 3" xfId="11870" xr:uid="{7FD38207-5C36-422B-A634-6F7C7DEF98FA}"/>
    <cellStyle name="Normal 2 4 2 4 2 2 3 3" xfId="5514" xr:uid="{00000000-0005-0000-0000-00003F0F0000}"/>
    <cellStyle name="Normal 2 4 2 4 2 2 3 3 2" xfId="13943" xr:uid="{89E07444-5DB2-4FCF-AAB4-9D495F6EF49D}"/>
    <cellStyle name="Normal 2 4 2 4 2 2 3 4" xfId="9725" xr:uid="{E23F83E8-67BE-46CD-90D2-A474613A918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2 2" xfId="16501" xr:uid="{C1EBF2D2-2C5E-464D-B2A8-D0AA2821D86E}"/>
    <cellStyle name="Normal 2 4 2 4 2 2 4 2 3" xfId="12283" xr:uid="{26EB78C1-D6DD-4895-BBF8-2427426A8018}"/>
    <cellStyle name="Normal 2 4 2 4 2 2 4 3" xfId="5927" xr:uid="{00000000-0005-0000-0000-0000430F0000}"/>
    <cellStyle name="Normal 2 4 2 4 2 2 4 3 2" xfId="14356" xr:uid="{27D6068A-0A1E-49FE-A84D-89E7FF0951F9}"/>
    <cellStyle name="Normal 2 4 2 4 2 2 4 4" xfId="10138" xr:uid="{AE8D9EC9-EC9C-4004-8F40-5DB4E6C13A3B}"/>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2 2" xfId="16914" xr:uid="{CD19AA6E-0FD2-4010-BCF8-36AE6085213C}"/>
    <cellStyle name="Normal 2 4 2 4 2 2 5 2 3" xfId="12696" xr:uid="{D60A5AFF-586A-4476-9825-2D8466B9E906}"/>
    <cellStyle name="Normal 2 4 2 4 2 2 5 3" xfId="6340" xr:uid="{00000000-0005-0000-0000-0000470F0000}"/>
    <cellStyle name="Normal 2 4 2 4 2 2 5 3 2" xfId="14769" xr:uid="{27922ADD-6BEE-47EB-97C3-6178EF1809F4}"/>
    <cellStyle name="Normal 2 4 2 4 2 2 5 4" xfId="10551" xr:uid="{CC14E64F-8200-434C-9EAC-6159F386962C}"/>
    <cellStyle name="Normal 2 4 2 4 2 2 6" xfId="2468" xr:uid="{00000000-0005-0000-0000-0000480F0000}"/>
    <cellStyle name="Normal 2 4 2 4 2 2 6 2" xfId="6753" xr:uid="{00000000-0005-0000-0000-0000490F0000}"/>
    <cellStyle name="Normal 2 4 2 4 2 2 6 2 2" xfId="15182" xr:uid="{E8F3EBA2-3456-4299-A8E8-361DA9A957EE}"/>
    <cellStyle name="Normal 2 4 2 4 2 2 6 3" xfId="10964" xr:uid="{C917F71E-AA58-4D60-97D6-2F339E1B650F}"/>
    <cellStyle name="Normal 2 4 2 4 2 2 7" xfId="4687" xr:uid="{00000000-0005-0000-0000-00004A0F0000}"/>
    <cellStyle name="Normal 2 4 2 4 2 2 7 2" xfId="13116" xr:uid="{552F942B-9178-41AC-B007-4560B83612C0}"/>
    <cellStyle name="Normal 2 4 2 4 2 2 8" xfId="8898" xr:uid="{9BCD92AC-E706-4E2C-BFAB-35BCABEFABAB}"/>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2 2" xfId="15674" xr:uid="{8EB4F0BE-B42C-4ABA-BDE0-E2C471CBD9EF}"/>
    <cellStyle name="Normal 2 4 2 4 2 3 2 3" xfId="11456" xr:uid="{37F41005-819A-4F6B-8C35-C2DB8DBF44BB}"/>
    <cellStyle name="Normal 2 4 2 4 2 3 3" xfId="5100" xr:uid="{00000000-0005-0000-0000-00004E0F0000}"/>
    <cellStyle name="Normal 2 4 2 4 2 3 3 2" xfId="13529" xr:uid="{785552D6-23F5-480E-B8BD-A6FA5FB8DA39}"/>
    <cellStyle name="Normal 2 4 2 4 2 3 4" xfId="9311" xr:uid="{958964D5-0BF6-4856-8515-8D9A8794A4E7}"/>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2 2" xfId="16087" xr:uid="{12E8D4D7-4D5B-4736-9DCA-0D7627D26C2A}"/>
    <cellStyle name="Normal 2 4 2 4 2 4 2 3" xfId="11869" xr:uid="{6F580297-599B-4D01-8BA3-C160B5F86BFF}"/>
    <cellStyle name="Normal 2 4 2 4 2 4 3" xfId="5513" xr:uid="{00000000-0005-0000-0000-0000520F0000}"/>
    <cellStyle name="Normal 2 4 2 4 2 4 3 2" xfId="13942" xr:uid="{551776FF-D7B8-43CE-BCC2-F1FD9AC1F27C}"/>
    <cellStyle name="Normal 2 4 2 4 2 4 4" xfId="9724" xr:uid="{22A5ACB8-F4FA-4E5E-BA8A-70E5906B9DE5}"/>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2 2" xfId="16500" xr:uid="{928F7012-9FA0-479C-B349-90C2309F0D1A}"/>
    <cellStyle name="Normal 2 4 2 4 2 5 2 3" xfId="12282" xr:uid="{24803654-ED37-4419-A2D7-FA8AF9450A58}"/>
    <cellStyle name="Normal 2 4 2 4 2 5 3" xfId="5926" xr:uid="{00000000-0005-0000-0000-0000560F0000}"/>
    <cellStyle name="Normal 2 4 2 4 2 5 3 2" xfId="14355" xr:uid="{47266915-0C25-41E2-A802-D03A759A1B6F}"/>
    <cellStyle name="Normal 2 4 2 4 2 5 4" xfId="10137" xr:uid="{572A13C3-9FCC-4C1E-943C-A7798FD0C8BA}"/>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2 2" xfId="16913" xr:uid="{31707F9D-3417-434C-9E05-AD04E90F8508}"/>
    <cellStyle name="Normal 2 4 2 4 2 6 2 3" xfId="12695" xr:uid="{268A7399-1817-4226-983C-48B1F1112F78}"/>
    <cellStyle name="Normal 2 4 2 4 2 6 3" xfId="6339" xr:uid="{00000000-0005-0000-0000-00005A0F0000}"/>
    <cellStyle name="Normal 2 4 2 4 2 6 3 2" xfId="14768" xr:uid="{C07DD32C-311B-4E71-82EB-A5C6F5E89EBD}"/>
    <cellStyle name="Normal 2 4 2 4 2 6 4" xfId="10550" xr:uid="{BCAD6F2F-5DBB-4378-B536-FC33413B05D8}"/>
    <cellStyle name="Normal 2 4 2 4 2 7" xfId="2467" xr:uid="{00000000-0005-0000-0000-00005B0F0000}"/>
    <cellStyle name="Normal 2 4 2 4 2 7 2" xfId="6752" xr:uid="{00000000-0005-0000-0000-00005C0F0000}"/>
    <cellStyle name="Normal 2 4 2 4 2 7 2 2" xfId="15181" xr:uid="{51458163-9008-4F7B-A857-88372536572E}"/>
    <cellStyle name="Normal 2 4 2 4 2 7 3" xfId="10963" xr:uid="{3E95A03F-18F9-4485-AE05-D3F2EE434EAA}"/>
    <cellStyle name="Normal 2 4 2 4 2 8" xfId="4686" xr:uid="{00000000-0005-0000-0000-00005D0F0000}"/>
    <cellStyle name="Normal 2 4 2 4 2 8 2" xfId="13115" xr:uid="{EDD55233-8598-4302-9B96-52D110477723}"/>
    <cellStyle name="Normal 2 4 2 4 2 9" xfId="8897" xr:uid="{F97943EF-9876-4EB7-BD0E-45288F91DB35}"/>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2 2" xfId="15676" xr:uid="{13642EEF-CDFD-4FC0-9602-2BC43C5AA5FE}"/>
    <cellStyle name="Normal 2 4 2 4 3 2 2 3" xfId="11458" xr:uid="{27D2F4B7-5A93-464B-BFD6-37CCB15EFA82}"/>
    <cellStyle name="Normal 2 4 2 4 3 2 3" xfId="5102" xr:uid="{00000000-0005-0000-0000-0000620F0000}"/>
    <cellStyle name="Normal 2 4 2 4 3 2 3 2" xfId="13531" xr:uid="{79EB629A-9420-4BA6-92B4-3E7C25BE9B84}"/>
    <cellStyle name="Normal 2 4 2 4 3 2 4" xfId="9313" xr:uid="{051BFB51-87E3-45B5-8A8B-D6D1A2E490F2}"/>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2 2" xfId="16089" xr:uid="{39D2A8C8-8FD1-4B34-BCE0-0BB1815F3AF6}"/>
    <cellStyle name="Normal 2 4 2 4 3 3 2 3" xfId="11871" xr:uid="{D88030E5-7028-4E16-BC32-FC46B777CACC}"/>
    <cellStyle name="Normal 2 4 2 4 3 3 3" xfId="5515" xr:uid="{00000000-0005-0000-0000-0000660F0000}"/>
    <cellStyle name="Normal 2 4 2 4 3 3 3 2" xfId="13944" xr:uid="{DFF40BEA-75A6-4377-95AB-8E5239BFAB70}"/>
    <cellStyle name="Normal 2 4 2 4 3 3 4" xfId="9726" xr:uid="{7FD85E47-C2B2-4382-9309-F331CDD49E86}"/>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2 2" xfId="16502" xr:uid="{10AB5FD3-B037-4028-9E0C-4C15E2A6E87B}"/>
    <cellStyle name="Normal 2 4 2 4 3 4 2 3" xfId="12284" xr:uid="{43CDF570-E658-47C6-A0EB-B2131F02000B}"/>
    <cellStyle name="Normal 2 4 2 4 3 4 3" xfId="5928" xr:uid="{00000000-0005-0000-0000-00006A0F0000}"/>
    <cellStyle name="Normal 2 4 2 4 3 4 3 2" xfId="14357" xr:uid="{F68B180A-5815-4582-A84E-4700EAB91E7A}"/>
    <cellStyle name="Normal 2 4 2 4 3 4 4" xfId="10139" xr:uid="{9A885708-D75C-433C-8088-E5F073498437}"/>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2 2" xfId="16915" xr:uid="{268E62A9-45BA-4C69-8168-7054E2DC97DF}"/>
    <cellStyle name="Normal 2 4 2 4 3 5 2 3" xfId="12697" xr:uid="{51AA75C8-C483-473A-B561-99B75107BBB5}"/>
    <cellStyle name="Normal 2 4 2 4 3 5 3" xfId="6341" xr:uid="{00000000-0005-0000-0000-00006E0F0000}"/>
    <cellStyle name="Normal 2 4 2 4 3 5 3 2" xfId="14770" xr:uid="{7D582B50-F99A-4176-9696-BFF783E537EE}"/>
    <cellStyle name="Normal 2 4 2 4 3 5 4" xfId="10552" xr:uid="{14007F9B-3C29-454E-9221-D6CC84F8F370}"/>
    <cellStyle name="Normal 2 4 2 4 3 6" xfId="2469" xr:uid="{00000000-0005-0000-0000-00006F0F0000}"/>
    <cellStyle name="Normal 2 4 2 4 3 6 2" xfId="6754" xr:uid="{00000000-0005-0000-0000-0000700F0000}"/>
    <cellStyle name="Normal 2 4 2 4 3 6 2 2" xfId="15183" xr:uid="{FF691BEA-541F-43BD-868D-C7CE45C50EFB}"/>
    <cellStyle name="Normal 2 4 2 4 3 6 3" xfId="10965" xr:uid="{53856D53-C023-4EBE-ADDB-5256F9DE6400}"/>
    <cellStyle name="Normal 2 4 2 4 3 7" xfId="4688" xr:uid="{00000000-0005-0000-0000-0000710F0000}"/>
    <cellStyle name="Normal 2 4 2 4 3 7 2" xfId="13117" xr:uid="{8C1C51E9-07FB-4ED3-A539-97FCBDDE0A90}"/>
    <cellStyle name="Normal 2 4 2 4 3 8" xfId="8899" xr:uid="{319AB1A7-0D34-41DD-84A0-92097B237B7F}"/>
    <cellStyle name="Normal 2 4 2 4 4" xfId="781" xr:uid="{00000000-0005-0000-0000-0000720F0000}"/>
    <cellStyle name="Normal 2 4 2 4 4 2" xfId="3020" xr:uid="{00000000-0005-0000-0000-0000730F0000}"/>
    <cellStyle name="Normal 2 4 2 4 4 2 2" xfId="7244" xr:uid="{00000000-0005-0000-0000-0000740F0000}"/>
    <cellStyle name="Normal 2 4 2 4 4 2 2 2" xfId="15673" xr:uid="{CC9ED598-23CA-4886-9CCC-B862423EEC71}"/>
    <cellStyle name="Normal 2 4 2 4 4 2 3" xfId="11455" xr:uid="{312AF22E-1FB5-4DE1-BE7F-D24A2D90652E}"/>
    <cellStyle name="Normal 2 4 2 4 4 3" xfId="5099" xr:uid="{00000000-0005-0000-0000-0000750F0000}"/>
    <cellStyle name="Normal 2 4 2 4 4 3 2" xfId="13528" xr:uid="{12C358A7-4B54-4975-9481-EBC535564188}"/>
    <cellStyle name="Normal 2 4 2 4 4 4" xfId="9310" xr:uid="{530A3F04-1424-46C5-A905-96C28E964FE7}"/>
    <cellStyle name="Normal 2 4 2 4 5" xfId="1203" xr:uid="{00000000-0005-0000-0000-0000760F0000}"/>
    <cellStyle name="Normal 2 4 2 4 5 2" xfId="3433" xr:uid="{00000000-0005-0000-0000-0000770F0000}"/>
    <cellStyle name="Normal 2 4 2 4 5 2 2" xfId="7657" xr:uid="{00000000-0005-0000-0000-0000780F0000}"/>
    <cellStyle name="Normal 2 4 2 4 5 2 2 2" xfId="16086" xr:uid="{E441F4CA-FE40-446E-BEA8-286DB640E311}"/>
    <cellStyle name="Normal 2 4 2 4 5 2 3" xfId="11868" xr:uid="{618483C8-8CEF-4916-AEC5-E48E3B7D9AB5}"/>
    <cellStyle name="Normal 2 4 2 4 5 3" xfId="5512" xr:uid="{00000000-0005-0000-0000-0000790F0000}"/>
    <cellStyle name="Normal 2 4 2 4 5 3 2" xfId="13941" xr:uid="{D8149B8F-2319-4DF7-AC71-30959573D09C}"/>
    <cellStyle name="Normal 2 4 2 4 5 4" xfId="9723" xr:uid="{E9CD5570-48D2-4E20-BF4E-704688DC928E}"/>
    <cellStyle name="Normal 2 4 2 4 6" xfId="1616" xr:uid="{00000000-0005-0000-0000-00007A0F0000}"/>
    <cellStyle name="Normal 2 4 2 4 6 2" xfId="3846" xr:uid="{00000000-0005-0000-0000-00007B0F0000}"/>
    <cellStyle name="Normal 2 4 2 4 6 2 2" xfId="8070" xr:uid="{00000000-0005-0000-0000-00007C0F0000}"/>
    <cellStyle name="Normal 2 4 2 4 6 2 2 2" xfId="16499" xr:uid="{CB4441B2-8F8C-4BA1-8E3F-7867380958F1}"/>
    <cellStyle name="Normal 2 4 2 4 6 2 3" xfId="12281" xr:uid="{60A8A5E2-6B15-4D4E-A56A-D7BE5AE6EF81}"/>
    <cellStyle name="Normal 2 4 2 4 6 3" xfId="5925" xr:uid="{00000000-0005-0000-0000-00007D0F0000}"/>
    <cellStyle name="Normal 2 4 2 4 6 3 2" xfId="14354" xr:uid="{0DAACFC4-FE25-4FE0-A019-00972BC6802B}"/>
    <cellStyle name="Normal 2 4 2 4 6 4" xfId="10136" xr:uid="{3DDE0321-B2CA-4AEF-8489-EA10F09BF3C9}"/>
    <cellStyle name="Normal 2 4 2 4 7" xfId="2030" xr:uid="{00000000-0005-0000-0000-00007E0F0000}"/>
    <cellStyle name="Normal 2 4 2 4 7 2" xfId="4259" xr:uid="{00000000-0005-0000-0000-00007F0F0000}"/>
    <cellStyle name="Normal 2 4 2 4 7 2 2" xfId="8483" xr:uid="{00000000-0005-0000-0000-0000800F0000}"/>
    <cellStyle name="Normal 2 4 2 4 7 2 2 2" xfId="16912" xr:uid="{96693BBF-08B6-43BC-A53C-5F8F75DBD765}"/>
    <cellStyle name="Normal 2 4 2 4 7 2 3" xfId="12694" xr:uid="{2459A188-3880-4106-AB92-07B76E9438EA}"/>
    <cellStyle name="Normal 2 4 2 4 7 3" xfId="6338" xr:uid="{00000000-0005-0000-0000-0000810F0000}"/>
    <cellStyle name="Normal 2 4 2 4 7 3 2" xfId="14767" xr:uid="{BE8716A3-43C3-481D-94CC-DFB35404E59A}"/>
    <cellStyle name="Normal 2 4 2 4 7 4" xfId="10549" xr:uid="{7F459234-F3E0-431E-9172-745640323AC8}"/>
    <cellStyle name="Normal 2 4 2 4 8" xfId="2466" xr:uid="{00000000-0005-0000-0000-0000820F0000}"/>
    <cellStyle name="Normal 2 4 2 4 8 2" xfId="6751" xr:uid="{00000000-0005-0000-0000-0000830F0000}"/>
    <cellStyle name="Normal 2 4 2 4 8 2 2" xfId="15180" xr:uid="{73284772-9A8A-4DE3-8238-499851E0732E}"/>
    <cellStyle name="Normal 2 4 2 4 8 3" xfId="10962" xr:uid="{3BEE27A0-0E8A-4516-A7CD-2A0A4DFCDABD}"/>
    <cellStyle name="Normal 2 4 2 4 9" xfId="4685" xr:uid="{00000000-0005-0000-0000-0000840F0000}"/>
    <cellStyle name="Normal 2 4 2 4 9 2" xfId="13114" xr:uid="{6B3D5018-0FC2-480D-A3B4-0C9E0F061876}"/>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2 2" xfId="15678" xr:uid="{D68F3BE5-418B-4646-AFA4-F104679D5BF1}"/>
    <cellStyle name="Normal 2 4 2 5 2 2 2 3" xfId="11460" xr:uid="{6898BE37-C10C-4032-9562-7533892368E1}"/>
    <cellStyle name="Normal 2 4 2 5 2 2 3" xfId="5104" xr:uid="{00000000-0005-0000-0000-00008A0F0000}"/>
    <cellStyle name="Normal 2 4 2 5 2 2 3 2" xfId="13533" xr:uid="{30A31996-2348-4189-8BB9-C2C1773D70F6}"/>
    <cellStyle name="Normal 2 4 2 5 2 2 4" xfId="9315" xr:uid="{6FB1F317-8A36-4F4F-A8A8-BFA2FBFDC243}"/>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2 2" xfId="16091" xr:uid="{CDB514D5-70C1-43F8-B9CB-E74D51A17E7F}"/>
    <cellStyle name="Normal 2 4 2 5 2 3 2 3" xfId="11873" xr:uid="{FC44D092-4A00-467D-A36A-30E4D7937BFF}"/>
    <cellStyle name="Normal 2 4 2 5 2 3 3" xfId="5517" xr:uid="{00000000-0005-0000-0000-00008E0F0000}"/>
    <cellStyle name="Normal 2 4 2 5 2 3 3 2" xfId="13946" xr:uid="{EEDA0A64-C684-4000-B966-2F6D913EEDB8}"/>
    <cellStyle name="Normal 2 4 2 5 2 3 4" xfId="9728" xr:uid="{4F529D15-E49D-4194-9D2B-6916943761AE}"/>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2 2" xfId="16504" xr:uid="{A3A898A3-C834-454F-BC97-F6F5D3781C3C}"/>
    <cellStyle name="Normal 2 4 2 5 2 4 2 3" xfId="12286" xr:uid="{AEFEA593-5ECD-4CFD-9237-90C51CBFDD1E}"/>
    <cellStyle name="Normal 2 4 2 5 2 4 3" xfId="5930" xr:uid="{00000000-0005-0000-0000-0000920F0000}"/>
    <cellStyle name="Normal 2 4 2 5 2 4 3 2" xfId="14359" xr:uid="{69DBD3DD-59C1-49E7-A679-72F92DDE01BF}"/>
    <cellStyle name="Normal 2 4 2 5 2 4 4" xfId="10141" xr:uid="{C313AF6C-93EB-458C-B31A-456A48251969}"/>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2 2" xfId="16917" xr:uid="{39CA2A1D-210E-4958-859C-0D0F8B526C39}"/>
    <cellStyle name="Normal 2 4 2 5 2 5 2 3" xfId="12699" xr:uid="{03AF6734-8281-4231-9558-D4B1DF6D764B}"/>
    <cellStyle name="Normal 2 4 2 5 2 5 3" xfId="6343" xr:uid="{00000000-0005-0000-0000-0000960F0000}"/>
    <cellStyle name="Normal 2 4 2 5 2 5 3 2" xfId="14772" xr:uid="{BFDF1D72-6801-47BB-904B-47F6DF52A564}"/>
    <cellStyle name="Normal 2 4 2 5 2 5 4" xfId="10554" xr:uid="{9508C7F6-4DCA-45A6-9746-729DBF758CC3}"/>
    <cellStyle name="Normal 2 4 2 5 2 6" xfId="2471" xr:uid="{00000000-0005-0000-0000-0000970F0000}"/>
    <cellStyle name="Normal 2 4 2 5 2 6 2" xfId="6756" xr:uid="{00000000-0005-0000-0000-0000980F0000}"/>
    <cellStyle name="Normal 2 4 2 5 2 6 2 2" xfId="15185" xr:uid="{BB808DEE-57E9-4F53-BA95-9F25E75EAAB6}"/>
    <cellStyle name="Normal 2 4 2 5 2 6 3" xfId="10967" xr:uid="{C79761CD-7F36-4444-87EC-2537CA9FADCD}"/>
    <cellStyle name="Normal 2 4 2 5 2 7" xfId="4690" xr:uid="{00000000-0005-0000-0000-0000990F0000}"/>
    <cellStyle name="Normal 2 4 2 5 2 7 2" xfId="13119" xr:uid="{FBB30BC1-5378-4E78-9F64-6C8A211D224A}"/>
    <cellStyle name="Normal 2 4 2 5 2 8" xfId="8901" xr:uid="{74A73602-96CA-47F3-A09F-35851C08A175}"/>
    <cellStyle name="Normal 2 4 2 5 3" xfId="785" xr:uid="{00000000-0005-0000-0000-00009A0F0000}"/>
    <cellStyle name="Normal 2 4 2 5 3 2" xfId="3024" xr:uid="{00000000-0005-0000-0000-00009B0F0000}"/>
    <cellStyle name="Normal 2 4 2 5 3 2 2" xfId="7248" xr:uid="{00000000-0005-0000-0000-00009C0F0000}"/>
    <cellStyle name="Normal 2 4 2 5 3 2 2 2" xfId="15677" xr:uid="{D22FBCFC-A90F-4A33-8C83-CF2C62679EC5}"/>
    <cellStyle name="Normal 2 4 2 5 3 2 3" xfId="11459" xr:uid="{5D7EF9DA-5C74-443D-83BA-32F6C59FDDD0}"/>
    <cellStyle name="Normal 2 4 2 5 3 3" xfId="5103" xr:uid="{00000000-0005-0000-0000-00009D0F0000}"/>
    <cellStyle name="Normal 2 4 2 5 3 3 2" xfId="13532" xr:uid="{091760CF-AE63-4A74-A7D2-EEF56307E48A}"/>
    <cellStyle name="Normal 2 4 2 5 3 4" xfId="9314" xr:uid="{6E73E7D1-43B9-4BDE-89FE-7541707E28B5}"/>
    <cellStyle name="Normal 2 4 2 5 4" xfId="1207" xr:uid="{00000000-0005-0000-0000-00009E0F0000}"/>
    <cellStyle name="Normal 2 4 2 5 4 2" xfId="3437" xr:uid="{00000000-0005-0000-0000-00009F0F0000}"/>
    <cellStyle name="Normal 2 4 2 5 4 2 2" xfId="7661" xr:uid="{00000000-0005-0000-0000-0000A00F0000}"/>
    <cellStyle name="Normal 2 4 2 5 4 2 2 2" xfId="16090" xr:uid="{13DB655C-2D9B-4832-8511-196A23242C3B}"/>
    <cellStyle name="Normal 2 4 2 5 4 2 3" xfId="11872" xr:uid="{F66A0D25-5F03-4CF2-B015-095A2D093DEE}"/>
    <cellStyle name="Normal 2 4 2 5 4 3" xfId="5516" xr:uid="{00000000-0005-0000-0000-0000A10F0000}"/>
    <cellStyle name="Normal 2 4 2 5 4 3 2" xfId="13945" xr:uid="{604A0D49-0E4F-4F03-883D-9BE4D325897F}"/>
    <cellStyle name="Normal 2 4 2 5 4 4" xfId="9727" xr:uid="{FA95DE88-0A25-425E-8775-5FDE0F414C27}"/>
    <cellStyle name="Normal 2 4 2 5 5" xfId="1620" xr:uid="{00000000-0005-0000-0000-0000A20F0000}"/>
    <cellStyle name="Normal 2 4 2 5 5 2" xfId="3850" xr:uid="{00000000-0005-0000-0000-0000A30F0000}"/>
    <cellStyle name="Normal 2 4 2 5 5 2 2" xfId="8074" xr:uid="{00000000-0005-0000-0000-0000A40F0000}"/>
    <cellStyle name="Normal 2 4 2 5 5 2 2 2" xfId="16503" xr:uid="{5AC395FF-452D-4BB1-AE55-9E917C210C26}"/>
    <cellStyle name="Normal 2 4 2 5 5 2 3" xfId="12285" xr:uid="{9AEB796B-2B25-45E4-9BC0-2695A1587F56}"/>
    <cellStyle name="Normal 2 4 2 5 5 3" xfId="5929" xr:uid="{00000000-0005-0000-0000-0000A50F0000}"/>
    <cellStyle name="Normal 2 4 2 5 5 3 2" xfId="14358" xr:uid="{DA3E1CF3-EDC3-4253-943E-DCB31E99DA6B}"/>
    <cellStyle name="Normal 2 4 2 5 5 4" xfId="10140" xr:uid="{51984D2B-43E6-48F3-92BD-2976ED195A8F}"/>
    <cellStyle name="Normal 2 4 2 5 6" xfId="2034" xr:uid="{00000000-0005-0000-0000-0000A60F0000}"/>
    <cellStyle name="Normal 2 4 2 5 6 2" xfId="4263" xr:uid="{00000000-0005-0000-0000-0000A70F0000}"/>
    <cellStyle name="Normal 2 4 2 5 6 2 2" xfId="8487" xr:uid="{00000000-0005-0000-0000-0000A80F0000}"/>
    <cellStyle name="Normal 2 4 2 5 6 2 2 2" xfId="16916" xr:uid="{E15E7786-BFFA-4286-89BA-99E5D69C9A49}"/>
    <cellStyle name="Normal 2 4 2 5 6 2 3" xfId="12698" xr:uid="{E8AFEBE0-F984-43B3-B71E-D6D595939618}"/>
    <cellStyle name="Normal 2 4 2 5 6 3" xfId="6342" xr:uid="{00000000-0005-0000-0000-0000A90F0000}"/>
    <cellStyle name="Normal 2 4 2 5 6 3 2" xfId="14771" xr:uid="{06731712-49D3-4557-88DD-A9B25EE18FED}"/>
    <cellStyle name="Normal 2 4 2 5 6 4" xfId="10553" xr:uid="{51DA01AB-048E-4DAC-91B6-4F3BE735F22C}"/>
    <cellStyle name="Normal 2 4 2 5 7" xfId="2470" xr:uid="{00000000-0005-0000-0000-0000AA0F0000}"/>
    <cellStyle name="Normal 2 4 2 5 7 2" xfId="6755" xr:uid="{00000000-0005-0000-0000-0000AB0F0000}"/>
    <cellStyle name="Normal 2 4 2 5 7 2 2" xfId="15184" xr:uid="{A9DD27E9-7AC7-4F09-A61C-3E7FBACB31D9}"/>
    <cellStyle name="Normal 2 4 2 5 7 3" xfId="10966" xr:uid="{AAD89D90-DE68-4B99-A91C-D068E8E77308}"/>
    <cellStyle name="Normal 2 4 2 5 8" xfId="4689" xr:uid="{00000000-0005-0000-0000-0000AC0F0000}"/>
    <cellStyle name="Normal 2 4 2 5 8 2" xfId="13118" xr:uid="{1194B91D-43A8-4954-B532-F8E0F9B300BF}"/>
    <cellStyle name="Normal 2 4 2 5 9" xfId="8900" xr:uid="{D39DE15A-CBB8-47AC-BD36-D7A28622CBBA}"/>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2 2" xfId="15679" xr:uid="{03207BF6-189E-49B9-A8F9-4BBB87820C4A}"/>
    <cellStyle name="Normal 2 4 2 6 2 2 3" xfId="11461" xr:uid="{475FC011-AB22-4E4B-960E-F7103E37734A}"/>
    <cellStyle name="Normal 2 4 2 6 2 3" xfId="5105" xr:uid="{00000000-0005-0000-0000-0000B10F0000}"/>
    <cellStyle name="Normal 2 4 2 6 2 3 2" xfId="13534" xr:uid="{6EDD8B69-01EE-4DAE-A5CE-2E5A01E6AEC3}"/>
    <cellStyle name="Normal 2 4 2 6 2 4" xfId="9316" xr:uid="{A54D33DF-F171-4490-BC34-8EF887987801}"/>
    <cellStyle name="Normal 2 4 2 6 3" xfId="1209" xr:uid="{00000000-0005-0000-0000-0000B20F0000}"/>
    <cellStyle name="Normal 2 4 2 6 3 2" xfId="3439" xr:uid="{00000000-0005-0000-0000-0000B30F0000}"/>
    <cellStyle name="Normal 2 4 2 6 3 2 2" xfId="7663" xr:uid="{00000000-0005-0000-0000-0000B40F0000}"/>
    <cellStyle name="Normal 2 4 2 6 3 2 2 2" xfId="16092" xr:uid="{69FD41C8-D427-46BF-974E-C1A24305DEC2}"/>
    <cellStyle name="Normal 2 4 2 6 3 2 3" xfId="11874" xr:uid="{C5B5EAD0-6A2E-4916-A2A5-554CF94A1021}"/>
    <cellStyle name="Normal 2 4 2 6 3 3" xfId="5518" xr:uid="{00000000-0005-0000-0000-0000B50F0000}"/>
    <cellStyle name="Normal 2 4 2 6 3 3 2" xfId="13947" xr:uid="{32A78C23-D6A3-4218-A5DE-A4D45E5F51FB}"/>
    <cellStyle name="Normal 2 4 2 6 3 4" xfId="9729" xr:uid="{0E576893-657E-4A2F-9BAB-7AAEF0975036}"/>
    <cellStyle name="Normal 2 4 2 6 4" xfId="1622" xr:uid="{00000000-0005-0000-0000-0000B60F0000}"/>
    <cellStyle name="Normal 2 4 2 6 4 2" xfId="3852" xr:uid="{00000000-0005-0000-0000-0000B70F0000}"/>
    <cellStyle name="Normal 2 4 2 6 4 2 2" xfId="8076" xr:uid="{00000000-0005-0000-0000-0000B80F0000}"/>
    <cellStyle name="Normal 2 4 2 6 4 2 2 2" xfId="16505" xr:uid="{3CD480BC-5B49-4FDA-AD0C-1C218A9BF3B8}"/>
    <cellStyle name="Normal 2 4 2 6 4 2 3" xfId="12287" xr:uid="{9A1AAD75-F486-429D-A36D-000D5B642969}"/>
    <cellStyle name="Normal 2 4 2 6 4 3" xfId="5931" xr:uid="{00000000-0005-0000-0000-0000B90F0000}"/>
    <cellStyle name="Normal 2 4 2 6 4 3 2" xfId="14360" xr:uid="{B5A64DD7-8291-4FBC-9540-3891D4E3EE6D}"/>
    <cellStyle name="Normal 2 4 2 6 4 4" xfId="10142" xr:uid="{15844021-7114-43FC-83C0-A709D1897901}"/>
    <cellStyle name="Normal 2 4 2 6 5" xfId="2036" xr:uid="{00000000-0005-0000-0000-0000BA0F0000}"/>
    <cellStyle name="Normal 2 4 2 6 5 2" xfId="4265" xr:uid="{00000000-0005-0000-0000-0000BB0F0000}"/>
    <cellStyle name="Normal 2 4 2 6 5 2 2" xfId="8489" xr:uid="{00000000-0005-0000-0000-0000BC0F0000}"/>
    <cellStyle name="Normal 2 4 2 6 5 2 2 2" xfId="16918" xr:uid="{9ACA1670-0B23-45E3-9BA6-02065D637380}"/>
    <cellStyle name="Normal 2 4 2 6 5 2 3" xfId="12700" xr:uid="{0A314544-6F26-42F5-8E03-D307486CBF46}"/>
    <cellStyle name="Normal 2 4 2 6 5 3" xfId="6344" xr:uid="{00000000-0005-0000-0000-0000BD0F0000}"/>
    <cellStyle name="Normal 2 4 2 6 5 3 2" xfId="14773" xr:uid="{60770E43-4DA7-4550-A8B0-B7FA2B541448}"/>
    <cellStyle name="Normal 2 4 2 6 5 4" xfId="10555" xr:uid="{C0057885-9ECA-4E0C-B778-382EEFB9F769}"/>
    <cellStyle name="Normal 2 4 2 6 6" xfId="2472" xr:uid="{00000000-0005-0000-0000-0000BE0F0000}"/>
    <cellStyle name="Normal 2 4 2 6 6 2" xfId="6757" xr:uid="{00000000-0005-0000-0000-0000BF0F0000}"/>
    <cellStyle name="Normal 2 4 2 6 6 2 2" xfId="15186" xr:uid="{536B9067-3503-4F57-B24D-6C278DD72F1A}"/>
    <cellStyle name="Normal 2 4 2 6 6 3" xfId="10968" xr:uid="{E2F4EF72-6E2E-4CB0-B91B-60E74FE2514C}"/>
    <cellStyle name="Normal 2 4 2 6 7" xfId="4691" xr:uid="{00000000-0005-0000-0000-0000C00F0000}"/>
    <cellStyle name="Normal 2 4 2 6 7 2" xfId="13120" xr:uid="{F239BCE7-57BE-4B71-AF9A-51A6C1722ADF}"/>
    <cellStyle name="Normal 2 4 2 6 8" xfId="8902" xr:uid="{95B693CE-A478-4374-A7F3-17107AE33AED}"/>
    <cellStyle name="Normal 2 4 2 7" xfId="772" xr:uid="{00000000-0005-0000-0000-0000C10F0000}"/>
    <cellStyle name="Normal 2 4 2 7 2" xfId="3011" xr:uid="{00000000-0005-0000-0000-0000C20F0000}"/>
    <cellStyle name="Normal 2 4 2 7 2 2" xfId="7235" xr:uid="{00000000-0005-0000-0000-0000C30F0000}"/>
    <cellStyle name="Normal 2 4 2 7 2 2 2" xfId="15664" xr:uid="{2A786634-C82D-49FB-BDAB-0EF6D23F6F49}"/>
    <cellStyle name="Normal 2 4 2 7 2 3" xfId="11446" xr:uid="{93D92CCC-8428-4CD7-8320-22A858D728A9}"/>
    <cellStyle name="Normal 2 4 2 7 3" xfId="5090" xr:uid="{00000000-0005-0000-0000-0000C40F0000}"/>
    <cellStyle name="Normal 2 4 2 7 3 2" xfId="13519" xr:uid="{890430B8-87E3-43E6-9180-FCE3951B0630}"/>
    <cellStyle name="Normal 2 4 2 7 4" xfId="9301" xr:uid="{A8562FD0-A88B-44E7-945A-1BF5F6263DC8}"/>
    <cellStyle name="Normal 2 4 2 8" xfId="1194" xr:uid="{00000000-0005-0000-0000-0000C50F0000}"/>
    <cellStyle name="Normal 2 4 2 8 2" xfId="3424" xr:uid="{00000000-0005-0000-0000-0000C60F0000}"/>
    <cellStyle name="Normal 2 4 2 8 2 2" xfId="7648" xr:uid="{00000000-0005-0000-0000-0000C70F0000}"/>
    <cellStyle name="Normal 2 4 2 8 2 2 2" xfId="16077" xr:uid="{D2B9D7D3-1B00-4D28-B26C-20AB208CAD6F}"/>
    <cellStyle name="Normal 2 4 2 8 2 3" xfId="11859" xr:uid="{F587974C-957E-441E-8006-F8E4477A3C1D}"/>
    <cellStyle name="Normal 2 4 2 8 3" xfId="5503" xr:uid="{00000000-0005-0000-0000-0000C80F0000}"/>
    <cellStyle name="Normal 2 4 2 8 3 2" xfId="13932" xr:uid="{F0E905FF-004D-4EBB-B1E4-ACB2A6325DE5}"/>
    <cellStyle name="Normal 2 4 2 8 4" xfId="9714" xr:uid="{BBD8123E-CEA5-49E8-9084-FA7F7C99BD10}"/>
    <cellStyle name="Normal 2 4 2 9" xfId="1607" xr:uid="{00000000-0005-0000-0000-0000C90F0000}"/>
    <cellStyle name="Normal 2 4 2 9 2" xfId="3837" xr:uid="{00000000-0005-0000-0000-0000CA0F0000}"/>
    <cellStyle name="Normal 2 4 2 9 2 2" xfId="8061" xr:uid="{00000000-0005-0000-0000-0000CB0F0000}"/>
    <cellStyle name="Normal 2 4 2 9 2 2 2" xfId="16490" xr:uid="{F2821F60-0199-4CA2-90E8-B678F4608A43}"/>
    <cellStyle name="Normal 2 4 2 9 2 3" xfId="12272" xr:uid="{19B406F0-73E3-419A-87E4-B09D7649C35D}"/>
    <cellStyle name="Normal 2 4 2 9 3" xfId="5916" xr:uid="{00000000-0005-0000-0000-0000CC0F0000}"/>
    <cellStyle name="Normal 2 4 2 9 3 2" xfId="14345" xr:uid="{1D37B46A-3B4F-46E5-860F-43DAF5D0766C}"/>
    <cellStyle name="Normal 2 4 2 9 4" xfId="10127" xr:uid="{69502828-8BDB-47F6-91B9-54E26BBA05F7}"/>
    <cellStyle name="Normal 2 4 3" xfId="296" xr:uid="{00000000-0005-0000-0000-0000CD0F0000}"/>
    <cellStyle name="Normal 2 4 3 10" xfId="8903" xr:uid="{735B3266-FD55-4360-B148-EDA375006609}"/>
    <cellStyle name="Normal 2 4 3 2" xfId="297" xr:uid="{00000000-0005-0000-0000-0000CE0F0000}"/>
    <cellStyle name="Normal 2 4 3 3" xfId="298" xr:uid="{00000000-0005-0000-0000-0000CF0F0000}"/>
    <cellStyle name="Normal 2 4 3 3 10" xfId="8904" xr:uid="{7EBFDE47-2819-4B28-9DE9-A710324423C8}"/>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2 2" xfId="15683" xr:uid="{D678DF8D-C961-4D9D-83C6-3B6C9B254DC4}"/>
    <cellStyle name="Normal 2 4 3 3 2 2 2 2 3" xfId="11465" xr:uid="{AFAE27AB-3E67-4BF4-8741-61753116409D}"/>
    <cellStyle name="Normal 2 4 3 3 2 2 2 3" xfId="5109" xr:uid="{00000000-0005-0000-0000-0000D50F0000}"/>
    <cellStyle name="Normal 2 4 3 3 2 2 2 3 2" xfId="13538" xr:uid="{4F164780-F3F1-4718-B50F-1BA70DBBAB4D}"/>
    <cellStyle name="Normal 2 4 3 3 2 2 2 4" xfId="9320" xr:uid="{870A6F34-D5F1-4DA8-A873-111D70C45067}"/>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2 2" xfId="16096" xr:uid="{DD45F467-78F2-4FD5-B4CE-8F85B142B046}"/>
    <cellStyle name="Normal 2 4 3 3 2 2 3 2 3" xfId="11878" xr:uid="{7DDC029E-AD4F-4A8A-A708-C30B9D0CB381}"/>
    <cellStyle name="Normal 2 4 3 3 2 2 3 3" xfId="5522" xr:uid="{00000000-0005-0000-0000-0000D90F0000}"/>
    <cellStyle name="Normal 2 4 3 3 2 2 3 3 2" xfId="13951" xr:uid="{CB6D0794-90E8-4FD4-8CDD-A2868CA80809}"/>
    <cellStyle name="Normal 2 4 3 3 2 2 3 4" xfId="9733" xr:uid="{7F8E934A-A27B-4ED0-ADF1-4B4A9F43A839}"/>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2 2" xfId="16509" xr:uid="{687CF1A8-A715-4264-ACAF-AE1277E0B2BF}"/>
    <cellStyle name="Normal 2 4 3 3 2 2 4 2 3" xfId="12291" xr:uid="{21DF202F-17A8-4609-A08D-D24F4C7C3B5D}"/>
    <cellStyle name="Normal 2 4 3 3 2 2 4 3" xfId="5935" xr:uid="{00000000-0005-0000-0000-0000DD0F0000}"/>
    <cellStyle name="Normal 2 4 3 3 2 2 4 3 2" xfId="14364" xr:uid="{204CC6B0-15D4-4216-B118-A791C0C3C0AE}"/>
    <cellStyle name="Normal 2 4 3 3 2 2 4 4" xfId="10146" xr:uid="{60BB6994-8EDD-41C7-93EE-AE0A16C8C61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2 2" xfId="16922" xr:uid="{8688EE72-6325-4959-9B0B-6CDEC9F074CA}"/>
    <cellStyle name="Normal 2 4 3 3 2 2 5 2 3" xfId="12704" xr:uid="{8C8F624E-B938-4BAF-8341-3A966B19F606}"/>
    <cellStyle name="Normal 2 4 3 3 2 2 5 3" xfId="6348" xr:uid="{00000000-0005-0000-0000-0000E10F0000}"/>
    <cellStyle name="Normal 2 4 3 3 2 2 5 3 2" xfId="14777" xr:uid="{1F32A4BA-7C3F-483E-ADE7-98A6216111FC}"/>
    <cellStyle name="Normal 2 4 3 3 2 2 5 4" xfId="10559" xr:uid="{40F70D46-BE8C-4147-88CF-100B3F6E5433}"/>
    <cellStyle name="Normal 2 4 3 3 2 2 6" xfId="2476" xr:uid="{00000000-0005-0000-0000-0000E20F0000}"/>
    <cellStyle name="Normal 2 4 3 3 2 2 6 2" xfId="6761" xr:uid="{00000000-0005-0000-0000-0000E30F0000}"/>
    <cellStyle name="Normal 2 4 3 3 2 2 6 2 2" xfId="15190" xr:uid="{6AB61BB4-5166-40E2-84A0-455C2009719C}"/>
    <cellStyle name="Normal 2 4 3 3 2 2 6 3" xfId="10972" xr:uid="{41E5F38B-CB7F-4B95-BEF5-954E4B6E7D45}"/>
    <cellStyle name="Normal 2 4 3 3 2 2 7" xfId="4695" xr:uid="{00000000-0005-0000-0000-0000E40F0000}"/>
    <cellStyle name="Normal 2 4 3 3 2 2 7 2" xfId="13124" xr:uid="{D638E3EE-604F-4D79-A9B6-C73330BBDB62}"/>
    <cellStyle name="Normal 2 4 3 3 2 2 8" xfId="8906" xr:uid="{A0F4BD8E-8E17-41A2-868B-F146F13F298B}"/>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2 2" xfId="15682" xr:uid="{4AB53907-6695-475C-AF24-97B0EA709AFF}"/>
    <cellStyle name="Normal 2 4 3 3 2 3 2 3" xfId="11464" xr:uid="{E089E6C8-398F-4CC9-8355-201F7C85A67D}"/>
    <cellStyle name="Normal 2 4 3 3 2 3 3" xfId="5108" xr:uid="{00000000-0005-0000-0000-0000E80F0000}"/>
    <cellStyle name="Normal 2 4 3 3 2 3 3 2" xfId="13537" xr:uid="{3982129C-A835-48A7-82CA-E9CA799128DA}"/>
    <cellStyle name="Normal 2 4 3 3 2 3 4" xfId="9319" xr:uid="{970CB83D-D477-4C5A-8619-ACFB4257AE7F}"/>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2 2" xfId="16095" xr:uid="{9F4FE2DC-706C-4242-9615-83A259A5F637}"/>
    <cellStyle name="Normal 2 4 3 3 2 4 2 3" xfId="11877" xr:uid="{E1C70831-0F36-47BB-8705-0B204F5EA1D7}"/>
    <cellStyle name="Normal 2 4 3 3 2 4 3" xfId="5521" xr:uid="{00000000-0005-0000-0000-0000EC0F0000}"/>
    <cellStyle name="Normal 2 4 3 3 2 4 3 2" xfId="13950" xr:uid="{C6092C2F-0B91-4299-987E-CCF62DB058FD}"/>
    <cellStyle name="Normal 2 4 3 3 2 4 4" xfId="9732" xr:uid="{0A85801C-BE91-4EC6-8BB4-626E405DEB7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2 2" xfId="16508" xr:uid="{5B08BDD0-8878-49B8-BCDD-3D011D03F9DC}"/>
    <cellStyle name="Normal 2 4 3 3 2 5 2 3" xfId="12290" xr:uid="{17102375-EAC4-4ADF-A127-8F0009ECB349}"/>
    <cellStyle name="Normal 2 4 3 3 2 5 3" xfId="5934" xr:uid="{00000000-0005-0000-0000-0000F00F0000}"/>
    <cellStyle name="Normal 2 4 3 3 2 5 3 2" xfId="14363" xr:uid="{071EA036-0B3B-469D-8F69-9BEC9DC321DD}"/>
    <cellStyle name="Normal 2 4 3 3 2 5 4" xfId="10145" xr:uid="{7F5B1C60-E53F-48D0-9184-D3B28EFE7B3E}"/>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2 2" xfId="16921" xr:uid="{63A44E7B-1821-412D-BCBC-AA3F47B6A5A5}"/>
    <cellStyle name="Normal 2 4 3 3 2 6 2 3" xfId="12703" xr:uid="{9F77E128-920F-45E0-899B-7C55E0CCF0E5}"/>
    <cellStyle name="Normal 2 4 3 3 2 6 3" xfId="6347" xr:uid="{00000000-0005-0000-0000-0000F40F0000}"/>
    <cellStyle name="Normal 2 4 3 3 2 6 3 2" xfId="14776" xr:uid="{539E2E07-CECB-458B-B9F0-EDA26BF74B89}"/>
    <cellStyle name="Normal 2 4 3 3 2 6 4" xfId="10558" xr:uid="{12442EA6-B6C9-43E5-84EB-553C52308B0D}"/>
    <cellStyle name="Normal 2 4 3 3 2 7" xfId="2475" xr:uid="{00000000-0005-0000-0000-0000F50F0000}"/>
    <cellStyle name="Normal 2 4 3 3 2 7 2" xfId="6760" xr:uid="{00000000-0005-0000-0000-0000F60F0000}"/>
    <cellStyle name="Normal 2 4 3 3 2 7 2 2" xfId="15189" xr:uid="{A61AE4D0-29BD-4173-8A5A-40C3CEAD990B}"/>
    <cellStyle name="Normal 2 4 3 3 2 7 3" xfId="10971" xr:uid="{F415A3E8-2238-4AB8-A53E-ECEDBDBEDEF0}"/>
    <cellStyle name="Normal 2 4 3 3 2 8" xfId="4694" xr:uid="{00000000-0005-0000-0000-0000F70F0000}"/>
    <cellStyle name="Normal 2 4 3 3 2 8 2" xfId="13123" xr:uid="{7FC8E1D5-07CD-4D34-B923-70A653BE3796}"/>
    <cellStyle name="Normal 2 4 3 3 2 9" xfId="8905" xr:uid="{7D661104-4F82-43A3-ABB0-C9452CF724B2}"/>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2 2" xfId="15684" xr:uid="{E19ABE01-D268-43F0-AEA7-5FF029BB54D8}"/>
    <cellStyle name="Normal 2 4 3 3 3 2 2 3" xfId="11466" xr:uid="{056BE4D2-9471-4483-9CAC-EB286325D465}"/>
    <cellStyle name="Normal 2 4 3 3 3 2 3" xfId="5110" xr:uid="{00000000-0005-0000-0000-0000FC0F0000}"/>
    <cellStyle name="Normal 2 4 3 3 3 2 3 2" xfId="13539" xr:uid="{C2806AC3-CF16-4893-8B0E-B62F649DDB3A}"/>
    <cellStyle name="Normal 2 4 3 3 3 2 4" xfId="9321" xr:uid="{69B1B0E1-C63E-427F-BBF6-9C33C57786B7}"/>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2 2" xfId="16097" xr:uid="{DE3F6998-D381-479B-88C4-1C3B0150A6CE}"/>
    <cellStyle name="Normal 2 4 3 3 3 3 2 3" xfId="11879" xr:uid="{DFB06360-4CD0-452C-8D7E-12E3DC5722B1}"/>
    <cellStyle name="Normal 2 4 3 3 3 3 3" xfId="5523" xr:uid="{00000000-0005-0000-0000-000000100000}"/>
    <cellStyle name="Normal 2 4 3 3 3 3 3 2" xfId="13952" xr:uid="{A501067C-D470-4CA3-A8CF-620074B18117}"/>
    <cellStyle name="Normal 2 4 3 3 3 3 4" xfId="9734" xr:uid="{2529C01A-FCB3-46ED-835A-40A6E06D4257}"/>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2 2" xfId="16510" xr:uid="{EDDF727B-3071-4A40-8526-1F05771F221D}"/>
    <cellStyle name="Normal 2 4 3 3 3 4 2 3" xfId="12292" xr:uid="{C4675734-67DD-4C35-9AF4-4AEF7D49A124}"/>
    <cellStyle name="Normal 2 4 3 3 3 4 3" xfId="5936" xr:uid="{00000000-0005-0000-0000-000004100000}"/>
    <cellStyle name="Normal 2 4 3 3 3 4 3 2" xfId="14365" xr:uid="{F201C20C-F590-42E2-8C0F-74534F156774}"/>
    <cellStyle name="Normal 2 4 3 3 3 4 4" xfId="10147" xr:uid="{DDBACADF-9D02-47BE-8B5C-15ADC7DC76ED}"/>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2 2" xfId="16923" xr:uid="{C422FD3D-7A5E-408A-80B3-9D20A3708ACE}"/>
    <cellStyle name="Normal 2 4 3 3 3 5 2 3" xfId="12705" xr:uid="{466D4544-EF5D-401D-B12A-AEDE5D2012B1}"/>
    <cellStyle name="Normal 2 4 3 3 3 5 3" xfId="6349" xr:uid="{00000000-0005-0000-0000-000008100000}"/>
    <cellStyle name="Normal 2 4 3 3 3 5 3 2" xfId="14778" xr:uid="{5DD927CF-3397-4CE4-A833-82F50BC12A52}"/>
    <cellStyle name="Normal 2 4 3 3 3 5 4" xfId="10560" xr:uid="{046ECD79-ADBC-4F18-BCAB-9BF58C8FF3C0}"/>
    <cellStyle name="Normal 2 4 3 3 3 6" xfId="2477" xr:uid="{00000000-0005-0000-0000-000009100000}"/>
    <cellStyle name="Normal 2 4 3 3 3 6 2" xfId="6762" xr:uid="{00000000-0005-0000-0000-00000A100000}"/>
    <cellStyle name="Normal 2 4 3 3 3 6 2 2" xfId="15191" xr:uid="{E05A90F8-5FCB-48B8-A36A-D3ABBA63448F}"/>
    <cellStyle name="Normal 2 4 3 3 3 6 3" xfId="10973" xr:uid="{D3C6C835-8088-41ED-93E9-050D018F7A8F}"/>
    <cellStyle name="Normal 2 4 3 3 3 7" xfId="4696" xr:uid="{00000000-0005-0000-0000-00000B100000}"/>
    <cellStyle name="Normal 2 4 3 3 3 7 2" xfId="13125" xr:uid="{58964AEE-071A-46E7-AD03-068845A04BA0}"/>
    <cellStyle name="Normal 2 4 3 3 3 8" xfId="8907" xr:uid="{DF7BBA82-62D7-4E6E-A5C1-D0F111E53A67}"/>
    <cellStyle name="Normal 2 4 3 3 4" xfId="789" xr:uid="{00000000-0005-0000-0000-00000C100000}"/>
    <cellStyle name="Normal 2 4 3 3 4 2" xfId="3028" xr:uid="{00000000-0005-0000-0000-00000D100000}"/>
    <cellStyle name="Normal 2 4 3 3 4 2 2" xfId="7252" xr:uid="{00000000-0005-0000-0000-00000E100000}"/>
    <cellStyle name="Normal 2 4 3 3 4 2 2 2" xfId="15681" xr:uid="{242D8DFA-AE15-4DE9-8A7B-8174556957E2}"/>
    <cellStyle name="Normal 2 4 3 3 4 2 3" xfId="11463" xr:uid="{AA343C59-255D-4A35-AE2B-9C4D3E4384DE}"/>
    <cellStyle name="Normal 2 4 3 3 4 3" xfId="5107" xr:uid="{00000000-0005-0000-0000-00000F100000}"/>
    <cellStyle name="Normal 2 4 3 3 4 3 2" xfId="13536" xr:uid="{F6684CBF-A949-4966-A80E-62D660BF8FC2}"/>
    <cellStyle name="Normal 2 4 3 3 4 4" xfId="9318" xr:uid="{2077EE45-D6ED-48D6-A6AA-019F9BE7E977}"/>
    <cellStyle name="Normal 2 4 3 3 5" xfId="1211" xr:uid="{00000000-0005-0000-0000-000010100000}"/>
    <cellStyle name="Normal 2 4 3 3 5 2" xfId="3441" xr:uid="{00000000-0005-0000-0000-000011100000}"/>
    <cellStyle name="Normal 2 4 3 3 5 2 2" xfId="7665" xr:uid="{00000000-0005-0000-0000-000012100000}"/>
    <cellStyle name="Normal 2 4 3 3 5 2 2 2" xfId="16094" xr:uid="{77491B45-9EA4-4539-BFAA-EA3CF03D3A49}"/>
    <cellStyle name="Normal 2 4 3 3 5 2 3" xfId="11876" xr:uid="{D6CFBC5D-BEC3-444D-ABEB-38F2BD57099E}"/>
    <cellStyle name="Normal 2 4 3 3 5 3" xfId="5520" xr:uid="{00000000-0005-0000-0000-000013100000}"/>
    <cellStyle name="Normal 2 4 3 3 5 3 2" xfId="13949" xr:uid="{B5386124-4890-43AD-A8F1-5F7E4D5DE9F7}"/>
    <cellStyle name="Normal 2 4 3 3 5 4" xfId="9731" xr:uid="{D7D07A3B-BFF4-4B68-A5D2-6B3896995194}"/>
    <cellStyle name="Normal 2 4 3 3 6" xfId="1624" xr:uid="{00000000-0005-0000-0000-000014100000}"/>
    <cellStyle name="Normal 2 4 3 3 6 2" xfId="3854" xr:uid="{00000000-0005-0000-0000-000015100000}"/>
    <cellStyle name="Normal 2 4 3 3 6 2 2" xfId="8078" xr:uid="{00000000-0005-0000-0000-000016100000}"/>
    <cellStyle name="Normal 2 4 3 3 6 2 2 2" xfId="16507" xr:uid="{1277BFC6-CE44-4F62-AAA6-34D27CB2FF36}"/>
    <cellStyle name="Normal 2 4 3 3 6 2 3" xfId="12289" xr:uid="{4D73CC26-C0A5-4158-8039-B0EF262B478D}"/>
    <cellStyle name="Normal 2 4 3 3 6 3" xfId="5933" xr:uid="{00000000-0005-0000-0000-000017100000}"/>
    <cellStyle name="Normal 2 4 3 3 6 3 2" xfId="14362" xr:uid="{7C20DC49-65EE-44D9-90B0-0950BFD21A82}"/>
    <cellStyle name="Normal 2 4 3 3 6 4" xfId="10144" xr:uid="{7317C2FE-01EE-4A3B-B4A3-C47AAE18AE67}"/>
    <cellStyle name="Normal 2 4 3 3 7" xfId="2038" xr:uid="{00000000-0005-0000-0000-000018100000}"/>
    <cellStyle name="Normal 2 4 3 3 7 2" xfId="4267" xr:uid="{00000000-0005-0000-0000-000019100000}"/>
    <cellStyle name="Normal 2 4 3 3 7 2 2" xfId="8491" xr:uid="{00000000-0005-0000-0000-00001A100000}"/>
    <cellStyle name="Normal 2 4 3 3 7 2 2 2" xfId="16920" xr:uid="{9D2B5387-FB8A-4890-B597-53C1529E3DAF}"/>
    <cellStyle name="Normal 2 4 3 3 7 2 3" xfId="12702" xr:uid="{6E134AB1-ABA9-4FBE-B440-AD2427C3178F}"/>
    <cellStyle name="Normal 2 4 3 3 7 3" xfId="6346" xr:uid="{00000000-0005-0000-0000-00001B100000}"/>
    <cellStyle name="Normal 2 4 3 3 7 3 2" xfId="14775" xr:uid="{1546921D-ACD1-4CD3-988E-FE2D9961A4BE}"/>
    <cellStyle name="Normal 2 4 3 3 7 4" xfId="10557" xr:uid="{E90744B7-3F96-499A-A570-CC010CC68380}"/>
    <cellStyle name="Normal 2 4 3 3 8" xfId="2474" xr:uid="{00000000-0005-0000-0000-00001C100000}"/>
    <cellStyle name="Normal 2 4 3 3 8 2" xfId="6759" xr:uid="{00000000-0005-0000-0000-00001D100000}"/>
    <cellStyle name="Normal 2 4 3 3 8 2 2" xfId="15188" xr:uid="{47044197-FC48-4420-B81D-59D224E71BB2}"/>
    <cellStyle name="Normal 2 4 3 3 8 3" xfId="10970" xr:uid="{53C2A501-9DFC-49E5-A008-C2C62D6B2808}"/>
    <cellStyle name="Normal 2 4 3 3 9" xfId="4693" xr:uid="{00000000-0005-0000-0000-00001E100000}"/>
    <cellStyle name="Normal 2 4 3 3 9 2" xfId="13122" xr:uid="{256DB2CD-F2B9-4B75-BFD9-6BD9B5A27FE5}"/>
    <cellStyle name="Normal 2 4 3 4" xfId="788" xr:uid="{00000000-0005-0000-0000-00001F100000}"/>
    <cellStyle name="Normal 2 4 3 4 2" xfId="3027" xr:uid="{00000000-0005-0000-0000-000020100000}"/>
    <cellStyle name="Normal 2 4 3 4 2 2" xfId="7251" xr:uid="{00000000-0005-0000-0000-000021100000}"/>
    <cellStyle name="Normal 2 4 3 4 2 2 2" xfId="15680" xr:uid="{91B5F494-2F29-4CFD-81CA-C730C569F17E}"/>
    <cellStyle name="Normal 2 4 3 4 2 3" xfId="11462" xr:uid="{3DBC9DCA-1778-48CC-A366-0E47BD90B5C8}"/>
    <cellStyle name="Normal 2 4 3 4 3" xfId="5106" xr:uid="{00000000-0005-0000-0000-000022100000}"/>
    <cellStyle name="Normal 2 4 3 4 3 2" xfId="13535" xr:uid="{1A7666D0-37CF-4EBD-B7CC-DD50C6B5B541}"/>
    <cellStyle name="Normal 2 4 3 4 4" xfId="9317" xr:uid="{822883CB-D327-4508-A16B-9EBE74F1BA2C}"/>
    <cellStyle name="Normal 2 4 3 5" xfId="1210" xr:uid="{00000000-0005-0000-0000-000023100000}"/>
    <cellStyle name="Normal 2 4 3 5 2" xfId="3440" xr:uid="{00000000-0005-0000-0000-000024100000}"/>
    <cellStyle name="Normal 2 4 3 5 2 2" xfId="7664" xr:uid="{00000000-0005-0000-0000-000025100000}"/>
    <cellStyle name="Normal 2 4 3 5 2 2 2" xfId="16093" xr:uid="{D0F588BB-B11A-4EAE-B4CC-272E1FFD5216}"/>
    <cellStyle name="Normal 2 4 3 5 2 3" xfId="11875" xr:uid="{84CFD669-BF7E-4A3D-8B20-787D0FBDAA12}"/>
    <cellStyle name="Normal 2 4 3 5 3" xfId="5519" xr:uid="{00000000-0005-0000-0000-000026100000}"/>
    <cellStyle name="Normal 2 4 3 5 3 2" xfId="13948" xr:uid="{B12CB60D-56F0-49ED-BA25-FE20FB7FDAF8}"/>
    <cellStyle name="Normal 2 4 3 5 4" xfId="9730" xr:uid="{C076FBF3-6908-449B-A243-A7C7AD2CCF94}"/>
    <cellStyle name="Normal 2 4 3 6" xfId="1623" xr:uid="{00000000-0005-0000-0000-000027100000}"/>
    <cellStyle name="Normal 2 4 3 6 2" xfId="3853" xr:uid="{00000000-0005-0000-0000-000028100000}"/>
    <cellStyle name="Normal 2 4 3 6 2 2" xfId="8077" xr:uid="{00000000-0005-0000-0000-000029100000}"/>
    <cellStyle name="Normal 2 4 3 6 2 2 2" xfId="16506" xr:uid="{7D32E001-92DB-439D-B7EB-76DA3D048840}"/>
    <cellStyle name="Normal 2 4 3 6 2 3" xfId="12288" xr:uid="{B8FB6831-C588-4BDE-903C-F7D0AE6F50CA}"/>
    <cellStyle name="Normal 2 4 3 6 3" xfId="5932" xr:uid="{00000000-0005-0000-0000-00002A100000}"/>
    <cellStyle name="Normal 2 4 3 6 3 2" xfId="14361" xr:uid="{2D6AB111-1D0B-4130-A0C1-F677535DCA3A}"/>
    <cellStyle name="Normal 2 4 3 6 4" xfId="10143" xr:uid="{C78B2AED-B47E-4CA2-8259-6C3CAA22240A}"/>
    <cellStyle name="Normal 2 4 3 7" xfId="2037" xr:uid="{00000000-0005-0000-0000-00002B100000}"/>
    <cellStyle name="Normal 2 4 3 7 2" xfId="4266" xr:uid="{00000000-0005-0000-0000-00002C100000}"/>
    <cellStyle name="Normal 2 4 3 7 2 2" xfId="8490" xr:uid="{00000000-0005-0000-0000-00002D100000}"/>
    <cellStyle name="Normal 2 4 3 7 2 2 2" xfId="16919" xr:uid="{8E5F5457-D3DF-4275-B861-4FC818FF8EDB}"/>
    <cellStyle name="Normal 2 4 3 7 2 3" xfId="12701" xr:uid="{BA3DC0DB-9E65-4AAA-867D-FEEAFA345AD5}"/>
    <cellStyle name="Normal 2 4 3 7 3" xfId="6345" xr:uid="{00000000-0005-0000-0000-00002E100000}"/>
    <cellStyle name="Normal 2 4 3 7 3 2" xfId="14774" xr:uid="{6779F7D1-A187-4122-81B7-4EBA9D877082}"/>
    <cellStyle name="Normal 2 4 3 7 4" xfId="10556" xr:uid="{1DD5CD98-45A5-413E-8676-394D9597E697}"/>
    <cellStyle name="Normal 2 4 3 8" xfId="2473" xr:uid="{00000000-0005-0000-0000-00002F100000}"/>
    <cellStyle name="Normal 2 4 3 8 2" xfId="6758" xr:uid="{00000000-0005-0000-0000-000030100000}"/>
    <cellStyle name="Normal 2 4 3 8 2 2" xfId="15187" xr:uid="{FA7388D8-CB4E-4632-99F7-1EFF7DB72AAF}"/>
    <cellStyle name="Normal 2 4 3 8 3" xfId="10969" xr:uid="{FA944AC5-5220-48E3-A180-8B3F0734CF8B}"/>
    <cellStyle name="Normal 2 4 3 9" xfId="4692" xr:uid="{00000000-0005-0000-0000-000031100000}"/>
    <cellStyle name="Normal 2 4 3 9 2" xfId="13121" xr:uid="{5CC584EF-7F93-4FB0-B5CD-3B99B54DF467}"/>
    <cellStyle name="Normal 2 4 4" xfId="302" xr:uid="{00000000-0005-0000-0000-000032100000}"/>
    <cellStyle name="Normal 2 4 5" xfId="303" xr:uid="{00000000-0005-0000-0000-000033100000}"/>
    <cellStyle name="Normal 2 4 5 10" xfId="4697" xr:uid="{00000000-0005-0000-0000-000034100000}"/>
    <cellStyle name="Normal 2 4 5 10 2" xfId="13126" xr:uid="{249F4713-97ED-4820-B2C4-8D06E2BEDD62}"/>
    <cellStyle name="Normal 2 4 5 11" xfId="8908" xr:uid="{9B4286BC-2F57-4EE5-A97E-345C6C9D379A}"/>
    <cellStyle name="Normal 2 4 5 2" xfId="304" xr:uid="{00000000-0005-0000-0000-000035100000}"/>
    <cellStyle name="Normal 2 4 5 2 10" xfId="8909" xr:uid="{DABE4862-8F78-4322-A0DA-24CA838BAC92}"/>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2 2" xfId="15688" xr:uid="{1C3648CE-3C99-46F9-82B1-114495BF5BE5}"/>
    <cellStyle name="Normal 2 4 5 2 2 2 2 2 3" xfId="11470" xr:uid="{9FCF30E9-E866-4CE9-9F45-39F03BE6A85E}"/>
    <cellStyle name="Normal 2 4 5 2 2 2 2 3" xfId="5114" xr:uid="{00000000-0005-0000-0000-00003B100000}"/>
    <cellStyle name="Normal 2 4 5 2 2 2 2 3 2" xfId="13543" xr:uid="{25875ADD-00B9-48BA-8C3D-371856B85328}"/>
    <cellStyle name="Normal 2 4 5 2 2 2 2 4" xfId="9325" xr:uid="{13C44D54-F889-433D-BDC7-D365A3942323}"/>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2 2" xfId="16101" xr:uid="{EA4CCF0F-7F44-449F-8CF9-AA49FB1C8179}"/>
    <cellStyle name="Normal 2 4 5 2 2 2 3 2 3" xfId="11883" xr:uid="{02D048AB-36F4-4CDC-9391-D18670C17CD5}"/>
    <cellStyle name="Normal 2 4 5 2 2 2 3 3" xfId="5527" xr:uid="{00000000-0005-0000-0000-00003F100000}"/>
    <cellStyle name="Normal 2 4 5 2 2 2 3 3 2" xfId="13956" xr:uid="{AE87628B-FB91-494F-A532-D6F1A0210F2A}"/>
    <cellStyle name="Normal 2 4 5 2 2 2 3 4" xfId="9738" xr:uid="{85F56BA7-4A12-414C-BA5D-14D5147D93A3}"/>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2 2" xfId="16514" xr:uid="{FAF3137B-F368-4A88-BECE-22B78CACECA0}"/>
    <cellStyle name="Normal 2 4 5 2 2 2 4 2 3" xfId="12296" xr:uid="{C668315A-D25E-491A-954D-DB14FD0A6B6D}"/>
    <cellStyle name="Normal 2 4 5 2 2 2 4 3" xfId="5940" xr:uid="{00000000-0005-0000-0000-000043100000}"/>
    <cellStyle name="Normal 2 4 5 2 2 2 4 3 2" xfId="14369" xr:uid="{EBC78C4D-6CB6-4914-8634-9F1B0C20FEA5}"/>
    <cellStyle name="Normal 2 4 5 2 2 2 4 4" xfId="10151" xr:uid="{DB9CE5DF-E38F-4D9B-92AF-5ABB97DDF2AD}"/>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2 2" xfId="16927" xr:uid="{AC0A9BD9-E403-48BC-99A7-E3C9C15DD1CE}"/>
    <cellStyle name="Normal 2 4 5 2 2 2 5 2 3" xfId="12709" xr:uid="{EA7B8A83-A4EA-4005-8FED-5794D425C369}"/>
    <cellStyle name="Normal 2 4 5 2 2 2 5 3" xfId="6353" xr:uid="{00000000-0005-0000-0000-000047100000}"/>
    <cellStyle name="Normal 2 4 5 2 2 2 5 3 2" xfId="14782" xr:uid="{57ACFC0C-78C2-4CBF-870A-68CD8E4A8B79}"/>
    <cellStyle name="Normal 2 4 5 2 2 2 5 4" xfId="10564" xr:uid="{DAD21915-4B1D-41BB-A6B0-663A415E3866}"/>
    <cellStyle name="Normal 2 4 5 2 2 2 6" xfId="2481" xr:uid="{00000000-0005-0000-0000-000048100000}"/>
    <cellStyle name="Normal 2 4 5 2 2 2 6 2" xfId="6766" xr:uid="{00000000-0005-0000-0000-000049100000}"/>
    <cellStyle name="Normal 2 4 5 2 2 2 6 2 2" xfId="15195" xr:uid="{ADE2AF98-543C-4065-9645-475AF2CF038C}"/>
    <cellStyle name="Normal 2 4 5 2 2 2 6 3" xfId="10977" xr:uid="{73421DDF-DF3D-4D43-94F9-8C9EBED8F52C}"/>
    <cellStyle name="Normal 2 4 5 2 2 2 7" xfId="4700" xr:uid="{00000000-0005-0000-0000-00004A100000}"/>
    <cellStyle name="Normal 2 4 5 2 2 2 7 2" xfId="13129" xr:uid="{F472C65A-9B58-45C5-9323-BFF038044D17}"/>
    <cellStyle name="Normal 2 4 5 2 2 2 8" xfId="8911" xr:uid="{99D1D03A-66B2-46E8-A79E-59AAFB5DB863}"/>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2 2" xfId="15687" xr:uid="{5A1D949F-895C-49D2-A75E-42CCCF5B132F}"/>
    <cellStyle name="Normal 2 4 5 2 2 3 2 3" xfId="11469" xr:uid="{D8F5A1EA-7BA6-4C59-997C-848C34C1EC3C}"/>
    <cellStyle name="Normal 2 4 5 2 2 3 3" xfId="5113" xr:uid="{00000000-0005-0000-0000-00004E100000}"/>
    <cellStyle name="Normal 2 4 5 2 2 3 3 2" xfId="13542" xr:uid="{1A0B316D-72AA-4564-B4E1-0AE755DDB67E}"/>
    <cellStyle name="Normal 2 4 5 2 2 3 4" xfId="9324" xr:uid="{93502783-C898-476F-92CF-270BFD7A0281}"/>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2 2" xfId="16100" xr:uid="{F15D6FC4-ED22-47E1-B1DF-0AA955580A46}"/>
    <cellStyle name="Normal 2 4 5 2 2 4 2 3" xfId="11882" xr:uid="{433E90AB-8E89-48FA-A1A2-0AEBFAD1DCE5}"/>
    <cellStyle name="Normal 2 4 5 2 2 4 3" xfId="5526" xr:uid="{00000000-0005-0000-0000-000052100000}"/>
    <cellStyle name="Normal 2 4 5 2 2 4 3 2" xfId="13955" xr:uid="{CEA2C1D5-467C-48E1-8DAD-62F87EA7E85A}"/>
    <cellStyle name="Normal 2 4 5 2 2 4 4" xfId="9737" xr:uid="{1CEBA81A-2894-4AE1-8D86-6A3E69EE7D5C}"/>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2 2" xfId="16513" xr:uid="{E2A91AD4-018E-4DE0-9F0D-8A03F02F31B8}"/>
    <cellStyle name="Normal 2 4 5 2 2 5 2 3" xfId="12295" xr:uid="{7D6FAE6F-AF35-47D7-9AB2-F81C1637101D}"/>
    <cellStyle name="Normal 2 4 5 2 2 5 3" xfId="5939" xr:uid="{00000000-0005-0000-0000-000056100000}"/>
    <cellStyle name="Normal 2 4 5 2 2 5 3 2" xfId="14368" xr:uid="{E8D942C6-A739-4B00-8440-3447A0DF25BD}"/>
    <cellStyle name="Normal 2 4 5 2 2 5 4" xfId="10150" xr:uid="{35DD1337-98CE-4496-82D9-70BB7AE75E3B}"/>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2 2" xfId="16926" xr:uid="{85342E0D-7704-4C09-948F-A6B88DC242EE}"/>
    <cellStyle name="Normal 2 4 5 2 2 6 2 3" xfId="12708" xr:uid="{4B099908-ECF5-425F-920C-68274B30C447}"/>
    <cellStyle name="Normal 2 4 5 2 2 6 3" xfId="6352" xr:uid="{00000000-0005-0000-0000-00005A100000}"/>
    <cellStyle name="Normal 2 4 5 2 2 6 3 2" xfId="14781" xr:uid="{FAF30719-6E9C-494B-A4CB-5B661A5D6C31}"/>
    <cellStyle name="Normal 2 4 5 2 2 6 4" xfId="10563" xr:uid="{DC441149-220E-420E-84EA-CF23A6581675}"/>
    <cellStyle name="Normal 2 4 5 2 2 7" xfId="2480" xr:uid="{00000000-0005-0000-0000-00005B100000}"/>
    <cellStyle name="Normal 2 4 5 2 2 7 2" xfId="6765" xr:uid="{00000000-0005-0000-0000-00005C100000}"/>
    <cellStyle name="Normal 2 4 5 2 2 7 2 2" xfId="15194" xr:uid="{C44F4044-A1F4-4E5B-AD54-74342E79380F}"/>
    <cellStyle name="Normal 2 4 5 2 2 7 3" xfId="10976" xr:uid="{7979F827-81FE-45AC-946E-3B949FAB0757}"/>
    <cellStyle name="Normal 2 4 5 2 2 8" xfId="4699" xr:uid="{00000000-0005-0000-0000-00005D100000}"/>
    <cellStyle name="Normal 2 4 5 2 2 8 2" xfId="13128" xr:uid="{90874762-1B02-421C-B831-6BD5B5935A08}"/>
    <cellStyle name="Normal 2 4 5 2 2 9" xfId="8910" xr:uid="{CDB9FFFD-4CB7-45FC-AADE-14E1CB1D2BE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2 2" xfId="15689" xr:uid="{62FC5877-1D22-453D-81CF-3E366F5A0C04}"/>
    <cellStyle name="Normal 2 4 5 2 3 2 2 3" xfId="11471" xr:uid="{18D5C912-FE5E-4431-90DB-CDF4AA869805}"/>
    <cellStyle name="Normal 2 4 5 2 3 2 3" xfId="5115" xr:uid="{00000000-0005-0000-0000-000062100000}"/>
    <cellStyle name="Normal 2 4 5 2 3 2 3 2" xfId="13544" xr:uid="{378A69C7-05AE-4B3B-A3E1-ADE50B85E81B}"/>
    <cellStyle name="Normal 2 4 5 2 3 2 4" xfId="9326" xr:uid="{A61D83C5-0F16-4288-A971-523D2E5CF78C}"/>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2 2" xfId="16102" xr:uid="{FC3186E1-251C-4684-985E-ED0079DCF776}"/>
    <cellStyle name="Normal 2 4 5 2 3 3 2 3" xfId="11884" xr:uid="{16706A04-3ABC-48A2-9DB3-30049F09B7D4}"/>
    <cellStyle name="Normal 2 4 5 2 3 3 3" xfId="5528" xr:uid="{00000000-0005-0000-0000-000066100000}"/>
    <cellStyle name="Normal 2 4 5 2 3 3 3 2" xfId="13957" xr:uid="{C80F8827-105F-4786-88DF-A3A49DD1D924}"/>
    <cellStyle name="Normal 2 4 5 2 3 3 4" xfId="9739" xr:uid="{600E58C5-2DDE-4F70-B5EC-6B0586694A08}"/>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2 2" xfId="16515" xr:uid="{9E05528F-1B2A-40F4-91BE-A0A79874F1BA}"/>
    <cellStyle name="Normal 2 4 5 2 3 4 2 3" xfId="12297" xr:uid="{2D794F69-2E26-4DA3-B5CA-3DA0BD0393F4}"/>
    <cellStyle name="Normal 2 4 5 2 3 4 3" xfId="5941" xr:uid="{00000000-0005-0000-0000-00006A100000}"/>
    <cellStyle name="Normal 2 4 5 2 3 4 3 2" xfId="14370" xr:uid="{39723E0F-D9F0-410D-AD53-369D53EAE74F}"/>
    <cellStyle name="Normal 2 4 5 2 3 4 4" xfId="10152" xr:uid="{2488E9FD-6F00-490C-8248-2DB729FFB4F3}"/>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2 2" xfId="16928" xr:uid="{FD3E652F-FBBD-4AD7-BFA3-28EC5CEEDCDB}"/>
    <cellStyle name="Normal 2 4 5 2 3 5 2 3" xfId="12710" xr:uid="{E6CCC259-01B2-453E-BBB4-9AFC1862E3F7}"/>
    <cellStyle name="Normal 2 4 5 2 3 5 3" xfId="6354" xr:uid="{00000000-0005-0000-0000-00006E100000}"/>
    <cellStyle name="Normal 2 4 5 2 3 5 3 2" xfId="14783" xr:uid="{A342077E-E187-48BF-B3AD-810E35EE840C}"/>
    <cellStyle name="Normal 2 4 5 2 3 5 4" xfId="10565" xr:uid="{08FECF57-3CBD-4FAC-89F5-9EE5B187DF94}"/>
    <cellStyle name="Normal 2 4 5 2 3 6" xfId="2482" xr:uid="{00000000-0005-0000-0000-00006F100000}"/>
    <cellStyle name="Normal 2 4 5 2 3 6 2" xfId="6767" xr:uid="{00000000-0005-0000-0000-000070100000}"/>
    <cellStyle name="Normal 2 4 5 2 3 6 2 2" xfId="15196" xr:uid="{E3B3FF9E-6A35-4DF2-9715-B70A565E4297}"/>
    <cellStyle name="Normal 2 4 5 2 3 6 3" xfId="10978" xr:uid="{D45EBEED-FA85-43AA-8167-C25100E3D4D7}"/>
    <cellStyle name="Normal 2 4 5 2 3 7" xfId="4701" xr:uid="{00000000-0005-0000-0000-000071100000}"/>
    <cellStyle name="Normal 2 4 5 2 3 7 2" xfId="13130" xr:uid="{83B62DCC-6FE9-44C4-B977-D8A882F4FECD}"/>
    <cellStyle name="Normal 2 4 5 2 3 8" xfId="8912" xr:uid="{F280FAC7-BF49-4405-B016-5E9DD0693583}"/>
    <cellStyle name="Normal 2 4 5 2 4" xfId="794" xr:uid="{00000000-0005-0000-0000-000072100000}"/>
    <cellStyle name="Normal 2 4 5 2 4 2" xfId="3033" xr:uid="{00000000-0005-0000-0000-000073100000}"/>
    <cellStyle name="Normal 2 4 5 2 4 2 2" xfId="7257" xr:uid="{00000000-0005-0000-0000-000074100000}"/>
    <cellStyle name="Normal 2 4 5 2 4 2 2 2" xfId="15686" xr:uid="{F9814398-7076-4AC6-B015-2BF4001FAC72}"/>
    <cellStyle name="Normal 2 4 5 2 4 2 3" xfId="11468" xr:uid="{22335C4B-2D2D-4A14-8B5A-D6F33D33C026}"/>
    <cellStyle name="Normal 2 4 5 2 4 3" xfId="5112" xr:uid="{00000000-0005-0000-0000-000075100000}"/>
    <cellStyle name="Normal 2 4 5 2 4 3 2" xfId="13541" xr:uid="{F933CBC4-6843-47E1-938D-6972B5669781}"/>
    <cellStyle name="Normal 2 4 5 2 4 4" xfId="9323" xr:uid="{0D27D995-9C33-4A90-B515-DC66DA36D3C7}"/>
    <cellStyle name="Normal 2 4 5 2 5" xfId="1216" xr:uid="{00000000-0005-0000-0000-000076100000}"/>
    <cellStyle name="Normal 2 4 5 2 5 2" xfId="3446" xr:uid="{00000000-0005-0000-0000-000077100000}"/>
    <cellStyle name="Normal 2 4 5 2 5 2 2" xfId="7670" xr:uid="{00000000-0005-0000-0000-000078100000}"/>
    <cellStyle name="Normal 2 4 5 2 5 2 2 2" xfId="16099" xr:uid="{79F9BC9E-4F2D-4EA4-982A-D3749499E632}"/>
    <cellStyle name="Normal 2 4 5 2 5 2 3" xfId="11881" xr:uid="{58CF91D7-1E6B-477C-A7E8-D55EBE56B74A}"/>
    <cellStyle name="Normal 2 4 5 2 5 3" xfId="5525" xr:uid="{00000000-0005-0000-0000-000079100000}"/>
    <cellStyle name="Normal 2 4 5 2 5 3 2" xfId="13954" xr:uid="{8F697611-9E6A-4A3B-876D-7DBD59246E02}"/>
    <cellStyle name="Normal 2 4 5 2 5 4" xfId="9736" xr:uid="{946CF3CF-9FA1-405A-9020-6DDDBB6B8004}"/>
    <cellStyle name="Normal 2 4 5 2 6" xfId="1629" xr:uid="{00000000-0005-0000-0000-00007A100000}"/>
    <cellStyle name="Normal 2 4 5 2 6 2" xfId="3859" xr:uid="{00000000-0005-0000-0000-00007B100000}"/>
    <cellStyle name="Normal 2 4 5 2 6 2 2" xfId="8083" xr:uid="{00000000-0005-0000-0000-00007C100000}"/>
    <cellStyle name="Normal 2 4 5 2 6 2 2 2" xfId="16512" xr:uid="{58A7B861-8793-4959-81AB-DE6A85408492}"/>
    <cellStyle name="Normal 2 4 5 2 6 2 3" xfId="12294" xr:uid="{BABC952D-06BE-4920-914B-8F225466AFA3}"/>
    <cellStyle name="Normal 2 4 5 2 6 3" xfId="5938" xr:uid="{00000000-0005-0000-0000-00007D100000}"/>
    <cellStyle name="Normal 2 4 5 2 6 3 2" xfId="14367" xr:uid="{E11F78C0-11D2-4FFF-97A0-26DF81915584}"/>
    <cellStyle name="Normal 2 4 5 2 6 4" xfId="10149" xr:uid="{8B910140-DAC5-4E0C-A6AC-9A946B8EE293}"/>
    <cellStyle name="Normal 2 4 5 2 7" xfId="2043" xr:uid="{00000000-0005-0000-0000-00007E100000}"/>
    <cellStyle name="Normal 2 4 5 2 7 2" xfId="4272" xr:uid="{00000000-0005-0000-0000-00007F100000}"/>
    <cellStyle name="Normal 2 4 5 2 7 2 2" xfId="8496" xr:uid="{00000000-0005-0000-0000-000080100000}"/>
    <cellStyle name="Normal 2 4 5 2 7 2 2 2" xfId="16925" xr:uid="{9EDE8F0A-172D-4C8E-A9CC-B0E0E6924676}"/>
    <cellStyle name="Normal 2 4 5 2 7 2 3" xfId="12707" xr:uid="{8FD46FB8-2419-4D74-975D-2C95D98CBD86}"/>
    <cellStyle name="Normal 2 4 5 2 7 3" xfId="6351" xr:uid="{00000000-0005-0000-0000-000081100000}"/>
    <cellStyle name="Normal 2 4 5 2 7 3 2" xfId="14780" xr:uid="{A8DF8BEF-E682-40E4-B638-175800880333}"/>
    <cellStyle name="Normal 2 4 5 2 7 4" xfId="10562" xr:uid="{FBF5BD9A-32D3-4944-87BB-EEE3B7EDB4C3}"/>
    <cellStyle name="Normal 2 4 5 2 8" xfId="2479" xr:uid="{00000000-0005-0000-0000-000082100000}"/>
    <cellStyle name="Normal 2 4 5 2 8 2" xfId="6764" xr:uid="{00000000-0005-0000-0000-000083100000}"/>
    <cellStyle name="Normal 2 4 5 2 8 2 2" xfId="15193" xr:uid="{CC1C0BD5-731A-4E54-B87A-83FD811B80A1}"/>
    <cellStyle name="Normal 2 4 5 2 8 3" xfId="10975" xr:uid="{C3E36117-C965-4AFE-852F-2FD3F37CCECF}"/>
    <cellStyle name="Normal 2 4 5 2 9" xfId="4698" xr:uid="{00000000-0005-0000-0000-000084100000}"/>
    <cellStyle name="Normal 2 4 5 2 9 2" xfId="13127" xr:uid="{A4E9A2D9-7ED4-405F-B2CE-BF55628C6833}"/>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2 2" xfId="15691" xr:uid="{8635A8DD-F63A-41A5-A378-589F8C15A491}"/>
    <cellStyle name="Normal 2 4 5 3 2 2 2 3" xfId="11473" xr:uid="{6EFA6C3C-8AFA-4096-8693-88212E3728EC}"/>
    <cellStyle name="Normal 2 4 5 3 2 2 3" xfId="5117" xr:uid="{00000000-0005-0000-0000-00008A100000}"/>
    <cellStyle name="Normal 2 4 5 3 2 2 3 2" xfId="13546" xr:uid="{29FB037E-4BE2-4713-A202-BF8CD945369B}"/>
    <cellStyle name="Normal 2 4 5 3 2 2 4" xfId="9328" xr:uid="{694351E5-8192-4B38-A003-BCBB399B59F4}"/>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2 2" xfId="16104" xr:uid="{1366BADE-91F4-41B3-A040-F8EC798323F2}"/>
    <cellStyle name="Normal 2 4 5 3 2 3 2 3" xfId="11886" xr:uid="{7498C9A5-3A3D-44A4-98AE-F4EB69481BFF}"/>
    <cellStyle name="Normal 2 4 5 3 2 3 3" xfId="5530" xr:uid="{00000000-0005-0000-0000-00008E100000}"/>
    <cellStyle name="Normal 2 4 5 3 2 3 3 2" xfId="13959" xr:uid="{F941857F-A778-4EE4-8929-AAF84B78C45E}"/>
    <cellStyle name="Normal 2 4 5 3 2 3 4" xfId="9741" xr:uid="{D562CCA2-F467-4C6E-8FE6-BA33031984B6}"/>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2 2" xfId="16517" xr:uid="{E3E0AFEF-8FAD-4210-929B-C8ED5AAA5338}"/>
    <cellStyle name="Normal 2 4 5 3 2 4 2 3" xfId="12299" xr:uid="{6DFA344C-2CDF-4A63-BC68-FF5D72847E5B}"/>
    <cellStyle name="Normal 2 4 5 3 2 4 3" xfId="5943" xr:uid="{00000000-0005-0000-0000-000092100000}"/>
    <cellStyle name="Normal 2 4 5 3 2 4 3 2" xfId="14372" xr:uid="{E40E63AD-DF99-48E6-9299-978247B7A544}"/>
    <cellStyle name="Normal 2 4 5 3 2 4 4" xfId="10154" xr:uid="{F8052409-F69E-44B8-939A-51FD2A43A1D9}"/>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2 2" xfId="16930" xr:uid="{299D0E8A-E9C7-463F-BE2E-D925683A4C79}"/>
    <cellStyle name="Normal 2 4 5 3 2 5 2 3" xfId="12712" xr:uid="{210739E7-59AC-4162-A63C-2644F516D049}"/>
    <cellStyle name="Normal 2 4 5 3 2 5 3" xfId="6356" xr:uid="{00000000-0005-0000-0000-000096100000}"/>
    <cellStyle name="Normal 2 4 5 3 2 5 3 2" xfId="14785" xr:uid="{9190F8E2-F2C4-4044-B67B-0F5AD16E279A}"/>
    <cellStyle name="Normal 2 4 5 3 2 5 4" xfId="10567" xr:uid="{F98333ED-DA88-4589-BE4A-F4F2C4F4D369}"/>
    <cellStyle name="Normal 2 4 5 3 2 6" xfId="2484" xr:uid="{00000000-0005-0000-0000-000097100000}"/>
    <cellStyle name="Normal 2 4 5 3 2 6 2" xfId="6769" xr:uid="{00000000-0005-0000-0000-000098100000}"/>
    <cellStyle name="Normal 2 4 5 3 2 6 2 2" xfId="15198" xr:uid="{5B337B9E-DB9D-4C97-ACEC-A906F348F29E}"/>
    <cellStyle name="Normal 2 4 5 3 2 6 3" xfId="10980" xr:uid="{12390D04-5784-4A99-810B-4DE9728F8ED5}"/>
    <cellStyle name="Normal 2 4 5 3 2 7" xfId="4703" xr:uid="{00000000-0005-0000-0000-000099100000}"/>
    <cellStyle name="Normal 2 4 5 3 2 7 2" xfId="13132" xr:uid="{A19D378F-D5AD-4715-BCE7-09A46B5AE461}"/>
    <cellStyle name="Normal 2 4 5 3 2 8" xfId="8914" xr:uid="{6F0FFBBC-9289-45EE-ADEA-2B1E7903E707}"/>
    <cellStyle name="Normal 2 4 5 3 3" xfId="798" xr:uid="{00000000-0005-0000-0000-00009A100000}"/>
    <cellStyle name="Normal 2 4 5 3 3 2" xfId="3037" xr:uid="{00000000-0005-0000-0000-00009B100000}"/>
    <cellStyle name="Normal 2 4 5 3 3 2 2" xfId="7261" xr:uid="{00000000-0005-0000-0000-00009C100000}"/>
    <cellStyle name="Normal 2 4 5 3 3 2 2 2" xfId="15690" xr:uid="{017BC92A-02B5-4DDD-A06C-1B5BC8EBCEB4}"/>
    <cellStyle name="Normal 2 4 5 3 3 2 3" xfId="11472" xr:uid="{2FE7FBC0-2DEA-47A8-8AD9-298AF28F4260}"/>
    <cellStyle name="Normal 2 4 5 3 3 3" xfId="5116" xr:uid="{00000000-0005-0000-0000-00009D100000}"/>
    <cellStyle name="Normal 2 4 5 3 3 3 2" xfId="13545" xr:uid="{015B0557-1482-4B77-B372-D5CDE5178A4A}"/>
    <cellStyle name="Normal 2 4 5 3 3 4" xfId="9327" xr:uid="{870F443E-6E51-4401-893B-7115FBD8F9CF}"/>
    <cellStyle name="Normal 2 4 5 3 4" xfId="1220" xr:uid="{00000000-0005-0000-0000-00009E100000}"/>
    <cellStyle name="Normal 2 4 5 3 4 2" xfId="3450" xr:uid="{00000000-0005-0000-0000-00009F100000}"/>
    <cellStyle name="Normal 2 4 5 3 4 2 2" xfId="7674" xr:uid="{00000000-0005-0000-0000-0000A0100000}"/>
    <cellStyle name="Normal 2 4 5 3 4 2 2 2" xfId="16103" xr:uid="{384BCBA0-8F27-4C07-81C3-6E01F4CD3E65}"/>
    <cellStyle name="Normal 2 4 5 3 4 2 3" xfId="11885" xr:uid="{DBC21ADF-3957-4507-8544-69C5EAE5EA7B}"/>
    <cellStyle name="Normal 2 4 5 3 4 3" xfId="5529" xr:uid="{00000000-0005-0000-0000-0000A1100000}"/>
    <cellStyle name="Normal 2 4 5 3 4 3 2" xfId="13958" xr:uid="{A617AC20-7F11-4032-9F30-41013F00D796}"/>
    <cellStyle name="Normal 2 4 5 3 4 4" xfId="9740" xr:uid="{04F7F196-1710-4445-89A1-F6FA975FD889}"/>
    <cellStyle name="Normal 2 4 5 3 5" xfId="1633" xr:uid="{00000000-0005-0000-0000-0000A2100000}"/>
    <cellStyle name="Normal 2 4 5 3 5 2" xfId="3863" xr:uid="{00000000-0005-0000-0000-0000A3100000}"/>
    <cellStyle name="Normal 2 4 5 3 5 2 2" xfId="8087" xr:uid="{00000000-0005-0000-0000-0000A4100000}"/>
    <cellStyle name="Normal 2 4 5 3 5 2 2 2" xfId="16516" xr:uid="{56C22F56-5C8C-4CD4-A23A-41C37854E89D}"/>
    <cellStyle name="Normal 2 4 5 3 5 2 3" xfId="12298" xr:uid="{58781CB9-558E-443E-9370-62F6AF05E9A0}"/>
    <cellStyle name="Normal 2 4 5 3 5 3" xfId="5942" xr:uid="{00000000-0005-0000-0000-0000A5100000}"/>
    <cellStyle name="Normal 2 4 5 3 5 3 2" xfId="14371" xr:uid="{9A3ACBCD-2F3C-49F1-8218-3DE5F29FEFBF}"/>
    <cellStyle name="Normal 2 4 5 3 5 4" xfId="10153" xr:uid="{9C94EEB9-6531-46D3-879B-4078633258DA}"/>
    <cellStyle name="Normal 2 4 5 3 6" xfId="2047" xr:uid="{00000000-0005-0000-0000-0000A6100000}"/>
    <cellStyle name="Normal 2 4 5 3 6 2" xfId="4276" xr:uid="{00000000-0005-0000-0000-0000A7100000}"/>
    <cellStyle name="Normal 2 4 5 3 6 2 2" xfId="8500" xr:uid="{00000000-0005-0000-0000-0000A8100000}"/>
    <cellStyle name="Normal 2 4 5 3 6 2 2 2" xfId="16929" xr:uid="{CA5C716A-F0AC-48BD-B74F-B77850EFBCD3}"/>
    <cellStyle name="Normal 2 4 5 3 6 2 3" xfId="12711" xr:uid="{679F3548-7F4B-42A5-9AAC-DE29BAF970D8}"/>
    <cellStyle name="Normal 2 4 5 3 6 3" xfId="6355" xr:uid="{00000000-0005-0000-0000-0000A9100000}"/>
    <cellStyle name="Normal 2 4 5 3 6 3 2" xfId="14784" xr:uid="{9359A5E4-0EFD-4D13-9B61-BB6D8EC2B412}"/>
    <cellStyle name="Normal 2 4 5 3 6 4" xfId="10566" xr:uid="{4E4DDBA5-1405-4215-B3EE-ADC8F09BC549}"/>
    <cellStyle name="Normal 2 4 5 3 7" xfId="2483" xr:uid="{00000000-0005-0000-0000-0000AA100000}"/>
    <cellStyle name="Normal 2 4 5 3 7 2" xfId="6768" xr:uid="{00000000-0005-0000-0000-0000AB100000}"/>
    <cellStyle name="Normal 2 4 5 3 7 2 2" xfId="15197" xr:uid="{264334B1-AD44-4346-A3A3-2AD911D1CA81}"/>
    <cellStyle name="Normal 2 4 5 3 7 3" xfId="10979" xr:uid="{09564DA8-DB12-44A6-BB75-0B7844B75280}"/>
    <cellStyle name="Normal 2 4 5 3 8" xfId="4702" xr:uid="{00000000-0005-0000-0000-0000AC100000}"/>
    <cellStyle name="Normal 2 4 5 3 8 2" xfId="13131" xr:uid="{76C808E1-1554-4733-BAF0-DE3903105728}"/>
    <cellStyle name="Normal 2 4 5 3 9" xfId="8913" xr:uid="{F3AE94AD-D4F7-4451-BF00-987AD5A50A33}"/>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2 2" xfId="15692" xr:uid="{426E4B93-0A2B-4D66-84CA-1B541BBD8FE7}"/>
    <cellStyle name="Normal 2 4 5 4 2 2 3" xfId="11474" xr:uid="{AE381D7C-C81B-436D-A910-B36E5AF3B4FD}"/>
    <cellStyle name="Normal 2 4 5 4 2 3" xfId="5118" xr:uid="{00000000-0005-0000-0000-0000B1100000}"/>
    <cellStyle name="Normal 2 4 5 4 2 3 2" xfId="13547" xr:uid="{423C0A96-CDC4-4175-A2B8-C586338DB7D9}"/>
    <cellStyle name="Normal 2 4 5 4 2 4" xfId="9329" xr:uid="{FF604239-A055-4793-BC10-1A59626051F2}"/>
    <cellStyle name="Normal 2 4 5 4 3" xfId="1222" xr:uid="{00000000-0005-0000-0000-0000B2100000}"/>
    <cellStyle name="Normal 2 4 5 4 3 2" xfId="3452" xr:uid="{00000000-0005-0000-0000-0000B3100000}"/>
    <cellStyle name="Normal 2 4 5 4 3 2 2" xfId="7676" xr:uid="{00000000-0005-0000-0000-0000B4100000}"/>
    <cellStyle name="Normal 2 4 5 4 3 2 2 2" xfId="16105" xr:uid="{7297863B-AA0C-4F35-BF63-8B41EEE2E64C}"/>
    <cellStyle name="Normal 2 4 5 4 3 2 3" xfId="11887" xr:uid="{337576D1-DF87-4FD3-A8E1-BEC58EDBEB15}"/>
    <cellStyle name="Normal 2 4 5 4 3 3" xfId="5531" xr:uid="{00000000-0005-0000-0000-0000B5100000}"/>
    <cellStyle name="Normal 2 4 5 4 3 3 2" xfId="13960" xr:uid="{642FD773-9B60-4FDD-B583-9F2C974991FE}"/>
    <cellStyle name="Normal 2 4 5 4 3 4" xfId="9742" xr:uid="{472ED68E-6F5F-4525-8796-54B9D9C5E552}"/>
    <cellStyle name="Normal 2 4 5 4 4" xfId="1635" xr:uid="{00000000-0005-0000-0000-0000B6100000}"/>
    <cellStyle name="Normal 2 4 5 4 4 2" xfId="3865" xr:uid="{00000000-0005-0000-0000-0000B7100000}"/>
    <cellStyle name="Normal 2 4 5 4 4 2 2" xfId="8089" xr:uid="{00000000-0005-0000-0000-0000B8100000}"/>
    <cellStyle name="Normal 2 4 5 4 4 2 2 2" xfId="16518" xr:uid="{687FB07F-54FE-4B6A-AF1B-A003337F4BCD}"/>
    <cellStyle name="Normal 2 4 5 4 4 2 3" xfId="12300" xr:uid="{EB2A134D-00BF-498C-A5B4-A4AF303949EC}"/>
    <cellStyle name="Normal 2 4 5 4 4 3" xfId="5944" xr:uid="{00000000-0005-0000-0000-0000B9100000}"/>
    <cellStyle name="Normal 2 4 5 4 4 3 2" xfId="14373" xr:uid="{8C4F0A38-570D-4D68-AD66-65EC5206537F}"/>
    <cellStyle name="Normal 2 4 5 4 4 4" xfId="10155" xr:uid="{9E964276-BC94-4AD3-A4CC-0344CFF46A8C}"/>
    <cellStyle name="Normal 2 4 5 4 5" xfId="2049" xr:uid="{00000000-0005-0000-0000-0000BA100000}"/>
    <cellStyle name="Normal 2 4 5 4 5 2" xfId="4278" xr:uid="{00000000-0005-0000-0000-0000BB100000}"/>
    <cellStyle name="Normal 2 4 5 4 5 2 2" xfId="8502" xr:uid="{00000000-0005-0000-0000-0000BC100000}"/>
    <cellStyle name="Normal 2 4 5 4 5 2 2 2" xfId="16931" xr:uid="{6721C423-CB7E-4992-8D1C-FBE474208AC0}"/>
    <cellStyle name="Normal 2 4 5 4 5 2 3" xfId="12713" xr:uid="{A977DCD2-6538-4C9D-BB04-556B4AE63B38}"/>
    <cellStyle name="Normal 2 4 5 4 5 3" xfId="6357" xr:uid="{00000000-0005-0000-0000-0000BD100000}"/>
    <cellStyle name="Normal 2 4 5 4 5 3 2" xfId="14786" xr:uid="{29935748-8D25-407A-A4C9-DE273E50034D}"/>
    <cellStyle name="Normal 2 4 5 4 5 4" xfId="10568" xr:uid="{6FBCE00F-4F28-4F18-AEA2-8C13073FDC21}"/>
    <cellStyle name="Normal 2 4 5 4 6" xfId="2485" xr:uid="{00000000-0005-0000-0000-0000BE100000}"/>
    <cellStyle name="Normal 2 4 5 4 6 2" xfId="6770" xr:uid="{00000000-0005-0000-0000-0000BF100000}"/>
    <cellStyle name="Normal 2 4 5 4 6 2 2" xfId="15199" xr:uid="{4FC27688-E8D7-4168-8BCF-7E5C3F23E8F1}"/>
    <cellStyle name="Normal 2 4 5 4 6 3" xfId="10981" xr:uid="{D34F0010-620F-4DDF-AC27-7D44A529A37B}"/>
    <cellStyle name="Normal 2 4 5 4 7" xfId="4704" xr:uid="{00000000-0005-0000-0000-0000C0100000}"/>
    <cellStyle name="Normal 2 4 5 4 7 2" xfId="13133" xr:uid="{3373AEB9-B535-49F9-AD37-2C6FAA2ADD06}"/>
    <cellStyle name="Normal 2 4 5 4 8" xfId="8915" xr:uid="{5D6F1DF5-E26F-4C31-BD4D-70AE4A16C6F0}"/>
    <cellStyle name="Normal 2 4 5 5" xfId="793" xr:uid="{00000000-0005-0000-0000-0000C1100000}"/>
    <cellStyle name="Normal 2 4 5 5 2" xfId="3032" xr:uid="{00000000-0005-0000-0000-0000C2100000}"/>
    <cellStyle name="Normal 2 4 5 5 2 2" xfId="7256" xr:uid="{00000000-0005-0000-0000-0000C3100000}"/>
    <cellStyle name="Normal 2 4 5 5 2 2 2" xfId="15685" xr:uid="{A426EB3D-0BE7-425D-9101-FC9745D8D137}"/>
    <cellStyle name="Normal 2 4 5 5 2 3" xfId="11467" xr:uid="{5F9BD459-1116-4236-9730-C57E4E2D11F3}"/>
    <cellStyle name="Normal 2 4 5 5 3" xfId="5111" xr:uid="{00000000-0005-0000-0000-0000C4100000}"/>
    <cellStyle name="Normal 2 4 5 5 3 2" xfId="13540" xr:uid="{C614DE02-1D10-41B3-92B4-FAF0CF482B78}"/>
    <cellStyle name="Normal 2 4 5 5 4" xfId="9322" xr:uid="{449DA114-4939-44FF-9616-5FF9E0CB50CF}"/>
    <cellStyle name="Normal 2 4 5 6" xfId="1215" xr:uid="{00000000-0005-0000-0000-0000C5100000}"/>
    <cellStyle name="Normal 2 4 5 6 2" xfId="3445" xr:uid="{00000000-0005-0000-0000-0000C6100000}"/>
    <cellStyle name="Normal 2 4 5 6 2 2" xfId="7669" xr:uid="{00000000-0005-0000-0000-0000C7100000}"/>
    <cellStyle name="Normal 2 4 5 6 2 2 2" xfId="16098" xr:uid="{A1656642-A215-4186-A7B6-A08774F2E52D}"/>
    <cellStyle name="Normal 2 4 5 6 2 3" xfId="11880" xr:uid="{4F255415-F3CA-4389-BC82-292C4FBBEDED}"/>
    <cellStyle name="Normal 2 4 5 6 3" xfId="5524" xr:uid="{00000000-0005-0000-0000-0000C8100000}"/>
    <cellStyle name="Normal 2 4 5 6 3 2" xfId="13953" xr:uid="{071FEAEE-7D5B-4622-8CF2-D71FCB929DC5}"/>
    <cellStyle name="Normal 2 4 5 6 4" xfId="9735" xr:uid="{E43BBABA-E16D-4FB7-8E9F-6E699927C451}"/>
    <cellStyle name="Normal 2 4 5 7" xfId="1628" xr:uid="{00000000-0005-0000-0000-0000C9100000}"/>
    <cellStyle name="Normal 2 4 5 7 2" xfId="3858" xr:uid="{00000000-0005-0000-0000-0000CA100000}"/>
    <cellStyle name="Normal 2 4 5 7 2 2" xfId="8082" xr:uid="{00000000-0005-0000-0000-0000CB100000}"/>
    <cellStyle name="Normal 2 4 5 7 2 2 2" xfId="16511" xr:uid="{0993CF4D-287A-431E-A01C-DD3C2DD95028}"/>
    <cellStyle name="Normal 2 4 5 7 2 3" xfId="12293" xr:uid="{F4EC4162-9C7E-4FE5-94AD-88AD59611C3C}"/>
    <cellStyle name="Normal 2 4 5 7 3" xfId="5937" xr:uid="{00000000-0005-0000-0000-0000CC100000}"/>
    <cellStyle name="Normal 2 4 5 7 3 2" xfId="14366" xr:uid="{0E8BB28E-59AD-41DF-AAE7-5B52D7EE4355}"/>
    <cellStyle name="Normal 2 4 5 7 4" xfId="10148" xr:uid="{CB8FDB72-E1BF-4B0D-8C72-3C635E241E06}"/>
    <cellStyle name="Normal 2 4 5 8" xfId="2042" xr:uid="{00000000-0005-0000-0000-0000CD100000}"/>
    <cellStyle name="Normal 2 4 5 8 2" xfId="4271" xr:uid="{00000000-0005-0000-0000-0000CE100000}"/>
    <cellStyle name="Normal 2 4 5 8 2 2" xfId="8495" xr:uid="{00000000-0005-0000-0000-0000CF100000}"/>
    <cellStyle name="Normal 2 4 5 8 2 2 2" xfId="16924" xr:uid="{90537E2C-8C99-4C60-BB08-6091E6ABE689}"/>
    <cellStyle name="Normal 2 4 5 8 2 3" xfId="12706" xr:uid="{90063BA0-2038-4962-98B4-8DF576D1B048}"/>
    <cellStyle name="Normal 2 4 5 8 3" xfId="6350" xr:uid="{00000000-0005-0000-0000-0000D0100000}"/>
    <cellStyle name="Normal 2 4 5 8 3 2" xfId="14779" xr:uid="{D55CE9F6-6C53-4808-BA19-2C5FA8D7A6D7}"/>
    <cellStyle name="Normal 2 4 5 8 4" xfId="10561" xr:uid="{EDF3D126-1E0E-4FC0-822C-D3111D28D470}"/>
    <cellStyle name="Normal 2 4 5 9" xfId="2478" xr:uid="{00000000-0005-0000-0000-0000D1100000}"/>
    <cellStyle name="Normal 2 4 5 9 2" xfId="6763" xr:uid="{00000000-0005-0000-0000-0000D2100000}"/>
    <cellStyle name="Normal 2 4 5 9 2 2" xfId="15192" xr:uid="{377EEDE3-4838-47B1-8BB3-0A83C8AF7A1A}"/>
    <cellStyle name="Normal 2 4 5 9 3" xfId="10974" xr:uid="{DDA3F91F-913E-4345-9F77-60DBC923BF72}"/>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2 2" xfId="15694" xr:uid="{A2BF1A9C-C56A-44D8-9BB7-53F68E878415}"/>
    <cellStyle name="Normal 2 4 7 2 2 2 3" xfId="11476" xr:uid="{09336437-4EBE-431A-BE23-A3BC98346A25}"/>
    <cellStyle name="Normal 2 4 7 2 2 3" xfId="5120" xr:uid="{00000000-0005-0000-0000-0000D9100000}"/>
    <cellStyle name="Normal 2 4 7 2 2 3 2" xfId="13549" xr:uid="{C00DA2E5-B645-402C-A65D-01E54D8F7302}"/>
    <cellStyle name="Normal 2 4 7 2 2 4" xfId="9331" xr:uid="{DE8E77A4-049B-44B3-9D14-A90629586CA3}"/>
    <cellStyle name="Normal 2 4 7 2 3" xfId="1224" xr:uid="{00000000-0005-0000-0000-0000DA100000}"/>
    <cellStyle name="Normal 2 4 7 2 3 2" xfId="3454" xr:uid="{00000000-0005-0000-0000-0000DB100000}"/>
    <cellStyle name="Normal 2 4 7 2 3 2 2" xfId="7678" xr:uid="{00000000-0005-0000-0000-0000DC100000}"/>
    <cellStyle name="Normal 2 4 7 2 3 2 2 2" xfId="16107" xr:uid="{65DE44CE-1C56-4429-BDE5-2D31B9AB7AFD}"/>
    <cellStyle name="Normal 2 4 7 2 3 2 3" xfId="11889" xr:uid="{7A3EA60E-2063-49CF-B00D-94CD81F6E1B4}"/>
    <cellStyle name="Normal 2 4 7 2 3 3" xfId="5533" xr:uid="{00000000-0005-0000-0000-0000DD100000}"/>
    <cellStyle name="Normal 2 4 7 2 3 3 2" xfId="13962" xr:uid="{B1032515-A457-4E77-A6A6-4E78E24C3D82}"/>
    <cellStyle name="Normal 2 4 7 2 3 4" xfId="9744" xr:uid="{CCA6A8DA-9A33-483B-832A-994E1FB6E8E8}"/>
    <cellStyle name="Normal 2 4 7 2 4" xfId="1637" xr:uid="{00000000-0005-0000-0000-0000DE100000}"/>
    <cellStyle name="Normal 2 4 7 2 4 2" xfId="3867" xr:uid="{00000000-0005-0000-0000-0000DF100000}"/>
    <cellStyle name="Normal 2 4 7 2 4 2 2" xfId="8091" xr:uid="{00000000-0005-0000-0000-0000E0100000}"/>
    <cellStyle name="Normal 2 4 7 2 4 2 2 2" xfId="16520" xr:uid="{AA9A6EDD-24AC-4B7E-8770-7A75245A7D49}"/>
    <cellStyle name="Normal 2 4 7 2 4 2 3" xfId="12302" xr:uid="{013A4E90-AA90-4081-AB05-EEC38E4D1A3D}"/>
    <cellStyle name="Normal 2 4 7 2 4 3" xfId="5946" xr:uid="{00000000-0005-0000-0000-0000E1100000}"/>
    <cellStyle name="Normal 2 4 7 2 4 3 2" xfId="14375" xr:uid="{07877234-0D46-4C35-80D8-9B116C1894BD}"/>
    <cellStyle name="Normal 2 4 7 2 4 4" xfId="10157" xr:uid="{ADF5A0D5-D520-403C-A6E4-CD9B840C420C}"/>
    <cellStyle name="Normal 2 4 7 2 5" xfId="2051" xr:uid="{00000000-0005-0000-0000-0000E2100000}"/>
    <cellStyle name="Normal 2 4 7 2 5 2" xfId="4280" xr:uid="{00000000-0005-0000-0000-0000E3100000}"/>
    <cellStyle name="Normal 2 4 7 2 5 2 2" xfId="8504" xr:uid="{00000000-0005-0000-0000-0000E4100000}"/>
    <cellStyle name="Normal 2 4 7 2 5 2 2 2" xfId="16933" xr:uid="{C7807302-6068-49D8-937C-4085567026CE}"/>
    <cellStyle name="Normal 2 4 7 2 5 2 3" xfId="12715" xr:uid="{F5BA13A3-6C2D-4959-966C-32A4CDB1CA96}"/>
    <cellStyle name="Normal 2 4 7 2 5 3" xfId="6359" xr:uid="{00000000-0005-0000-0000-0000E5100000}"/>
    <cellStyle name="Normal 2 4 7 2 5 3 2" xfId="14788" xr:uid="{A56C487D-80CB-430A-B664-01CC15B4D76C}"/>
    <cellStyle name="Normal 2 4 7 2 5 4" xfId="10570" xr:uid="{ECD7B22E-7F24-4EB3-A33C-EDC22276CF26}"/>
    <cellStyle name="Normal 2 4 7 2 6" xfId="2487" xr:uid="{00000000-0005-0000-0000-0000E6100000}"/>
    <cellStyle name="Normal 2 4 7 2 6 2" xfId="6772" xr:uid="{00000000-0005-0000-0000-0000E7100000}"/>
    <cellStyle name="Normal 2 4 7 2 6 2 2" xfId="15201" xr:uid="{48EF9845-B5D9-4D3A-9D71-F7FD2E2F7DDC}"/>
    <cellStyle name="Normal 2 4 7 2 6 3" xfId="10983" xr:uid="{C8DDD0A3-D870-47F5-A20D-369DB5A6F40F}"/>
    <cellStyle name="Normal 2 4 7 2 7" xfId="4706" xr:uid="{00000000-0005-0000-0000-0000E8100000}"/>
    <cellStyle name="Normal 2 4 7 2 7 2" xfId="13135" xr:uid="{E2F7EBDF-6156-49CD-BA58-F7B911E0EB46}"/>
    <cellStyle name="Normal 2 4 7 2 8" xfId="8917" xr:uid="{0D8F78B5-7532-479E-8558-853B1F2DBF78}"/>
    <cellStyle name="Normal 2 4 7 3" xfId="801" xr:uid="{00000000-0005-0000-0000-0000E9100000}"/>
    <cellStyle name="Normal 2 4 7 3 2" xfId="3040" xr:uid="{00000000-0005-0000-0000-0000EA100000}"/>
    <cellStyle name="Normal 2 4 7 3 2 2" xfId="7264" xr:uid="{00000000-0005-0000-0000-0000EB100000}"/>
    <cellStyle name="Normal 2 4 7 3 2 2 2" xfId="15693" xr:uid="{1E647792-2713-408B-B1E6-4C9F1EFFDE27}"/>
    <cellStyle name="Normal 2 4 7 3 2 3" xfId="11475" xr:uid="{2986E0B3-607B-45C4-B03A-3ED7178434A5}"/>
    <cellStyle name="Normal 2 4 7 3 3" xfId="5119" xr:uid="{00000000-0005-0000-0000-0000EC100000}"/>
    <cellStyle name="Normal 2 4 7 3 3 2" xfId="13548" xr:uid="{4798EFC1-DC1F-4B7C-9D8D-3223F1D261CE}"/>
    <cellStyle name="Normal 2 4 7 3 4" xfId="9330" xr:uid="{20D3C803-0127-49C3-8AE3-2E024928844A}"/>
    <cellStyle name="Normal 2 4 7 4" xfId="1223" xr:uid="{00000000-0005-0000-0000-0000ED100000}"/>
    <cellStyle name="Normal 2 4 7 4 2" xfId="3453" xr:uid="{00000000-0005-0000-0000-0000EE100000}"/>
    <cellStyle name="Normal 2 4 7 4 2 2" xfId="7677" xr:uid="{00000000-0005-0000-0000-0000EF100000}"/>
    <cellStyle name="Normal 2 4 7 4 2 2 2" xfId="16106" xr:uid="{08589B1D-E84C-4344-89D1-B4F1A5F195BD}"/>
    <cellStyle name="Normal 2 4 7 4 2 3" xfId="11888" xr:uid="{F9B1218C-FF1E-4540-9CCD-CCE9B1550739}"/>
    <cellStyle name="Normal 2 4 7 4 3" xfId="5532" xr:uid="{00000000-0005-0000-0000-0000F0100000}"/>
    <cellStyle name="Normal 2 4 7 4 3 2" xfId="13961" xr:uid="{AC7A14FD-2657-4916-97D6-F3759778CFAC}"/>
    <cellStyle name="Normal 2 4 7 4 4" xfId="9743" xr:uid="{09E424E2-C6CE-4D42-8B1C-1C4BE36A623F}"/>
    <cellStyle name="Normal 2 4 7 5" xfId="1636" xr:uid="{00000000-0005-0000-0000-0000F1100000}"/>
    <cellStyle name="Normal 2 4 7 5 2" xfId="3866" xr:uid="{00000000-0005-0000-0000-0000F2100000}"/>
    <cellStyle name="Normal 2 4 7 5 2 2" xfId="8090" xr:uid="{00000000-0005-0000-0000-0000F3100000}"/>
    <cellStyle name="Normal 2 4 7 5 2 2 2" xfId="16519" xr:uid="{39E3E187-4393-4089-80EE-E0449A1BA719}"/>
    <cellStyle name="Normal 2 4 7 5 2 3" xfId="12301" xr:uid="{BEE4D095-D648-4B10-8090-D5738A5D839D}"/>
    <cellStyle name="Normal 2 4 7 5 3" xfId="5945" xr:uid="{00000000-0005-0000-0000-0000F4100000}"/>
    <cellStyle name="Normal 2 4 7 5 3 2" xfId="14374" xr:uid="{F59B1C81-46D9-461D-8F5F-1272C9336CDA}"/>
    <cellStyle name="Normal 2 4 7 5 4" xfId="10156" xr:uid="{D413C85A-F08A-43B3-B379-3D653889D023}"/>
    <cellStyle name="Normal 2 4 7 6" xfId="2050" xr:uid="{00000000-0005-0000-0000-0000F5100000}"/>
    <cellStyle name="Normal 2 4 7 6 2" xfId="4279" xr:uid="{00000000-0005-0000-0000-0000F6100000}"/>
    <cellStyle name="Normal 2 4 7 6 2 2" xfId="8503" xr:uid="{00000000-0005-0000-0000-0000F7100000}"/>
    <cellStyle name="Normal 2 4 7 6 2 2 2" xfId="16932" xr:uid="{0112CAA3-526D-4005-B3D4-382738B87793}"/>
    <cellStyle name="Normal 2 4 7 6 2 3" xfId="12714" xr:uid="{889FC544-25B4-4200-B86B-6BD6C60F4F1E}"/>
    <cellStyle name="Normal 2 4 7 6 3" xfId="6358" xr:uid="{00000000-0005-0000-0000-0000F8100000}"/>
    <cellStyle name="Normal 2 4 7 6 3 2" xfId="14787" xr:uid="{DC2F02D7-6BA9-4199-89C6-ED498EA5A8A6}"/>
    <cellStyle name="Normal 2 4 7 6 4" xfId="10569" xr:uid="{52DA83A6-2273-4F8C-B748-9B0FB9C800BE}"/>
    <cellStyle name="Normal 2 4 7 7" xfId="2486" xr:uid="{00000000-0005-0000-0000-0000F9100000}"/>
    <cellStyle name="Normal 2 4 7 7 2" xfId="6771" xr:uid="{00000000-0005-0000-0000-0000FA100000}"/>
    <cellStyle name="Normal 2 4 7 7 2 2" xfId="15200" xr:uid="{4075E1EE-C092-43CA-BB5D-913A3B8F5FE8}"/>
    <cellStyle name="Normal 2 4 7 7 3" xfId="10982" xr:uid="{9871D996-C557-4CAB-9678-B63C6251C267}"/>
    <cellStyle name="Normal 2 4 7 8" xfId="4705" xr:uid="{00000000-0005-0000-0000-0000FB100000}"/>
    <cellStyle name="Normal 2 4 7 8 2" xfId="13134" xr:uid="{CC587886-E58D-4B51-9414-417FD398B4C2}"/>
    <cellStyle name="Normal 2 4 7 9" xfId="8916" xr:uid="{BEC04C69-D9A7-4EB0-8712-52AB827116AF}"/>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2 2" xfId="15695" xr:uid="{696F7B35-85A0-4FB9-A8B7-F21CCEB1EF9E}"/>
    <cellStyle name="Normal 2 4 8 2 2 3" xfId="11477" xr:uid="{5366196E-0E85-4918-BAA1-D81831BB752F}"/>
    <cellStyle name="Normal 2 4 8 2 3" xfId="5121" xr:uid="{00000000-0005-0000-0000-000000110000}"/>
    <cellStyle name="Normal 2 4 8 2 3 2" xfId="13550" xr:uid="{F2176C52-6E1C-4847-82E9-D843D47589C5}"/>
    <cellStyle name="Normal 2 4 8 2 4" xfId="9332" xr:uid="{1D0B7240-1321-4741-B8E1-63C6A3215F66}"/>
    <cellStyle name="Normal 2 4 8 3" xfId="1225" xr:uid="{00000000-0005-0000-0000-000001110000}"/>
    <cellStyle name="Normal 2 4 8 3 2" xfId="3455" xr:uid="{00000000-0005-0000-0000-000002110000}"/>
    <cellStyle name="Normal 2 4 8 3 2 2" xfId="7679" xr:uid="{00000000-0005-0000-0000-000003110000}"/>
    <cellStyle name="Normal 2 4 8 3 2 2 2" xfId="16108" xr:uid="{72582B16-DC57-4461-BC58-2D7FCEE315CC}"/>
    <cellStyle name="Normal 2 4 8 3 2 3" xfId="11890" xr:uid="{EE999B39-64CC-49B7-85A3-5EFE6C2EE575}"/>
    <cellStyle name="Normal 2 4 8 3 3" xfId="5534" xr:uid="{00000000-0005-0000-0000-000004110000}"/>
    <cellStyle name="Normal 2 4 8 3 3 2" xfId="13963" xr:uid="{7BA8D630-B1E0-479C-BFD7-E93D681B9772}"/>
    <cellStyle name="Normal 2 4 8 3 4" xfId="9745" xr:uid="{25C2D280-9BB7-4683-AACA-B1AAA45D6C6C}"/>
    <cellStyle name="Normal 2 4 8 4" xfId="1638" xr:uid="{00000000-0005-0000-0000-000005110000}"/>
    <cellStyle name="Normal 2 4 8 4 2" xfId="3868" xr:uid="{00000000-0005-0000-0000-000006110000}"/>
    <cellStyle name="Normal 2 4 8 4 2 2" xfId="8092" xr:uid="{00000000-0005-0000-0000-000007110000}"/>
    <cellStyle name="Normal 2 4 8 4 2 2 2" xfId="16521" xr:uid="{0014C19E-706C-4AF7-8AFE-AA4254AD534D}"/>
    <cellStyle name="Normal 2 4 8 4 2 3" xfId="12303" xr:uid="{A013DC2A-9924-4E03-9284-AB2BEE85C1D9}"/>
    <cellStyle name="Normal 2 4 8 4 3" xfId="5947" xr:uid="{00000000-0005-0000-0000-000008110000}"/>
    <cellStyle name="Normal 2 4 8 4 3 2" xfId="14376" xr:uid="{83A0C6E1-ED4C-47BC-AE22-442DCA5D4D41}"/>
    <cellStyle name="Normal 2 4 8 4 4" xfId="10158" xr:uid="{E82A58E1-782C-4D4A-967C-77CBF7278343}"/>
    <cellStyle name="Normal 2 4 8 5" xfId="2052" xr:uid="{00000000-0005-0000-0000-000009110000}"/>
    <cellStyle name="Normal 2 4 8 5 2" xfId="4281" xr:uid="{00000000-0005-0000-0000-00000A110000}"/>
    <cellStyle name="Normal 2 4 8 5 2 2" xfId="8505" xr:uid="{00000000-0005-0000-0000-00000B110000}"/>
    <cellStyle name="Normal 2 4 8 5 2 2 2" xfId="16934" xr:uid="{1FED61B0-EA1B-412D-9A25-E1E7F8547DA2}"/>
    <cellStyle name="Normal 2 4 8 5 2 3" xfId="12716" xr:uid="{4478363B-A2EF-438B-9ACA-7E586EA1D819}"/>
    <cellStyle name="Normal 2 4 8 5 3" xfId="6360" xr:uid="{00000000-0005-0000-0000-00000C110000}"/>
    <cellStyle name="Normal 2 4 8 5 3 2" xfId="14789" xr:uid="{EFFD9D52-9031-405E-B0DA-E110EAA5CC76}"/>
    <cellStyle name="Normal 2 4 8 5 4" xfId="10571" xr:uid="{826C8F43-2AAE-42B0-A9BF-6BA039F76774}"/>
    <cellStyle name="Normal 2 4 8 6" xfId="2488" xr:uid="{00000000-0005-0000-0000-00000D110000}"/>
    <cellStyle name="Normal 2 4 8 6 2" xfId="6773" xr:uid="{00000000-0005-0000-0000-00000E110000}"/>
    <cellStyle name="Normal 2 4 8 6 2 2" xfId="15202" xr:uid="{8A6412DA-C668-40F1-9E67-BA1EF7A28BCC}"/>
    <cellStyle name="Normal 2 4 8 6 3" xfId="10984" xr:uid="{4E3291F3-B5D8-4DB0-A13C-61D552BBA029}"/>
    <cellStyle name="Normal 2 4 8 7" xfId="4707" xr:uid="{00000000-0005-0000-0000-00000F110000}"/>
    <cellStyle name="Normal 2 4 8 7 2" xfId="13136" xr:uid="{55673CA9-7487-4EC7-A2DC-255F9108963E}"/>
    <cellStyle name="Normal 2 4 8 8" xfId="8918" xr:uid="{0BFD730E-6BC9-4BC3-A520-1B74477670AA}"/>
    <cellStyle name="Normal 2 5" xfId="315" xr:uid="{00000000-0005-0000-0000-000010110000}"/>
    <cellStyle name="Normal 2 5 10" xfId="4708" xr:uid="{00000000-0005-0000-0000-000011110000}"/>
    <cellStyle name="Normal 2 5 10 2" xfId="13137" xr:uid="{3D5CEC3F-1713-4D8A-A457-243467B0CBF9}"/>
    <cellStyle name="Normal 2 5 11" xfId="8919" xr:uid="{683EA6E9-CDF7-42FF-8075-E3B1A178D00B}"/>
    <cellStyle name="Normal 2 5 2" xfId="316" xr:uid="{00000000-0005-0000-0000-000012110000}"/>
    <cellStyle name="Normal 2 5 3" xfId="317" xr:uid="{00000000-0005-0000-0000-000013110000}"/>
    <cellStyle name="Normal 2 5 4" xfId="318" xr:uid="{00000000-0005-0000-0000-000014110000}"/>
    <cellStyle name="Normal 2 5 4 10" xfId="8920" xr:uid="{F094DA71-6946-402F-841F-E8E3DDF37039}"/>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2 2" xfId="15699" xr:uid="{5D21312E-0C6D-4F97-86B6-DB5373F7B822}"/>
    <cellStyle name="Normal 2 5 4 2 2 2 2 3" xfId="11481" xr:uid="{E3CBBC97-A6A1-437E-80AF-FC8223E8D17A}"/>
    <cellStyle name="Normal 2 5 4 2 2 2 3" xfId="5125" xr:uid="{00000000-0005-0000-0000-00001A110000}"/>
    <cellStyle name="Normal 2 5 4 2 2 2 3 2" xfId="13554" xr:uid="{FA3CDB68-F08C-45E6-81AD-A521BD6D107C}"/>
    <cellStyle name="Normal 2 5 4 2 2 2 4" xfId="9336" xr:uid="{F02E914B-EC62-4BEA-9619-4365941D966F}"/>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2 2" xfId="16112" xr:uid="{C104A63A-0121-488B-8FC0-F92E2C8D4EF3}"/>
    <cellStyle name="Normal 2 5 4 2 2 3 2 3" xfId="11894" xr:uid="{D134511D-FDC2-4A66-9B26-E233448B025B}"/>
    <cellStyle name="Normal 2 5 4 2 2 3 3" xfId="5538" xr:uid="{00000000-0005-0000-0000-00001E110000}"/>
    <cellStyle name="Normal 2 5 4 2 2 3 3 2" xfId="13967" xr:uid="{9964074A-F196-4B2E-802D-CD15F5EC0E36}"/>
    <cellStyle name="Normal 2 5 4 2 2 3 4" xfId="9749" xr:uid="{0AF226F1-2A87-4D7F-A866-A99FCEB4B00D}"/>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2 2" xfId="16525" xr:uid="{3E187701-EF6A-42E8-BD8E-F49DB482094B}"/>
    <cellStyle name="Normal 2 5 4 2 2 4 2 3" xfId="12307" xr:uid="{40B39EB0-ACD0-4647-A6C2-A2ACAE0279C5}"/>
    <cellStyle name="Normal 2 5 4 2 2 4 3" xfId="5951" xr:uid="{00000000-0005-0000-0000-000022110000}"/>
    <cellStyle name="Normal 2 5 4 2 2 4 3 2" xfId="14380" xr:uid="{FAA83129-3A50-4937-BB01-5BC269320D35}"/>
    <cellStyle name="Normal 2 5 4 2 2 4 4" xfId="10162" xr:uid="{437A0F6A-E25D-4913-AF8C-B94069BEC0E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2 2" xfId="16938" xr:uid="{A2AB8E8F-8510-466B-A894-5A31F45CA34D}"/>
    <cellStyle name="Normal 2 5 4 2 2 5 2 3" xfId="12720" xr:uid="{DF6DCC1F-E52A-4E31-84E3-18D04608D738}"/>
    <cellStyle name="Normal 2 5 4 2 2 5 3" xfId="6364" xr:uid="{00000000-0005-0000-0000-000026110000}"/>
    <cellStyle name="Normal 2 5 4 2 2 5 3 2" xfId="14793" xr:uid="{2788807A-3ABD-4851-B11D-AEE44A5BEA48}"/>
    <cellStyle name="Normal 2 5 4 2 2 5 4" xfId="10575" xr:uid="{B5048DC2-99CC-4D58-9C9C-A9AAB1D6E956}"/>
    <cellStyle name="Normal 2 5 4 2 2 6" xfId="2492" xr:uid="{00000000-0005-0000-0000-000027110000}"/>
    <cellStyle name="Normal 2 5 4 2 2 6 2" xfId="6777" xr:uid="{00000000-0005-0000-0000-000028110000}"/>
    <cellStyle name="Normal 2 5 4 2 2 6 2 2" xfId="15206" xr:uid="{11214EE9-3429-4E9E-AD6F-6C13688315E9}"/>
    <cellStyle name="Normal 2 5 4 2 2 6 3" xfId="10988" xr:uid="{2A8B4747-909D-4B82-9F75-4E400A0C3EBE}"/>
    <cellStyle name="Normal 2 5 4 2 2 7" xfId="4711" xr:uid="{00000000-0005-0000-0000-000029110000}"/>
    <cellStyle name="Normal 2 5 4 2 2 7 2" xfId="13140" xr:uid="{9A52E4EF-B261-4715-AB1C-E7DACA8E9307}"/>
    <cellStyle name="Normal 2 5 4 2 2 8" xfId="8922" xr:uid="{01F401F9-2997-412A-A803-70CE3E9E4016}"/>
    <cellStyle name="Normal 2 5 4 2 3" xfId="806" xr:uid="{00000000-0005-0000-0000-00002A110000}"/>
    <cellStyle name="Normal 2 5 4 2 3 2" xfId="3045" xr:uid="{00000000-0005-0000-0000-00002B110000}"/>
    <cellStyle name="Normal 2 5 4 2 3 2 2" xfId="7269" xr:uid="{00000000-0005-0000-0000-00002C110000}"/>
    <cellStyle name="Normal 2 5 4 2 3 2 2 2" xfId="15698" xr:uid="{9A393C3D-34E6-4582-9ADD-0BA76B13CF2F}"/>
    <cellStyle name="Normal 2 5 4 2 3 2 3" xfId="11480" xr:uid="{4E9343FA-D2C1-4BD3-80B8-4732273E6E79}"/>
    <cellStyle name="Normal 2 5 4 2 3 3" xfId="5124" xr:uid="{00000000-0005-0000-0000-00002D110000}"/>
    <cellStyle name="Normal 2 5 4 2 3 3 2" xfId="13553" xr:uid="{E285CB45-D541-495D-84C6-8A838772788C}"/>
    <cellStyle name="Normal 2 5 4 2 3 4" xfId="9335" xr:uid="{4975BCD9-2B35-452D-BBA4-B715BE348272}"/>
    <cellStyle name="Normal 2 5 4 2 4" xfId="1228" xr:uid="{00000000-0005-0000-0000-00002E110000}"/>
    <cellStyle name="Normal 2 5 4 2 4 2" xfId="3458" xr:uid="{00000000-0005-0000-0000-00002F110000}"/>
    <cellStyle name="Normal 2 5 4 2 4 2 2" xfId="7682" xr:uid="{00000000-0005-0000-0000-000030110000}"/>
    <cellStyle name="Normal 2 5 4 2 4 2 2 2" xfId="16111" xr:uid="{616F4A68-076D-4492-826B-0A5E6D16FD88}"/>
    <cellStyle name="Normal 2 5 4 2 4 2 3" xfId="11893" xr:uid="{65B76095-315B-4AC8-9DD8-9E9E1BF9E54F}"/>
    <cellStyle name="Normal 2 5 4 2 4 3" xfId="5537" xr:uid="{00000000-0005-0000-0000-000031110000}"/>
    <cellStyle name="Normal 2 5 4 2 4 3 2" xfId="13966" xr:uid="{6C6E9E06-417E-4C4D-BB3F-E84AE0EA6A99}"/>
    <cellStyle name="Normal 2 5 4 2 4 4" xfId="9748" xr:uid="{DD468066-71EA-4F01-96CB-F6027DEABDAD}"/>
    <cellStyle name="Normal 2 5 4 2 5" xfId="1641" xr:uid="{00000000-0005-0000-0000-000032110000}"/>
    <cellStyle name="Normal 2 5 4 2 5 2" xfId="3871" xr:uid="{00000000-0005-0000-0000-000033110000}"/>
    <cellStyle name="Normal 2 5 4 2 5 2 2" xfId="8095" xr:uid="{00000000-0005-0000-0000-000034110000}"/>
    <cellStyle name="Normal 2 5 4 2 5 2 2 2" xfId="16524" xr:uid="{39795883-3627-453A-85E4-5402915579AF}"/>
    <cellStyle name="Normal 2 5 4 2 5 2 3" xfId="12306" xr:uid="{7FB8CD85-345A-421A-81DF-FEF5AAFC6975}"/>
    <cellStyle name="Normal 2 5 4 2 5 3" xfId="5950" xr:uid="{00000000-0005-0000-0000-000035110000}"/>
    <cellStyle name="Normal 2 5 4 2 5 3 2" xfId="14379" xr:uid="{C1D63F6C-8EBB-4831-B46A-A61B58FB7004}"/>
    <cellStyle name="Normal 2 5 4 2 5 4" xfId="10161" xr:uid="{07850B0C-E489-4E81-9FE4-804D6FD5E5D3}"/>
    <cellStyle name="Normal 2 5 4 2 6" xfId="2055" xr:uid="{00000000-0005-0000-0000-000036110000}"/>
    <cellStyle name="Normal 2 5 4 2 6 2" xfId="4284" xr:uid="{00000000-0005-0000-0000-000037110000}"/>
    <cellStyle name="Normal 2 5 4 2 6 2 2" xfId="8508" xr:uid="{00000000-0005-0000-0000-000038110000}"/>
    <cellStyle name="Normal 2 5 4 2 6 2 2 2" xfId="16937" xr:uid="{6D7799FA-971F-4F22-BC5D-ACAC875FE281}"/>
    <cellStyle name="Normal 2 5 4 2 6 2 3" xfId="12719" xr:uid="{E178BAB8-0B00-4C38-8FB3-1A77635D436E}"/>
    <cellStyle name="Normal 2 5 4 2 6 3" xfId="6363" xr:uid="{00000000-0005-0000-0000-000039110000}"/>
    <cellStyle name="Normal 2 5 4 2 6 3 2" xfId="14792" xr:uid="{0E1621F1-C7BE-447B-AB19-37F79A261864}"/>
    <cellStyle name="Normal 2 5 4 2 6 4" xfId="10574" xr:uid="{973D9673-5297-4C6B-82AA-53315F48862B}"/>
    <cellStyle name="Normal 2 5 4 2 7" xfId="2491" xr:uid="{00000000-0005-0000-0000-00003A110000}"/>
    <cellStyle name="Normal 2 5 4 2 7 2" xfId="6776" xr:uid="{00000000-0005-0000-0000-00003B110000}"/>
    <cellStyle name="Normal 2 5 4 2 7 2 2" xfId="15205" xr:uid="{3B04A399-3B1B-4FB1-94E4-C564CAC717DA}"/>
    <cellStyle name="Normal 2 5 4 2 7 3" xfId="10987" xr:uid="{E54C6D2B-CB76-4F99-AC70-46D4CB67510A}"/>
    <cellStyle name="Normal 2 5 4 2 8" xfId="4710" xr:uid="{00000000-0005-0000-0000-00003C110000}"/>
    <cellStyle name="Normal 2 5 4 2 8 2" xfId="13139" xr:uid="{B82DDEE7-A823-4192-92EC-770C9B2B09BC}"/>
    <cellStyle name="Normal 2 5 4 2 9" xfId="8921" xr:uid="{EE1F7D81-CE9E-434B-926F-1547B89E9D54}"/>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2 2" xfId="15700" xr:uid="{253516B8-1612-44A1-869F-1108253B1EA5}"/>
    <cellStyle name="Normal 2 5 4 3 2 2 3" xfId="11482" xr:uid="{723053B5-A2A0-410F-A696-4DF18CF54C0C}"/>
    <cellStyle name="Normal 2 5 4 3 2 3" xfId="5126" xr:uid="{00000000-0005-0000-0000-000041110000}"/>
    <cellStyle name="Normal 2 5 4 3 2 3 2" xfId="13555" xr:uid="{1CEE3F85-FFD5-419E-AF3A-618204F471B8}"/>
    <cellStyle name="Normal 2 5 4 3 2 4" xfId="9337" xr:uid="{A1B717AF-739F-4F37-8252-130798914CEE}"/>
    <cellStyle name="Normal 2 5 4 3 3" xfId="1230" xr:uid="{00000000-0005-0000-0000-000042110000}"/>
    <cellStyle name="Normal 2 5 4 3 3 2" xfId="3460" xr:uid="{00000000-0005-0000-0000-000043110000}"/>
    <cellStyle name="Normal 2 5 4 3 3 2 2" xfId="7684" xr:uid="{00000000-0005-0000-0000-000044110000}"/>
    <cellStyle name="Normal 2 5 4 3 3 2 2 2" xfId="16113" xr:uid="{22C7602C-1B2C-401D-B1D8-4D13063D326D}"/>
    <cellStyle name="Normal 2 5 4 3 3 2 3" xfId="11895" xr:uid="{BCFC6AF3-42F1-4796-AB81-082038538C1F}"/>
    <cellStyle name="Normal 2 5 4 3 3 3" xfId="5539" xr:uid="{00000000-0005-0000-0000-000045110000}"/>
    <cellStyle name="Normal 2 5 4 3 3 3 2" xfId="13968" xr:uid="{72A87077-8238-47CD-9F34-FE58E1493ED6}"/>
    <cellStyle name="Normal 2 5 4 3 3 4" xfId="9750" xr:uid="{606660ED-5C2F-4496-96DA-105F80A60141}"/>
    <cellStyle name="Normal 2 5 4 3 4" xfId="1643" xr:uid="{00000000-0005-0000-0000-000046110000}"/>
    <cellStyle name="Normal 2 5 4 3 4 2" xfId="3873" xr:uid="{00000000-0005-0000-0000-000047110000}"/>
    <cellStyle name="Normal 2 5 4 3 4 2 2" xfId="8097" xr:uid="{00000000-0005-0000-0000-000048110000}"/>
    <cellStyle name="Normal 2 5 4 3 4 2 2 2" xfId="16526" xr:uid="{EAAB7EDC-41DF-424B-8652-E2D4409FD6CA}"/>
    <cellStyle name="Normal 2 5 4 3 4 2 3" xfId="12308" xr:uid="{A981572C-2E82-4F5B-88CD-D4E5DA8C49A8}"/>
    <cellStyle name="Normal 2 5 4 3 4 3" xfId="5952" xr:uid="{00000000-0005-0000-0000-000049110000}"/>
    <cellStyle name="Normal 2 5 4 3 4 3 2" xfId="14381" xr:uid="{23A96A02-A38F-445C-8EBA-8D2115152C84}"/>
    <cellStyle name="Normal 2 5 4 3 4 4" xfId="10163" xr:uid="{B52D310E-82C8-4DAF-9662-A64F0D5129B3}"/>
    <cellStyle name="Normal 2 5 4 3 5" xfId="2057" xr:uid="{00000000-0005-0000-0000-00004A110000}"/>
    <cellStyle name="Normal 2 5 4 3 5 2" xfId="4286" xr:uid="{00000000-0005-0000-0000-00004B110000}"/>
    <cellStyle name="Normal 2 5 4 3 5 2 2" xfId="8510" xr:uid="{00000000-0005-0000-0000-00004C110000}"/>
    <cellStyle name="Normal 2 5 4 3 5 2 2 2" xfId="16939" xr:uid="{C4504F39-CF5F-4D58-A33D-5DC094B0D056}"/>
    <cellStyle name="Normal 2 5 4 3 5 2 3" xfId="12721" xr:uid="{77090DBF-E89D-4E0E-8AAA-94ABBA8E9014}"/>
    <cellStyle name="Normal 2 5 4 3 5 3" xfId="6365" xr:uid="{00000000-0005-0000-0000-00004D110000}"/>
    <cellStyle name="Normal 2 5 4 3 5 3 2" xfId="14794" xr:uid="{C96D3821-5CEA-4857-99A8-4CC8EDEBADA5}"/>
    <cellStyle name="Normal 2 5 4 3 5 4" xfId="10576" xr:uid="{4990105B-16E7-4C53-9836-88B910F49184}"/>
    <cellStyle name="Normal 2 5 4 3 6" xfId="2493" xr:uid="{00000000-0005-0000-0000-00004E110000}"/>
    <cellStyle name="Normal 2 5 4 3 6 2" xfId="6778" xr:uid="{00000000-0005-0000-0000-00004F110000}"/>
    <cellStyle name="Normal 2 5 4 3 6 2 2" xfId="15207" xr:uid="{7A386E8C-12E0-46AF-9153-498F435ACC00}"/>
    <cellStyle name="Normal 2 5 4 3 6 3" xfId="10989" xr:uid="{42C67BFA-7F7E-4374-A3FC-D3F712204CB4}"/>
    <cellStyle name="Normal 2 5 4 3 7" xfId="4712" xr:uid="{00000000-0005-0000-0000-000050110000}"/>
    <cellStyle name="Normal 2 5 4 3 7 2" xfId="13141" xr:uid="{0CE1EDA0-673D-4CDF-9AA8-21C20A71F418}"/>
    <cellStyle name="Normal 2 5 4 3 8" xfId="8923" xr:uid="{ED142E6E-09C5-4CBA-AEAC-78B4059E86DE}"/>
    <cellStyle name="Normal 2 5 4 4" xfId="805" xr:uid="{00000000-0005-0000-0000-000051110000}"/>
    <cellStyle name="Normal 2 5 4 4 2" xfId="3044" xr:uid="{00000000-0005-0000-0000-000052110000}"/>
    <cellStyle name="Normal 2 5 4 4 2 2" xfId="7268" xr:uid="{00000000-0005-0000-0000-000053110000}"/>
    <cellStyle name="Normal 2 5 4 4 2 2 2" xfId="15697" xr:uid="{F3D9A107-8B8B-4B64-85F4-E8574E4AAD1A}"/>
    <cellStyle name="Normal 2 5 4 4 2 3" xfId="11479" xr:uid="{221CC3EE-D02E-4BB4-8B71-22C15CA67AE7}"/>
    <cellStyle name="Normal 2 5 4 4 3" xfId="5123" xr:uid="{00000000-0005-0000-0000-000054110000}"/>
    <cellStyle name="Normal 2 5 4 4 3 2" xfId="13552" xr:uid="{5CF62450-C0A8-4291-A527-5FC7528DE4CF}"/>
    <cellStyle name="Normal 2 5 4 4 4" xfId="9334" xr:uid="{9278471D-5502-4D2B-BEA1-B547FB4BF120}"/>
    <cellStyle name="Normal 2 5 4 5" xfId="1227" xr:uid="{00000000-0005-0000-0000-000055110000}"/>
    <cellStyle name="Normal 2 5 4 5 2" xfId="3457" xr:uid="{00000000-0005-0000-0000-000056110000}"/>
    <cellStyle name="Normal 2 5 4 5 2 2" xfId="7681" xr:uid="{00000000-0005-0000-0000-000057110000}"/>
    <cellStyle name="Normal 2 5 4 5 2 2 2" xfId="16110" xr:uid="{387615CB-40C1-47D5-87A1-0EF5374D5ABF}"/>
    <cellStyle name="Normal 2 5 4 5 2 3" xfId="11892" xr:uid="{BD4C8500-1D51-49B5-A549-F8267AC87427}"/>
    <cellStyle name="Normal 2 5 4 5 3" xfId="5536" xr:uid="{00000000-0005-0000-0000-000058110000}"/>
    <cellStyle name="Normal 2 5 4 5 3 2" xfId="13965" xr:uid="{53E382DD-565D-47AE-BD42-6C5BE33EA045}"/>
    <cellStyle name="Normal 2 5 4 5 4" xfId="9747" xr:uid="{206A4D6E-C908-4815-81A2-BF1D41BD4BB9}"/>
    <cellStyle name="Normal 2 5 4 6" xfId="1640" xr:uid="{00000000-0005-0000-0000-000059110000}"/>
    <cellStyle name="Normal 2 5 4 6 2" xfId="3870" xr:uid="{00000000-0005-0000-0000-00005A110000}"/>
    <cellStyle name="Normal 2 5 4 6 2 2" xfId="8094" xr:uid="{00000000-0005-0000-0000-00005B110000}"/>
    <cellStyle name="Normal 2 5 4 6 2 2 2" xfId="16523" xr:uid="{F3413313-FCDE-4ED0-AB98-B35B31959F65}"/>
    <cellStyle name="Normal 2 5 4 6 2 3" xfId="12305" xr:uid="{032DAE5F-7076-44C9-82D9-8D333F8400CA}"/>
    <cellStyle name="Normal 2 5 4 6 3" xfId="5949" xr:uid="{00000000-0005-0000-0000-00005C110000}"/>
    <cellStyle name="Normal 2 5 4 6 3 2" xfId="14378" xr:uid="{1C551DE2-678F-4A4B-BCBA-9C5C2BA862A8}"/>
    <cellStyle name="Normal 2 5 4 6 4" xfId="10160" xr:uid="{F4522E30-4EBA-4E42-820E-D73F8E0621F7}"/>
    <cellStyle name="Normal 2 5 4 7" xfId="2054" xr:uid="{00000000-0005-0000-0000-00005D110000}"/>
    <cellStyle name="Normal 2 5 4 7 2" xfId="4283" xr:uid="{00000000-0005-0000-0000-00005E110000}"/>
    <cellStyle name="Normal 2 5 4 7 2 2" xfId="8507" xr:uid="{00000000-0005-0000-0000-00005F110000}"/>
    <cellStyle name="Normal 2 5 4 7 2 2 2" xfId="16936" xr:uid="{5405B5E0-A60F-493F-95DD-E9ACFC559020}"/>
    <cellStyle name="Normal 2 5 4 7 2 3" xfId="12718" xr:uid="{51EC985F-7618-4D53-94C7-ECE39250A927}"/>
    <cellStyle name="Normal 2 5 4 7 3" xfId="6362" xr:uid="{00000000-0005-0000-0000-000060110000}"/>
    <cellStyle name="Normal 2 5 4 7 3 2" xfId="14791" xr:uid="{DD154F64-502A-4DC6-951C-DB24F2F3061D}"/>
    <cellStyle name="Normal 2 5 4 7 4" xfId="10573" xr:uid="{2BCFB16C-C6AD-482E-8F6F-A7D25D2E23F2}"/>
    <cellStyle name="Normal 2 5 4 8" xfId="2490" xr:uid="{00000000-0005-0000-0000-000061110000}"/>
    <cellStyle name="Normal 2 5 4 8 2" xfId="6775" xr:uid="{00000000-0005-0000-0000-000062110000}"/>
    <cellStyle name="Normal 2 5 4 8 2 2" xfId="15204" xr:uid="{AD287772-400A-4146-89D9-68DC15C08A9F}"/>
    <cellStyle name="Normal 2 5 4 8 3" xfId="10986" xr:uid="{0B4E2A98-6521-4894-9E9E-65721B69D773}"/>
    <cellStyle name="Normal 2 5 4 9" xfId="4709" xr:uid="{00000000-0005-0000-0000-000063110000}"/>
    <cellStyle name="Normal 2 5 4 9 2" xfId="13138" xr:uid="{5B1BD04F-7C95-4376-977D-7AC699995E84}"/>
    <cellStyle name="Normal 2 5 5" xfId="804" xr:uid="{00000000-0005-0000-0000-000064110000}"/>
    <cellStyle name="Normal 2 5 5 2" xfId="3043" xr:uid="{00000000-0005-0000-0000-000065110000}"/>
    <cellStyle name="Normal 2 5 5 2 2" xfId="7267" xr:uid="{00000000-0005-0000-0000-000066110000}"/>
    <cellStyle name="Normal 2 5 5 2 2 2" xfId="15696" xr:uid="{F27F8C0E-A155-4A12-975E-FC4B31A40ED1}"/>
    <cellStyle name="Normal 2 5 5 2 3" xfId="11478" xr:uid="{6DFCBEDC-6DF4-4FA6-A615-AC7651FF358A}"/>
    <cellStyle name="Normal 2 5 5 3" xfId="5122" xr:uid="{00000000-0005-0000-0000-000067110000}"/>
    <cellStyle name="Normal 2 5 5 3 2" xfId="13551" xr:uid="{379462A6-4E8E-4D06-B16F-EF05D62C951F}"/>
    <cellStyle name="Normal 2 5 5 4" xfId="9333" xr:uid="{3F69D7FA-5651-4029-AEDA-5155230CE88C}"/>
    <cellStyle name="Normal 2 5 6" xfId="1226" xr:uid="{00000000-0005-0000-0000-000068110000}"/>
    <cellStyle name="Normal 2 5 6 2" xfId="3456" xr:uid="{00000000-0005-0000-0000-000069110000}"/>
    <cellStyle name="Normal 2 5 6 2 2" xfId="7680" xr:uid="{00000000-0005-0000-0000-00006A110000}"/>
    <cellStyle name="Normal 2 5 6 2 2 2" xfId="16109" xr:uid="{A8B4AE55-C720-4098-8287-36210C2886A3}"/>
    <cellStyle name="Normal 2 5 6 2 3" xfId="11891" xr:uid="{B9580079-4552-4525-8661-61B75BC52AB1}"/>
    <cellStyle name="Normal 2 5 6 3" xfId="5535" xr:uid="{00000000-0005-0000-0000-00006B110000}"/>
    <cellStyle name="Normal 2 5 6 3 2" xfId="13964" xr:uid="{35ED25AD-4B59-4776-A8BC-24C8F48AC7D2}"/>
    <cellStyle name="Normal 2 5 6 4" xfId="9746" xr:uid="{62442955-1829-4837-BE54-045B1F61392D}"/>
    <cellStyle name="Normal 2 5 7" xfId="1639" xr:uid="{00000000-0005-0000-0000-00006C110000}"/>
    <cellStyle name="Normal 2 5 7 2" xfId="3869" xr:uid="{00000000-0005-0000-0000-00006D110000}"/>
    <cellStyle name="Normal 2 5 7 2 2" xfId="8093" xr:uid="{00000000-0005-0000-0000-00006E110000}"/>
    <cellStyle name="Normal 2 5 7 2 2 2" xfId="16522" xr:uid="{66EFD2DE-F21A-4DD0-BC4F-FCD523629286}"/>
    <cellStyle name="Normal 2 5 7 2 3" xfId="12304" xr:uid="{E467EF67-5379-4399-9ADD-62333996E9E2}"/>
    <cellStyle name="Normal 2 5 7 3" xfId="5948" xr:uid="{00000000-0005-0000-0000-00006F110000}"/>
    <cellStyle name="Normal 2 5 7 3 2" xfId="14377" xr:uid="{0768F263-4FD2-4FF9-8306-71177FE52E4D}"/>
    <cellStyle name="Normal 2 5 7 4" xfId="10159" xr:uid="{438A2EF1-BA43-4F70-831A-7D60C1EDC64D}"/>
    <cellStyle name="Normal 2 5 8" xfId="2053" xr:uid="{00000000-0005-0000-0000-000070110000}"/>
    <cellStyle name="Normal 2 5 8 2" xfId="4282" xr:uid="{00000000-0005-0000-0000-000071110000}"/>
    <cellStyle name="Normal 2 5 8 2 2" xfId="8506" xr:uid="{00000000-0005-0000-0000-000072110000}"/>
    <cellStyle name="Normal 2 5 8 2 2 2" xfId="16935" xr:uid="{88484ABA-5187-4637-8A1E-636766F27768}"/>
    <cellStyle name="Normal 2 5 8 2 3" xfId="12717" xr:uid="{7CAA6E87-564A-4B92-B427-61BF2550DAF7}"/>
    <cellStyle name="Normal 2 5 8 3" xfId="6361" xr:uid="{00000000-0005-0000-0000-000073110000}"/>
    <cellStyle name="Normal 2 5 8 3 2" xfId="14790" xr:uid="{12518F79-0E8D-4BC9-B7B8-BC86C62C5CB4}"/>
    <cellStyle name="Normal 2 5 8 4" xfId="10572" xr:uid="{8109B9DE-61EF-4034-92FD-0E6EA3FEE196}"/>
    <cellStyle name="Normal 2 5 9" xfId="2489" xr:uid="{00000000-0005-0000-0000-000074110000}"/>
    <cellStyle name="Normal 2 5 9 2" xfId="6774" xr:uid="{00000000-0005-0000-0000-000075110000}"/>
    <cellStyle name="Normal 2 5 9 2 2" xfId="15203" xr:uid="{176A4185-FBBC-4147-A766-FD71625F860C}"/>
    <cellStyle name="Normal 2 5 9 3" xfId="10985" xr:uid="{91FEFA00-A2A9-4793-ADFB-3EB4F7A799F1}"/>
    <cellStyle name="Normal 2 6" xfId="322" xr:uid="{00000000-0005-0000-0000-000076110000}"/>
    <cellStyle name="Normal 2 7" xfId="770" xr:uid="{00000000-0005-0000-0000-000077110000}"/>
    <cellStyle name="Normal 2 8" xfId="4496" xr:uid="{00000000-0005-0000-0000-000078110000}"/>
    <cellStyle name="Normal 2 8 2" xfId="12929" xr:uid="{F0EFEFBA-111D-475A-B5D7-BBB3E0C55A4D}"/>
    <cellStyle name="Normal 3" xfId="323" xr:uid="{00000000-0005-0000-0000-000079110000}"/>
    <cellStyle name="Normal 3 2" xfId="324" xr:uid="{00000000-0005-0000-0000-00007A110000}"/>
    <cellStyle name="Normal 3 2 10" xfId="8924" xr:uid="{38CC1316-3A96-4D1B-A780-5FFFB0B2396B}"/>
    <cellStyle name="Normal 3 2 2" xfId="325" xr:uid="{00000000-0005-0000-0000-00007B110000}"/>
    <cellStyle name="Normal 3 2 2 2" xfId="811" xr:uid="{00000000-0005-0000-0000-00007C110000}"/>
    <cellStyle name="Normal 3 2 3" xfId="326" xr:uid="{00000000-0005-0000-0000-00007D110000}"/>
    <cellStyle name="Normal 3 2 3 10" xfId="8925" xr:uid="{F1F5E797-CF86-4F43-8285-A2A3C5F2160A}"/>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2 2" xfId="15704" xr:uid="{AAFC3D60-FC9D-41AA-93FC-6EB6E40A2A7B}"/>
    <cellStyle name="Normal 3 2 3 2 2 2 2 3" xfId="11486" xr:uid="{90832D3C-2A43-421C-A375-3444FB3C9CD4}"/>
    <cellStyle name="Normal 3 2 3 2 2 2 3" xfId="5130" xr:uid="{00000000-0005-0000-0000-000083110000}"/>
    <cellStyle name="Normal 3 2 3 2 2 2 3 2" xfId="13559" xr:uid="{E879662D-997C-45A6-8533-E72C58A75402}"/>
    <cellStyle name="Normal 3 2 3 2 2 2 4" xfId="9341" xr:uid="{5F39A16C-E517-4A0A-909A-7B2BFACC8C42}"/>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2 2" xfId="16117" xr:uid="{8734B9AE-4DCB-4431-9A78-FC150F468974}"/>
    <cellStyle name="Normal 3 2 3 2 2 3 2 3" xfId="11899" xr:uid="{D559C834-DAB0-4BD7-A881-30D7BD6B8152}"/>
    <cellStyle name="Normal 3 2 3 2 2 3 3" xfId="5543" xr:uid="{00000000-0005-0000-0000-000087110000}"/>
    <cellStyle name="Normal 3 2 3 2 2 3 3 2" xfId="13972" xr:uid="{8714CCFB-19ED-492A-B695-3A89D55418C6}"/>
    <cellStyle name="Normal 3 2 3 2 2 3 4" xfId="9754" xr:uid="{77263968-C340-466C-AE19-FFD02BA98785}"/>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2 2" xfId="16530" xr:uid="{2380B8EA-8A09-4292-B0D2-E5111796F1F4}"/>
    <cellStyle name="Normal 3 2 3 2 2 4 2 3" xfId="12312" xr:uid="{90EBDF7D-BC92-4314-BA4A-3323FA150B17}"/>
    <cellStyle name="Normal 3 2 3 2 2 4 3" xfId="5956" xr:uid="{00000000-0005-0000-0000-00008B110000}"/>
    <cellStyle name="Normal 3 2 3 2 2 4 3 2" xfId="14385" xr:uid="{70CE2652-C7A4-485A-B464-196BAC19834E}"/>
    <cellStyle name="Normal 3 2 3 2 2 4 4" xfId="10167" xr:uid="{FDFE475A-ABF9-4372-9DCB-6906A5506686}"/>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2 2" xfId="16943" xr:uid="{F2AE64A8-F19C-4392-846C-3551A9B81BDB}"/>
    <cellStyle name="Normal 3 2 3 2 2 5 2 3" xfId="12725" xr:uid="{C1D3D146-256B-499D-8ADA-D5BF4BEC84DF}"/>
    <cellStyle name="Normal 3 2 3 2 2 5 3" xfId="6369" xr:uid="{00000000-0005-0000-0000-00008F110000}"/>
    <cellStyle name="Normal 3 2 3 2 2 5 3 2" xfId="14798" xr:uid="{008CCF39-F09D-4B80-8404-20D4C3C97EFA}"/>
    <cellStyle name="Normal 3 2 3 2 2 5 4" xfId="10580" xr:uid="{2780830D-9939-4626-B438-5799A8C2BDB3}"/>
    <cellStyle name="Normal 3 2 3 2 2 6" xfId="2497" xr:uid="{00000000-0005-0000-0000-000090110000}"/>
    <cellStyle name="Normal 3 2 3 2 2 6 2" xfId="6782" xr:uid="{00000000-0005-0000-0000-000091110000}"/>
    <cellStyle name="Normal 3 2 3 2 2 6 2 2" xfId="15211" xr:uid="{E8BD3340-7611-43DB-89B7-A4050517FD45}"/>
    <cellStyle name="Normal 3 2 3 2 2 6 3" xfId="10993" xr:uid="{F2D40570-1246-425E-A442-AE67583F631D}"/>
    <cellStyle name="Normal 3 2 3 2 2 7" xfId="4716" xr:uid="{00000000-0005-0000-0000-000092110000}"/>
    <cellStyle name="Normal 3 2 3 2 2 7 2" xfId="13145" xr:uid="{1E341ADE-ADE6-4450-8D14-4EFA4843A90C}"/>
    <cellStyle name="Normal 3 2 3 2 2 8" xfId="8927" xr:uid="{EE812BAA-7360-4EE2-8FD4-316FDD775CA6}"/>
    <cellStyle name="Normal 3 2 3 2 3" xfId="813" xr:uid="{00000000-0005-0000-0000-000093110000}"/>
    <cellStyle name="Normal 3 2 3 2 3 2" xfId="3050" xr:uid="{00000000-0005-0000-0000-000094110000}"/>
    <cellStyle name="Normal 3 2 3 2 3 2 2" xfId="7274" xr:uid="{00000000-0005-0000-0000-000095110000}"/>
    <cellStyle name="Normal 3 2 3 2 3 2 2 2" xfId="15703" xr:uid="{FAEAD54F-E37A-4D95-B12F-9D85A57A1F06}"/>
    <cellStyle name="Normal 3 2 3 2 3 2 3" xfId="11485" xr:uid="{B09D2B55-EAFC-49B2-A0AF-F65ACA351ABF}"/>
    <cellStyle name="Normal 3 2 3 2 3 3" xfId="5129" xr:uid="{00000000-0005-0000-0000-000096110000}"/>
    <cellStyle name="Normal 3 2 3 2 3 3 2" xfId="13558" xr:uid="{93FADC54-5AA3-485C-BD6E-9B787D2C606E}"/>
    <cellStyle name="Normal 3 2 3 2 3 4" xfId="9340" xr:uid="{0AE04531-A214-4AF0-BF50-331EF0EB6F11}"/>
    <cellStyle name="Normal 3 2 3 2 4" xfId="1233" xr:uid="{00000000-0005-0000-0000-000097110000}"/>
    <cellStyle name="Normal 3 2 3 2 4 2" xfId="3463" xr:uid="{00000000-0005-0000-0000-000098110000}"/>
    <cellStyle name="Normal 3 2 3 2 4 2 2" xfId="7687" xr:uid="{00000000-0005-0000-0000-000099110000}"/>
    <cellStyle name="Normal 3 2 3 2 4 2 2 2" xfId="16116" xr:uid="{CE984419-F5A1-4D0E-A0C9-4F37BAD0437E}"/>
    <cellStyle name="Normal 3 2 3 2 4 2 3" xfId="11898" xr:uid="{A89274D6-8A93-47DE-903A-BBCDFD89D6CC}"/>
    <cellStyle name="Normal 3 2 3 2 4 3" xfId="5542" xr:uid="{00000000-0005-0000-0000-00009A110000}"/>
    <cellStyle name="Normal 3 2 3 2 4 3 2" xfId="13971" xr:uid="{33643112-DE12-4324-86C7-86615DFC0A4A}"/>
    <cellStyle name="Normal 3 2 3 2 4 4" xfId="9753" xr:uid="{5E47BAD0-30AA-4166-9956-1FA652AEC644}"/>
    <cellStyle name="Normal 3 2 3 2 5" xfId="1646" xr:uid="{00000000-0005-0000-0000-00009B110000}"/>
    <cellStyle name="Normal 3 2 3 2 5 2" xfId="3876" xr:uid="{00000000-0005-0000-0000-00009C110000}"/>
    <cellStyle name="Normal 3 2 3 2 5 2 2" xfId="8100" xr:uid="{00000000-0005-0000-0000-00009D110000}"/>
    <cellStyle name="Normal 3 2 3 2 5 2 2 2" xfId="16529" xr:uid="{1A9C0DEF-6419-4526-94C8-E03631DE1B85}"/>
    <cellStyle name="Normal 3 2 3 2 5 2 3" xfId="12311" xr:uid="{7B158146-8FAF-46B5-8D77-4D9BD6BD8CD9}"/>
    <cellStyle name="Normal 3 2 3 2 5 3" xfId="5955" xr:uid="{00000000-0005-0000-0000-00009E110000}"/>
    <cellStyle name="Normal 3 2 3 2 5 3 2" xfId="14384" xr:uid="{1A2FE29E-3611-4766-A0B4-4E95B39E131C}"/>
    <cellStyle name="Normal 3 2 3 2 5 4" xfId="10166" xr:uid="{04BA1E68-4E91-41F5-9B4A-D42F7FB1048B}"/>
    <cellStyle name="Normal 3 2 3 2 6" xfId="2060" xr:uid="{00000000-0005-0000-0000-00009F110000}"/>
    <cellStyle name="Normal 3 2 3 2 6 2" xfId="4289" xr:uid="{00000000-0005-0000-0000-0000A0110000}"/>
    <cellStyle name="Normal 3 2 3 2 6 2 2" xfId="8513" xr:uid="{00000000-0005-0000-0000-0000A1110000}"/>
    <cellStyle name="Normal 3 2 3 2 6 2 2 2" xfId="16942" xr:uid="{FB53989A-310B-4FE2-AD51-1E1014DA126A}"/>
    <cellStyle name="Normal 3 2 3 2 6 2 3" xfId="12724" xr:uid="{821E5E28-A58C-454C-A0BF-5AD60D73D425}"/>
    <cellStyle name="Normal 3 2 3 2 6 3" xfId="6368" xr:uid="{00000000-0005-0000-0000-0000A2110000}"/>
    <cellStyle name="Normal 3 2 3 2 6 3 2" xfId="14797" xr:uid="{39DD601B-6D9F-40E6-911B-0169FA4AEF68}"/>
    <cellStyle name="Normal 3 2 3 2 6 4" xfId="10579" xr:uid="{F0D9E559-7FA1-4F4C-BE9C-DBB35DCBAB05}"/>
    <cellStyle name="Normal 3 2 3 2 7" xfId="2496" xr:uid="{00000000-0005-0000-0000-0000A3110000}"/>
    <cellStyle name="Normal 3 2 3 2 7 2" xfId="6781" xr:uid="{00000000-0005-0000-0000-0000A4110000}"/>
    <cellStyle name="Normal 3 2 3 2 7 2 2" xfId="15210" xr:uid="{10BA9C06-D672-4FF1-A789-F25FC035E7BB}"/>
    <cellStyle name="Normal 3 2 3 2 7 3" xfId="10992" xr:uid="{CA0D75DD-E9A8-4F2E-A137-C7346648B15B}"/>
    <cellStyle name="Normal 3 2 3 2 8" xfId="4715" xr:uid="{00000000-0005-0000-0000-0000A5110000}"/>
    <cellStyle name="Normal 3 2 3 2 8 2" xfId="13144" xr:uid="{0CD56D8D-FDC6-42CC-8C7B-3F3799E6C47C}"/>
    <cellStyle name="Normal 3 2 3 2 9" xfId="8926" xr:uid="{356305CB-31CB-4A40-8FDD-BA1EB590659C}"/>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2 2" xfId="15705" xr:uid="{085EACB7-350D-4C24-B7B3-39AB828CFE9B}"/>
    <cellStyle name="Normal 3 2 3 3 2 2 3" xfId="11487" xr:uid="{388B1C6A-2F6F-402A-81A6-D32AFCA8D6B6}"/>
    <cellStyle name="Normal 3 2 3 3 2 3" xfId="5131" xr:uid="{00000000-0005-0000-0000-0000AA110000}"/>
    <cellStyle name="Normal 3 2 3 3 2 3 2" xfId="13560" xr:uid="{9C66ACDA-6E1D-4D10-985D-DBC272A01059}"/>
    <cellStyle name="Normal 3 2 3 3 2 4" xfId="9342" xr:uid="{9C21B453-995C-42DB-84C7-9610E6A7EEBD}"/>
    <cellStyle name="Normal 3 2 3 3 3" xfId="1235" xr:uid="{00000000-0005-0000-0000-0000AB110000}"/>
    <cellStyle name="Normal 3 2 3 3 3 2" xfId="3465" xr:uid="{00000000-0005-0000-0000-0000AC110000}"/>
    <cellStyle name="Normal 3 2 3 3 3 2 2" xfId="7689" xr:uid="{00000000-0005-0000-0000-0000AD110000}"/>
    <cellStyle name="Normal 3 2 3 3 3 2 2 2" xfId="16118" xr:uid="{9E354EAA-4019-4B67-9584-32477A1E0920}"/>
    <cellStyle name="Normal 3 2 3 3 3 2 3" xfId="11900" xr:uid="{576244A4-E6DA-4FF9-AE75-B6F2334EB2CC}"/>
    <cellStyle name="Normal 3 2 3 3 3 3" xfId="5544" xr:uid="{00000000-0005-0000-0000-0000AE110000}"/>
    <cellStyle name="Normal 3 2 3 3 3 3 2" xfId="13973" xr:uid="{F7FCADCF-9314-40D4-9DDC-A5301A42063B}"/>
    <cellStyle name="Normal 3 2 3 3 3 4" xfId="9755" xr:uid="{B00B4907-A5F4-4590-B25A-5BD65AFF2A40}"/>
    <cellStyle name="Normal 3 2 3 3 4" xfId="1648" xr:uid="{00000000-0005-0000-0000-0000AF110000}"/>
    <cellStyle name="Normal 3 2 3 3 4 2" xfId="3878" xr:uid="{00000000-0005-0000-0000-0000B0110000}"/>
    <cellStyle name="Normal 3 2 3 3 4 2 2" xfId="8102" xr:uid="{00000000-0005-0000-0000-0000B1110000}"/>
    <cellStyle name="Normal 3 2 3 3 4 2 2 2" xfId="16531" xr:uid="{E3EF185A-97E5-4853-A640-23FCE7A3281C}"/>
    <cellStyle name="Normal 3 2 3 3 4 2 3" xfId="12313" xr:uid="{E161B77D-D87E-4C76-97BA-44999586B882}"/>
    <cellStyle name="Normal 3 2 3 3 4 3" xfId="5957" xr:uid="{00000000-0005-0000-0000-0000B2110000}"/>
    <cellStyle name="Normal 3 2 3 3 4 3 2" xfId="14386" xr:uid="{C9825F0F-2132-4785-B1F5-BFCFEA233F02}"/>
    <cellStyle name="Normal 3 2 3 3 4 4" xfId="10168" xr:uid="{8624B4B3-7A37-4698-8A45-ED260064F748}"/>
    <cellStyle name="Normal 3 2 3 3 5" xfId="2062" xr:uid="{00000000-0005-0000-0000-0000B3110000}"/>
    <cellStyle name="Normal 3 2 3 3 5 2" xfId="4291" xr:uid="{00000000-0005-0000-0000-0000B4110000}"/>
    <cellStyle name="Normal 3 2 3 3 5 2 2" xfId="8515" xr:uid="{00000000-0005-0000-0000-0000B5110000}"/>
    <cellStyle name="Normal 3 2 3 3 5 2 2 2" xfId="16944" xr:uid="{157A5795-B0E6-46C8-9013-7C5AB540AF3A}"/>
    <cellStyle name="Normal 3 2 3 3 5 2 3" xfId="12726" xr:uid="{74073490-C041-4F74-9EA2-5FD310421D1F}"/>
    <cellStyle name="Normal 3 2 3 3 5 3" xfId="6370" xr:uid="{00000000-0005-0000-0000-0000B6110000}"/>
    <cellStyle name="Normal 3 2 3 3 5 3 2" xfId="14799" xr:uid="{6326752D-F3E1-460E-9845-F0008A43C88B}"/>
    <cellStyle name="Normal 3 2 3 3 5 4" xfId="10581" xr:uid="{3563BF32-DB59-456F-9486-6C5EA68C0249}"/>
    <cellStyle name="Normal 3 2 3 3 6" xfId="2498" xr:uid="{00000000-0005-0000-0000-0000B7110000}"/>
    <cellStyle name="Normal 3 2 3 3 6 2" xfId="6783" xr:uid="{00000000-0005-0000-0000-0000B8110000}"/>
    <cellStyle name="Normal 3 2 3 3 6 2 2" xfId="15212" xr:uid="{DAFE3AF5-A9BE-4796-B553-A0A88956E0E9}"/>
    <cellStyle name="Normal 3 2 3 3 6 3" xfId="10994" xr:uid="{2AAC2EA4-7E1A-4422-B391-636C40DC6A0A}"/>
    <cellStyle name="Normal 3 2 3 3 7" xfId="4717" xr:uid="{00000000-0005-0000-0000-0000B9110000}"/>
    <cellStyle name="Normal 3 2 3 3 7 2" xfId="13146" xr:uid="{2CB3EBC0-CB89-4899-B3E8-13B38D9E5311}"/>
    <cellStyle name="Normal 3 2 3 3 8" xfId="8928" xr:uid="{E8318573-78FE-4920-AF8A-C13757497B42}"/>
    <cellStyle name="Normal 3 2 3 4" xfId="812" xr:uid="{00000000-0005-0000-0000-0000BA110000}"/>
    <cellStyle name="Normal 3 2 3 4 2" xfId="3049" xr:uid="{00000000-0005-0000-0000-0000BB110000}"/>
    <cellStyle name="Normal 3 2 3 4 2 2" xfId="7273" xr:uid="{00000000-0005-0000-0000-0000BC110000}"/>
    <cellStyle name="Normal 3 2 3 4 2 2 2" xfId="15702" xr:uid="{F27F69FB-EEDA-4A2E-87F9-4541119A59DF}"/>
    <cellStyle name="Normal 3 2 3 4 2 3" xfId="11484" xr:uid="{FFD392A4-3834-44E8-9E04-1FAA14773C30}"/>
    <cellStyle name="Normal 3 2 3 4 3" xfId="5128" xr:uid="{00000000-0005-0000-0000-0000BD110000}"/>
    <cellStyle name="Normal 3 2 3 4 3 2" xfId="13557" xr:uid="{117FE05F-743A-444A-8AA9-46D3C64179F4}"/>
    <cellStyle name="Normal 3 2 3 4 4" xfId="9339" xr:uid="{9C0209B8-E010-4EB4-BFCE-59D3AED6949C}"/>
    <cellStyle name="Normal 3 2 3 5" xfId="1232" xr:uid="{00000000-0005-0000-0000-0000BE110000}"/>
    <cellStyle name="Normal 3 2 3 5 2" xfId="3462" xr:uid="{00000000-0005-0000-0000-0000BF110000}"/>
    <cellStyle name="Normal 3 2 3 5 2 2" xfId="7686" xr:uid="{00000000-0005-0000-0000-0000C0110000}"/>
    <cellStyle name="Normal 3 2 3 5 2 2 2" xfId="16115" xr:uid="{BAB9D285-AA28-4E6B-82A8-5DF3E04CCDFE}"/>
    <cellStyle name="Normal 3 2 3 5 2 3" xfId="11897" xr:uid="{7C73DD1C-E008-4E39-85F5-7FCAFC6F7A0B}"/>
    <cellStyle name="Normal 3 2 3 5 3" xfId="5541" xr:uid="{00000000-0005-0000-0000-0000C1110000}"/>
    <cellStyle name="Normal 3 2 3 5 3 2" xfId="13970" xr:uid="{73C5D433-B397-43FD-AD4F-D76E7D402E8A}"/>
    <cellStyle name="Normal 3 2 3 5 4" xfId="9752" xr:uid="{C555DABF-940E-469A-92DF-68DFD64088CD}"/>
    <cellStyle name="Normal 3 2 3 6" xfId="1645" xr:uid="{00000000-0005-0000-0000-0000C2110000}"/>
    <cellStyle name="Normal 3 2 3 6 2" xfId="3875" xr:uid="{00000000-0005-0000-0000-0000C3110000}"/>
    <cellStyle name="Normal 3 2 3 6 2 2" xfId="8099" xr:uid="{00000000-0005-0000-0000-0000C4110000}"/>
    <cellStyle name="Normal 3 2 3 6 2 2 2" xfId="16528" xr:uid="{21ECAE65-785B-4879-8545-5BF0A66D2828}"/>
    <cellStyle name="Normal 3 2 3 6 2 3" xfId="12310" xr:uid="{E414B07C-4377-492D-B7C9-24C254194865}"/>
    <cellStyle name="Normal 3 2 3 6 3" xfId="5954" xr:uid="{00000000-0005-0000-0000-0000C5110000}"/>
    <cellStyle name="Normal 3 2 3 6 3 2" xfId="14383" xr:uid="{A7FA9ACD-50D6-4F03-B1B4-1D92AE632CBF}"/>
    <cellStyle name="Normal 3 2 3 6 4" xfId="10165" xr:uid="{D8FC0302-5AB7-4BF6-9084-BCCCA798728E}"/>
    <cellStyle name="Normal 3 2 3 7" xfId="2059" xr:uid="{00000000-0005-0000-0000-0000C6110000}"/>
    <cellStyle name="Normal 3 2 3 7 2" xfId="4288" xr:uid="{00000000-0005-0000-0000-0000C7110000}"/>
    <cellStyle name="Normal 3 2 3 7 2 2" xfId="8512" xr:uid="{00000000-0005-0000-0000-0000C8110000}"/>
    <cellStyle name="Normal 3 2 3 7 2 2 2" xfId="16941" xr:uid="{E5B26F09-67CA-4C58-881F-C0F6D2D2BAB0}"/>
    <cellStyle name="Normal 3 2 3 7 2 3" xfId="12723" xr:uid="{F23700F2-33A3-4010-A7A8-AAB25D8F4FE5}"/>
    <cellStyle name="Normal 3 2 3 7 3" xfId="6367" xr:uid="{00000000-0005-0000-0000-0000C9110000}"/>
    <cellStyle name="Normal 3 2 3 7 3 2" xfId="14796" xr:uid="{CE10FA55-0DEF-4D37-B412-24E4FD816BAA}"/>
    <cellStyle name="Normal 3 2 3 7 4" xfId="10578" xr:uid="{D7C9053E-87A8-4088-8948-849637B6EEDD}"/>
    <cellStyle name="Normal 3 2 3 8" xfId="2495" xr:uid="{00000000-0005-0000-0000-0000CA110000}"/>
    <cellStyle name="Normal 3 2 3 8 2" xfId="6780" xr:uid="{00000000-0005-0000-0000-0000CB110000}"/>
    <cellStyle name="Normal 3 2 3 8 2 2" xfId="15209" xr:uid="{A081BF72-93B2-485E-A62A-01E87D948FB2}"/>
    <cellStyle name="Normal 3 2 3 8 3" xfId="10991" xr:uid="{A8279B8D-849D-4D0E-91BD-7BC2B61EA738}"/>
    <cellStyle name="Normal 3 2 3 9" xfId="4714" xr:uid="{00000000-0005-0000-0000-0000CC110000}"/>
    <cellStyle name="Normal 3 2 3 9 2" xfId="13143" xr:uid="{8EAD7DDE-7B06-4658-801A-B821ADA23711}"/>
    <cellStyle name="Normal 3 2 4" xfId="810" xr:uid="{00000000-0005-0000-0000-0000CD110000}"/>
    <cellStyle name="Normal 3 2 4 2" xfId="3048" xr:uid="{00000000-0005-0000-0000-0000CE110000}"/>
    <cellStyle name="Normal 3 2 4 2 2" xfId="7272" xr:uid="{00000000-0005-0000-0000-0000CF110000}"/>
    <cellStyle name="Normal 3 2 4 2 2 2" xfId="15701" xr:uid="{868F7167-6EBC-414C-B7DC-68BCEF7C46F7}"/>
    <cellStyle name="Normal 3 2 4 2 3" xfId="11483" xr:uid="{B9121971-BB0F-4194-B5FA-C27D2E5D5D01}"/>
    <cellStyle name="Normal 3 2 4 3" xfId="5127" xr:uid="{00000000-0005-0000-0000-0000D0110000}"/>
    <cellStyle name="Normal 3 2 4 3 2" xfId="13556" xr:uid="{3BCFFA13-BF9F-4AE3-8E01-FCF2840FF005}"/>
    <cellStyle name="Normal 3 2 4 4" xfId="9338" xr:uid="{BDCADEA2-FAF5-4BE2-8778-E22DF0B88EF3}"/>
    <cellStyle name="Normal 3 2 5" xfId="1231" xr:uid="{00000000-0005-0000-0000-0000D1110000}"/>
    <cellStyle name="Normal 3 2 5 2" xfId="3461" xr:uid="{00000000-0005-0000-0000-0000D2110000}"/>
    <cellStyle name="Normal 3 2 5 2 2" xfId="7685" xr:uid="{00000000-0005-0000-0000-0000D3110000}"/>
    <cellStyle name="Normal 3 2 5 2 2 2" xfId="16114" xr:uid="{9CB90914-C2C7-4DFA-979D-A0C69E9A26C2}"/>
    <cellStyle name="Normal 3 2 5 2 3" xfId="11896" xr:uid="{4A407C23-18F0-4D7C-A479-FEB8785A6E3D}"/>
    <cellStyle name="Normal 3 2 5 3" xfId="5540" xr:uid="{00000000-0005-0000-0000-0000D4110000}"/>
    <cellStyle name="Normal 3 2 5 3 2" xfId="13969" xr:uid="{191C425C-FA26-40DB-945C-30C185052BDF}"/>
    <cellStyle name="Normal 3 2 5 4" xfId="9751" xr:uid="{70F0BAE6-45E7-4186-BE00-F83021A032D8}"/>
    <cellStyle name="Normal 3 2 6" xfId="1644" xr:uid="{00000000-0005-0000-0000-0000D5110000}"/>
    <cellStyle name="Normal 3 2 6 2" xfId="3874" xr:uid="{00000000-0005-0000-0000-0000D6110000}"/>
    <cellStyle name="Normal 3 2 6 2 2" xfId="8098" xr:uid="{00000000-0005-0000-0000-0000D7110000}"/>
    <cellStyle name="Normal 3 2 6 2 2 2" xfId="16527" xr:uid="{1F33D757-151F-4914-8095-31C4E1E85080}"/>
    <cellStyle name="Normal 3 2 6 2 3" xfId="12309" xr:uid="{8B57D439-0086-4766-B97F-084A3D52165A}"/>
    <cellStyle name="Normal 3 2 6 3" xfId="5953" xr:uid="{00000000-0005-0000-0000-0000D8110000}"/>
    <cellStyle name="Normal 3 2 6 3 2" xfId="14382" xr:uid="{DF5BECAC-CD57-432F-980F-AB2A02C1F329}"/>
    <cellStyle name="Normal 3 2 6 4" xfId="10164" xr:uid="{F4CEC93B-63CF-48EF-A094-9F1935481680}"/>
    <cellStyle name="Normal 3 2 7" xfId="2058" xr:uid="{00000000-0005-0000-0000-0000D9110000}"/>
    <cellStyle name="Normal 3 2 7 2" xfId="4287" xr:uid="{00000000-0005-0000-0000-0000DA110000}"/>
    <cellStyle name="Normal 3 2 7 2 2" xfId="8511" xr:uid="{00000000-0005-0000-0000-0000DB110000}"/>
    <cellStyle name="Normal 3 2 7 2 2 2" xfId="16940" xr:uid="{63DA3E5C-0453-4A5E-9827-3F1C8EBE6627}"/>
    <cellStyle name="Normal 3 2 7 2 3" xfId="12722" xr:uid="{8C7B807C-7B20-42B3-81E0-AEF268C21144}"/>
    <cellStyle name="Normal 3 2 7 3" xfId="6366" xr:uid="{00000000-0005-0000-0000-0000DC110000}"/>
    <cellStyle name="Normal 3 2 7 3 2" xfId="14795" xr:uid="{5CF7C0F0-735F-49D8-B0D1-00315263C84B}"/>
    <cellStyle name="Normal 3 2 7 4" xfId="10577" xr:uid="{E415DFFE-4C61-48BC-8797-C920593776EC}"/>
    <cellStyle name="Normal 3 2 8" xfId="2494" xr:uid="{00000000-0005-0000-0000-0000DD110000}"/>
    <cellStyle name="Normal 3 2 8 2" xfId="6779" xr:uid="{00000000-0005-0000-0000-0000DE110000}"/>
    <cellStyle name="Normal 3 2 8 2 2" xfId="15208" xr:uid="{A70AD638-8588-4FE2-9A1A-901DEC48955D}"/>
    <cellStyle name="Normal 3 2 8 3" xfId="10990" xr:uid="{F17118EA-B578-4C97-BDCE-B7DFE4ADB3AC}"/>
    <cellStyle name="Normal 3 2 9" xfId="4713" xr:uid="{00000000-0005-0000-0000-0000DF110000}"/>
    <cellStyle name="Normal 3 2 9 2" xfId="13142" xr:uid="{B81A21BE-1FEF-4EF3-BBB3-D188D7B5D3A3}"/>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10" xfId="8929" xr:uid="{6E8666EF-C427-4DE7-9759-10A3EA3FBDD6}"/>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2 2" xfId="16945" xr:uid="{52B53AE0-16D1-4178-B7AB-254CBBDFB0EF}"/>
    <cellStyle name="Normal 4 2 2 10 2 3" xfId="12727" xr:uid="{9833671E-AB80-4B83-A243-BAFDA99F6F65}"/>
    <cellStyle name="Normal 4 2 2 10 3" xfId="6371" xr:uid="{00000000-0005-0000-0000-0000EC110000}"/>
    <cellStyle name="Normal 4 2 2 10 3 2" xfId="14800" xr:uid="{4898BF93-B84D-4872-85CF-203D50B263AA}"/>
    <cellStyle name="Normal 4 2 2 10 4" xfId="10582" xr:uid="{1E419321-4321-4440-ABB0-2563BF453B85}"/>
    <cellStyle name="Normal 4 2 2 11" xfId="2499" xr:uid="{00000000-0005-0000-0000-0000ED110000}"/>
    <cellStyle name="Normal 4 2 2 11 2" xfId="6784" xr:uid="{00000000-0005-0000-0000-0000EE110000}"/>
    <cellStyle name="Normal 4 2 2 11 2 2" xfId="15213" xr:uid="{8514D29F-67F2-4407-99CE-A68EC084E99D}"/>
    <cellStyle name="Normal 4 2 2 11 3" xfId="10995" xr:uid="{280C3EAF-9C17-4BB0-A764-F9B13A53ECFE}"/>
    <cellStyle name="Normal 4 2 2 12" xfId="4719" xr:uid="{00000000-0005-0000-0000-0000EF110000}"/>
    <cellStyle name="Normal 4 2 2 12 2" xfId="13148" xr:uid="{140756BE-70A8-498C-A148-0C59BEC45662}"/>
    <cellStyle name="Normal 4 2 2 13" xfId="8930" xr:uid="{48BB714A-6458-4F56-AFC6-A156D8094C0A}"/>
    <cellStyle name="Normal 4 2 2 2" xfId="338" xr:uid="{00000000-0005-0000-0000-0000F0110000}"/>
    <cellStyle name="Normal 4 2 2 3" xfId="339" xr:uid="{00000000-0005-0000-0000-0000F1110000}"/>
    <cellStyle name="Normal 4 2 2 3 10" xfId="4720" xr:uid="{00000000-0005-0000-0000-0000F2110000}"/>
    <cellStyle name="Normal 4 2 2 3 10 2" xfId="13149" xr:uid="{206E1AA4-7D6C-4640-96C1-712AF940503B}"/>
    <cellStyle name="Normal 4 2 2 3 11" xfId="8931" xr:uid="{2932012C-03EB-45D9-ADAA-D96A5588EFEE}"/>
    <cellStyle name="Normal 4 2 2 3 2" xfId="340" xr:uid="{00000000-0005-0000-0000-0000F3110000}"/>
    <cellStyle name="Normal 4 2 2 3 2 10" xfId="8932" xr:uid="{82B04A89-D27D-4A88-A74B-9EA41A263BF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2 2" xfId="15710" xr:uid="{C4222EE1-9020-4BE9-91A7-A4896794A73A}"/>
    <cellStyle name="Normal 4 2 2 3 2 2 2 2 2 3" xfId="11492" xr:uid="{09D02C98-768E-4E72-BAB9-04F21FB35AB0}"/>
    <cellStyle name="Normal 4 2 2 3 2 2 2 2 3" xfId="5136" xr:uid="{00000000-0005-0000-0000-0000F9110000}"/>
    <cellStyle name="Normal 4 2 2 3 2 2 2 2 3 2" xfId="13565" xr:uid="{745A1348-9EF5-464A-8CD0-6B28975A2BB4}"/>
    <cellStyle name="Normal 4 2 2 3 2 2 2 2 4" xfId="9347" xr:uid="{3109F62C-1654-4D7F-88B5-8BAD045A3CDC}"/>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2 2" xfId="16123" xr:uid="{97A191CA-2F83-4448-BB7E-FF022B31ED74}"/>
    <cellStyle name="Normal 4 2 2 3 2 2 2 3 2 3" xfId="11905" xr:uid="{3FE7AD70-506D-47BB-B12F-52F10D201F73}"/>
    <cellStyle name="Normal 4 2 2 3 2 2 2 3 3" xfId="5549" xr:uid="{00000000-0005-0000-0000-0000FD110000}"/>
    <cellStyle name="Normal 4 2 2 3 2 2 2 3 3 2" xfId="13978" xr:uid="{E86B0AB7-274D-45F8-98DC-B5A681030BD3}"/>
    <cellStyle name="Normal 4 2 2 3 2 2 2 3 4" xfId="9760" xr:uid="{43247ABB-8BAB-4376-9B6F-BAB0B6BCE4E3}"/>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2 2" xfId="16536" xr:uid="{55354108-BCBE-4F28-B345-CB34E41369A3}"/>
    <cellStyle name="Normal 4 2 2 3 2 2 2 4 2 3" xfId="12318" xr:uid="{C15346B7-2BF9-471B-AE18-C36F4D4DCCAD}"/>
    <cellStyle name="Normal 4 2 2 3 2 2 2 4 3" xfId="5962" xr:uid="{00000000-0005-0000-0000-000001120000}"/>
    <cellStyle name="Normal 4 2 2 3 2 2 2 4 3 2" xfId="14391" xr:uid="{7CF6529E-229B-418B-B58B-B120685C7FC9}"/>
    <cellStyle name="Normal 4 2 2 3 2 2 2 4 4" xfId="10173" xr:uid="{3EC03B29-06E8-430B-B479-6B7552F0834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2 2" xfId="16949" xr:uid="{DF0B5485-A86A-4C5A-96E2-444E9ABEB97E}"/>
    <cellStyle name="Normal 4 2 2 3 2 2 2 5 2 3" xfId="12731" xr:uid="{089339BA-BB0D-49B8-9287-700DBAD311E5}"/>
    <cellStyle name="Normal 4 2 2 3 2 2 2 5 3" xfId="6375" xr:uid="{00000000-0005-0000-0000-000005120000}"/>
    <cellStyle name="Normal 4 2 2 3 2 2 2 5 3 2" xfId="14804" xr:uid="{552B9126-F12B-472A-A4DD-FA1025C70635}"/>
    <cellStyle name="Normal 4 2 2 3 2 2 2 5 4" xfId="10586" xr:uid="{CA1B4A17-5C1A-49EE-90E2-6FBAE4B24671}"/>
    <cellStyle name="Normal 4 2 2 3 2 2 2 6" xfId="2503" xr:uid="{00000000-0005-0000-0000-000006120000}"/>
    <cellStyle name="Normal 4 2 2 3 2 2 2 6 2" xfId="6788" xr:uid="{00000000-0005-0000-0000-000007120000}"/>
    <cellStyle name="Normal 4 2 2 3 2 2 2 6 2 2" xfId="15217" xr:uid="{3F0DD283-CE5A-44A0-B128-F538707EA6E4}"/>
    <cellStyle name="Normal 4 2 2 3 2 2 2 6 3" xfId="10999" xr:uid="{2A90E27A-9A5B-4EAB-A8D3-028AD5DAD2D9}"/>
    <cellStyle name="Normal 4 2 2 3 2 2 2 7" xfId="4723" xr:uid="{00000000-0005-0000-0000-000008120000}"/>
    <cellStyle name="Normal 4 2 2 3 2 2 2 7 2" xfId="13152" xr:uid="{FF5BFF5D-EC66-46EF-A03A-D9003DC20F2E}"/>
    <cellStyle name="Normal 4 2 2 3 2 2 2 8" xfId="8934" xr:uid="{2998CC77-6C80-4CB7-8C98-24DF810FE62A}"/>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2 2" xfId="15709" xr:uid="{A148170D-3CA6-42CA-94F0-177BA0A5FE6D}"/>
    <cellStyle name="Normal 4 2 2 3 2 2 3 2 3" xfId="11491" xr:uid="{2F468927-7C00-4DA9-AD1B-7F564CF961F3}"/>
    <cellStyle name="Normal 4 2 2 3 2 2 3 3" xfId="5135" xr:uid="{00000000-0005-0000-0000-00000C120000}"/>
    <cellStyle name="Normal 4 2 2 3 2 2 3 3 2" xfId="13564" xr:uid="{AF7A9B80-A241-489F-B005-177DD0A5DB6D}"/>
    <cellStyle name="Normal 4 2 2 3 2 2 3 4" xfId="9346" xr:uid="{1805A784-A0A1-45B9-954B-EE0395073AE1}"/>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2 2" xfId="16122" xr:uid="{4AD9C153-1861-40C8-91C6-7230D8322CFB}"/>
    <cellStyle name="Normal 4 2 2 3 2 2 4 2 3" xfId="11904" xr:uid="{12AE602B-F73E-4F90-95ED-ADF295D0CC91}"/>
    <cellStyle name="Normal 4 2 2 3 2 2 4 3" xfId="5548" xr:uid="{00000000-0005-0000-0000-000010120000}"/>
    <cellStyle name="Normal 4 2 2 3 2 2 4 3 2" xfId="13977" xr:uid="{25849094-AE98-45C6-8507-1FC8793AD936}"/>
    <cellStyle name="Normal 4 2 2 3 2 2 4 4" xfId="9759" xr:uid="{FA51C231-1FEA-413B-8B7A-142F769C78B2}"/>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2 2" xfId="16535" xr:uid="{B308E40E-F7A1-44E7-B62B-4C11B0D92A32}"/>
    <cellStyle name="Normal 4 2 2 3 2 2 5 2 3" xfId="12317" xr:uid="{E34133EE-3BB4-4B3D-BBDA-BB8CCEA93758}"/>
    <cellStyle name="Normal 4 2 2 3 2 2 5 3" xfId="5961" xr:uid="{00000000-0005-0000-0000-000014120000}"/>
    <cellStyle name="Normal 4 2 2 3 2 2 5 3 2" xfId="14390" xr:uid="{1C6BD363-B289-44E3-A1FC-0CD4D5F1022B}"/>
    <cellStyle name="Normal 4 2 2 3 2 2 5 4" xfId="10172" xr:uid="{E34DC744-B4EA-4102-83A4-5050DB468AA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2 2" xfId="16948" xr:uid="{3EF5D10B-F64F-4CEB-B3C3-80CC7DF3333B}"/>
    <cellStyle name="Normal 4 2 2 3 2 2 6 2 3" xfId="12730" xr:uid="{D5F651F9-03B4-4557-800B-80EA823C26BF}"/>
    <cellStyle name="Normal 4 2 2 3 2 2 6 3" xfId="6374" xr:uid="{00000000-0005-0000-0000-000018120000}"/>
    <cellStyle name="Normal 4 2 2 3 2 2 6 3 2" xfId="14803" xr:uid="{C3C4EB1F-A8F7-4C5D-9E8A-536EE6A2F372}"/>
    <cellStyle name="Normal 4 2 2 3 2 2 6 4" xfId="10585" xr:uid="{3A8867F4-6CE3-4A32-80FA-5430DBBCAB95}"/>
    <cellStyle name="Normal 4 2 2 3 2 2 7" xfId="2502" xr:uid="{00000000-0005-0000-0000-000019120000}"/>
    <cellStyle name="Normal 4 2 2 3 2 2 7 2" xfId="6787" xr:uid="{00000000-0005-0000-0000-00001A120000}"/>
    <cellStyle name="Normal 4 2 2 3 2 2 7 2 2" xfId="15216" xr:uid="{05A27FF8-6AB1-4341-9B5C-E9B8A89D6F01}"/>
    <cellStyle name="Normal 4 2 2 3 2 2 7 3" xfId="10998" xr:uid="{5E20026B-88A8-4799-8493-82135229C1F2}"/>
    <cellStyle name="Normal 4 2 2 3 2 2 8" xfId="4722" xr:uid="{00000000-0005-0000-0000-00001B120000}"/>
    <cellStyle name="Normal 4 2 2 3 2 2 8 2" xfId="13151" xr:uid="{966C8D9E-4AD4-4F60-B73B-C6111467CFF4}"/>
    <cellStyle name="Normal 4 2 2 3 2 2 9" xfId="8933" xr:uid="{C977A330-A580-4FA1-B221-E04ECB357983}"/>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2 2" xfId="15711" xr:uid="{C80D87B6-293E-4AB2-98A1-BF8B1E758276}"/>
    <cellStyle name="Normal 4 2 2 3 2 3 2 2 3" xfId="11493" xr:uid="{6533B6A8-1E52-4E43-B7E4-163EB615E09B}"/>
    <cellStyle name="Normal 4 2 2 3 2 3 2 3" xfId="5137" xr:uid="{00000000-0005-0000-0000-000020120000}"/>
    <cellStyle name="Normal 4 2 2 3 2 3 2 3 2" xfId="13566" xr:uid="{ABA2895F-0702-4B9C-90FA-C04E781C4713}"/>
    <cellStyle name="Normal 4 2 2 3 2 3 2 4" xfId="9348" xr:uid="{A215F11A-3125-4A79-A67F-C2D858ADBB5F}"/>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2 2" xfId="16124" xr:uid="{AEA15AA8-FE9E-499B-9AFC-8AAD04C5CE38}"/>
    <cellStyle name="Normal 4 2 2 3 2 3 3 2 3" xfId="11906" xr:uid="{8BF320AE-C961-4369-9805-B6BF82991A25}"/>
    <cellStyle name="Normal 4 2 2 3 2 3 3 3" xfId="5550" xr:uid="{00000000-0005-0000-0000-000024120000}"/>
    <cellStyle name="Normal 4 2 2 3 2 3 3 3 2" xfId="13979" xr:uid="{AA5A05AC-E6C6-44AA-8198-AB30F6C45CFF}"/>
    <cellStyle name="Normal 4 2 2 3 2 3 3 4" xfId="9761" xr:uid="{2E1D8C82-3E6E-4BEA-AAC8-3CE1AF1D3D84}"/>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2 2" xfId="16537" xr:uid="{41A82D09-9028-4AA9-9F32-9ED547F19786}"/>
    <cellStyle name="Normal 4 2 2 3 2 3 4 2 3" xfId="12319" xr:uid="{5339C636-E722-4708-88C5-4F1E69043A42}"/>
    <cellStyle name="Normal 4 2 2 3 2 3 4 3" xfId="5963" xr:uid="{00000000-0005-0000-0000-000028120000}"/>
    <cellStyle name="Normal 4 2 2 3 2 3 4 3 2" xfId="14392" xr:uid="{D47A7EFA-E461-4AEA-B5DB-907D502657AD}"/>
    <cellStyle name="Normal 4 2 2 3 2 3 4 4" xfId="10174" xr:uid="{5AFC8B0F-2704-4309-AAC6-2C7DAC1708E3}"/>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2 2" xfId="16950" xr:uid="{BF01EA63-228A-473D-A37E-22607BB91987}"/>
    <cellStyle name="Normal 4 2 2 3 2 3 5 2 3" xfId="12732" xr:uid="{9B7EC329-3401-4EAE-8C0A-19D896464D07}"/>
    <cellStyle name="Normal 4 2 2 3 2 3 5 3" xfId="6376" xr:uid="{00000000-0005-0000-0000-00002C120000}"/>
    <cellStyle name="Normal 4 2 2 3 2 3 5 3 2" xfId="14805" xr:uid="{CD8983FC-6DA7-45FA-9BF5-88422806CB53}"/>
    <cellStyle name="Normal 4 2 2 3 2 3 5 4" xfId="10587" xr:uid="{CBE110BE-113D-424B-AF47-037CFA8B1AD1}"/>
    <cellStyle name="Normal 4 2 2 3 2 3 6" xfId="2504" xr:uid="{00000000-0005-0000-0000-00002D120000}"/>
    <cellStyle name="Normal 4 2 2 3 2 3 6 2" xfId="6789" xr:uid="{00000000-0005-0000-0000-00002E120000}"/>
    <cellStyle name="Normal 4 2 2 3 2 3 6 2 2" xfId="15218" xr:uid="{6507338B-9693-425A-B424-482B696C7266}"/>
    <cellStyle name="Normal 4 2 2 3 2 3 6 3" xfId="11000" xr:uid="{2E186490-4210-4348-A123-D65DD564368A}"/>
    <cellStyle name="Normal 4 2 2 3 2 3 7" xfId="4724" xr:uid="{00000000-0005-0000-0000-00002F120000}"/>
    <cellStyle name="Normal 4 2 2 3 2 3 7 2" xfId="13153" xr:uid="{2CF0AD4F-C360-4E67-ABF9-855BCE99E0D0}"/>
    <cellStyle name="Normal 4 2 2 3 2 3 8" xfId="8935" xr:uid="{5F1C1FBD-4797-4A98-B929-596473D536CD}"/>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2 2" xfId="15708" xr:uid="{2697A99F-1FDC-4200-B27C-31E87F223B8F}"/>
    <cellStyle name="Normal 4 2 2 3 2 4 2 3" xfId="11490" xr:uid="{1EA26E72-B13D-429E-AB89-D0DE858719FA}"/>
    <cellStyle name="Normal 4 2 2 3 2 4 3" xfId="5134" xr:uid="{00000000-0005-0000-0000-000033120000}"/>
    <cellStyle name="Normal 4 2 2 3 2 4 3 2" xfId="13563" xr:uid="{F8B2923F-BF30-4643-A88B-A0A232AB3E6B}"/>
    <cellStyle name="Normal 4 2 2 3 2 4 4" xfId="9345" xr:uid="{9ED460BB-AB0C-4762-9807-7F2E3624512C}"/>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2 2" xfId="16121" xr:uid="{40914C69-A7CC-44CD-947F-128D03096D12}"/>
    <cellStyle name="Normal 4 2 2 3 2 5 2 3" xfId="11903" xr:uid="{2D2DDBD5-8F4F-478C-9749-4714A8E46077}"/>
    <cellStyle name="Normal 4 2 2 3 2 5 3" xfId="5547" xr:uid="{00000000-0005-0000-0000-000037120000}"/>
    <cellStyle name="Normal 4 2 2 3 2 5 3 2" xfId="13976" xr:uid="{831E2A9B-87CD-410A-862E-85F28FD244A3}"/>
    <cellStyle name="Normal 4 2 2 3 2 5 4" xfId="9758" xr:uid="{1C51B219-C07C-403D-B89C-9A10DDC58E8A}"/>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2 2" xfId="16534" xr:uid="{FA7A575A-4E43-49FF-9CEE-DA4429A16383}"/>
    <cellStyle name="Normal 4 2 2 3 2 6 2 3" xfId="12316" xr:uid="{EE01B8A7-AE32-48AA-B435-E9379DCE29E2}"/>
    <cellStyle name="Normal 4 2 2 3 2 6 3" xfId="5960" xr:uid="{00000000-0005-0000-0000-00003B120000}"/>
    <cellStyle name="Normal 4 2 2 3 2 6 3 2" xfId="14389" xr:uid="{718524DC-E73D-4F24-B4A7-D30BB3EF2E7E}"/>
    <cellStyle name="Normal 4 2 2 3 2 6 4" xfId="10171" xr:uid="{EF271A06-5AC8-48DE-AFB9-AC23334CC269}"/>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2 2" xfId="16947" xr:uid="{8FE26671-AE1F-4718-BEB8-89A1C43CF2DE}"/>
    <cellStyle name="Normal 4 2 2 3 2 7 2 3" xfId="12729" xr:uid="{4DF1259C-6250-4024-AD03-7140AEF0B1F0}"/>
    <cellStyle name="Normal 4 2 2 3 2 7 3" xfId="6373" xr:uid="{00000000-0005-0000-0000-00003F120000}"/>
    <cellStyle name="Normal 4 2 2 3 2 7 3 2" xfId="14802" xr:uid="{DF68015A-2083-4593-B540-614ED39E8E79}"/>
    <cellStyle name="Normal 4 2 2 3 2 7 4" xfId="10584" xr:uid="{64FD94BB-F186-44B7-89BB-4151344E4F18}"/>
    <cellStyle name="Normal 4 2 2 3 2 8" xfId="2501" xr:uid="{00000000-0005-0000-0000-000040120000}"/>
    <cellStyle name="Normal 4 2 2 3 2 8 2" xfId="6786" xr:uid="{00000000-0005-0000-0000-000041120000}"/>
    <cellStyle name="Normal 4 2 2 3 2 8 2 2" xfId="15215" xr:uid="{85520E28-0E2C-41B1-A751-2BC62362EFE4}"/>
    <cellStyle name="Normal 4 2 2 3 2 8 3" xfId="10997" xr:uid="{9CEDFF17-7572-4943-AF8E-388A98B12E7E}"/>
    <cellStyle name="Normal 4 2 2 3 2 9" xfId="4721" xr:uid="{00000000-0005-0000-0000-000042120000}"/>
    <cellStyle name="Normal 4 2 2 3 2 9 2" xfId="13150" xr:uid="{74EA0B45-98F3-4100-B9E0-E29DF106010A}"/>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2 2" xfId="15713" xr:uid="{733A3315-06D7-4BB5-BE8A-2CE692ED6580}"/>
    <cellStyle name="Normal 4 2 2 3 3 2 2 2 3" xfId="11495" xr:uid="{CFAA641E-C482-47DE-BAEC-95EB3396645D}"/>
    <cellStyle name="Normal 4 2 2 3 3 2 2 3" xfId="5139" xr:uid="{00000000-0005-0000-0000-000048120000}"/>
    <cellStyle name="Normal 4 2 2 3 3 2 2 3 2" xfId="13568" xr:uid="{AFA2A924-9D9A-47D4-933A-7A40D53C74AD}"/>
    <cellStyle name="Normal 4 2 2 3 3 2 2 4" xfId="9350" xr:uid="{82E90652-E731-45B8-BD37-2A6FCB1DDD7F}"/>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2 2" xfId="16126" xr:uid="{A402F971-7BF5-4AC6-9286-131976066D32}"/>
    <cellStyle name="Normal 4 2 2 3 3 2 3 2 3" xfId="11908" xr:uid="{84A76349-3F12-4B58-B132-557B0E5A4562}"/>
    <cellStyle name="Normal 4 2 2 3 3 2 3 3" xfId="5552" xr:uid="{00000000-0005-0000-0000-00004C120000}"/>
    <cellStyle name="Normal 4 2 2 3 3 2 3 3 2" xfId="13981" xr:uid="{7D882876-1859-42D9-89CC-73B4893DDFE7}"/>
    <cellStyle name="Normal 4 2 2 3 3 2 3 4" xfId="9763" xr:uid="{6C3B6712-F202-4F58-BA12-2754D8A59F6F}"/>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2 2" xfId="16539" xr:uid="{063F2997-B213-45A3-95F8-233160B98C83}"/>
    <cellStyle name="Normal 4 2 2 3 3 2 4 2 3" xfId="12321" xr:uid="{282CB332-2786-4555-9E79-76D5FC97E7A3}"/>
    <cellStyle name="Normal 4 2 2 3 3 2 4 3" xfId="5965" xr:uid="{00000000-0005-0000-0000-000050120000}"/>
    <cellStyle name="Normal 4 2 2 3 3 2 4 3 2" xfId="14394" xr:uid="{6B808EFA-4BE4-48D7-8FAA-A9EA891F2767}"/>
    <cellStyle name="Normal 4 2 2 3 3 2 4 4" xfId="10176" xr:uid="{3D77D935-0EDE-481B-BB79-9756C3EE5A4F}"/>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2 2" xfId="16952" xr:uid="{57A0CDF0-EB0A-433E-B295-21C436617BBC}"/>
    <cellStyle name="Normal 4 2 2 3 3 2 5 2 3" xfId="12734" xr:uid="{6D81AFF5-B2A2-413B-8BD1-21E64B3A2840}"/>
    <cellStyle name="Normal 4 2 2 3 3 2 5 3" xfId="6378" xr:uid="{00000000-0005-0000-0000-000054120000}"/>
    <cellStyle name="Normal 4 2 2 3 3 2 5 3 2" xfId="14807" xr:uid="{62828998-C5CB-4849-8CCD-39297FD291BF}"/>
    <cellStyle name="Normal 4 2 2 3 3 2 5 4" xfId="10589" xr:uid="{F2B22717-8741-480E-BAF1-EA45E812483D}"/>
    <cellStyle name="Normal 4 2 2 3 3 2 6" xfId="2506" xr:uid="{00000000-0005-0000-0000-000055120000}"/>
    <cellStyle name="Normal 4 2 2 3 3 2 6 2" xfId="6791" xr:uid="{00000000-0005-0000-0000-000056120000}"/>
    <cellStyle name="Normal 4 2 2 3 3 2 6 2 2" xfId="15220" xr:uid="{6B6BDD47-9F0D-4669-B78B-6B2E7F68AB20}"/>
    <cellStyle name="Normal 4 2 2 3 3 2 6 3" xfId="11002" xr:uid="{6AA00BA3-49D7-4601-9D3A-9706EEE1852C}"/>
    <cellStyle name="Normal 4 2 2 3 3 2 7" xfId="4726" xr:uid="{00000000-0005-0000-0000-000057120000}"/>
    <cellStyle name="Normal 4 2 2 3 3 2 7 2" xfId="13155" xr:uid="{182760B7-6DE6-43DF-95DE-DD6D641C38A3}"/>
    <cellStyle name="Normal 4 2 2 3 3 2 8" xfId="8937" xr:uid="{C8632984-CA8E-4947-87B7-32C56CD61C68}"/>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2 2" xfId="15712" xr:uid="{3F1B2679-5B10-45EF-9A92-BE714B3927FD}"/>
    <cellStyle name="Normal 4 2 2 3 3 3 2 3" xfId="11494" xr:uid="{1226BC8F-672B-4BFB-8E4F-47F1DE218246}"/>
    <cellStyle name="Normal 4 2 2 3 3 3 3" xfId="5138" xr:uid="{00000000-0005-0000-0000-00005B120000}"/>
    <cellStyle name="Normal 4 2 2 3 3 3 3 2" xfId="13567" xr:uid="{0424D4AC-D7BD-44AC-8B16-8A3A6A574235}"/>
    <cellStyle name="Normal 4 2 2 3 3 3 4" xfId="9349" xr:uid="{C534F902-729A-43B2-B2DE-5D50474C33B9}"/>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2 2" xfId="16125" xr:uid="{C1F61DD7-97D8-4A70-A8FE-5CAAB03473FD}"/>
    <cellStyle name="Normal 4 2 2 3 3 4 2 3" xfId="11907" xr:uid="{3D85F6F8-1FFD-423C-84FC-51EB1CD93040}"/>
    <cellStyle name="Normal 4 2 2 3 3 4 3" xfId="5551" xr:uid="{00000000-0005-0000-0000-00005F120000}"/>
    <cellStyle name="Normal 4 2 2 3 3 4 3 2" xfId="13980" xr:uid="{64B5CA5E-DDFD-4041-8FB4-A068C6A9609A}"/>
    <cellStyle name="Normal 4 2 2 3 3 4 4" xfId="9762" xr:uid="{C25BF1EE-2D4D-43FD-B0C1-05DEED9EBF19}"/>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2 2" xfId="16538" xr:uid="{6EB2D9F2-276D-4DD1-92C1-44C246AB1A07}"/>
    <cellStyle name="Normal 4 2 2 3 3 5 2 3" xfId="12320" xr:uid="{F341C706-80F9-4106-808D-2967FFE1F108}"/>
    <cellStyle name="Normal 4 2 2 3 3 5 3" xfId="5964" xr:uid="{00000000-0005-0000-0000-000063120000}"/>
    <cellStyle name="Normal 4 2 2 3 3 5 3 2" xfId="14393" xr:uid="{412EF4C5-9CEB-4649-A31E-132A86795E0E}"/>
    <cellStyle name="Normal 4 2 2 3 3 5 4" xfId="10175" xr:uid="{1EFB9DA5-5FCF-4E94-BB9D-B80BE9AEB1B3}"/>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2 2" xfId="16951" xr:uid="{D240AC99-81D7-488B-A0E7-CF200A63C2E0}"/>
    <cellStyle name="Normal 4 2 2 3 3 6 2 3" xfId="12733" xr:uid="{BC5243AA-8317-4D29-9B7D-B3729CEB1BCD}"/>
    <cellStyle name="Normal 4 2 2 3 3 6 3" xfId="6377" xr:uid="{00000000-0005-0000-0000-000067120000}"/>
    <cellStyle name="Normal 4 2 2 3 3 6 3 2" xfId="14806" xr:uid="{9AC1ABCE-A0ED-4E71-AF6B-10505F3D99DE}"/>
    <cellStyle name="Normal 4 2 2 3 3 6 4" xfId="10588" xr:uid="{01B12E1A-9D52-401E-B888-1C6405AEDD39}"/>
    <cellStyle name="Normal 4 2 2 3 3 7" xfId="2505" xr:uid="{00000000-0005-0000-0000-000068120000}"/>
    <cellStyle name="Normal 4 2 2 3 3 7 2" xfId="6790" xr:uid="{00000000-0005-0000-0000-000069120000}"/>
    <cellStyle name="Normal 4 2 2 3 3 7 2 2" xfId="15219" xr:uid="{7B10AC4B-F87D-4865-A2E6-8A881C139A72}"/>
    <cellStyle name="Normal 4 2 2 3 3 7 3" xfId="11001" xr:uid="{4F7D53B8-D8B5-494C-A6EC-8CA1E04E1464}"/>
    <cellStyle name="Normal 4 2 2 3 3 8" xfId="4725" xr:uid="{00000000-0005-0000-0000-00006A120000}"/>
    <cellStyle name="Normal 4 2 2 3 3 8 2" xfId="13154" xr:uid="{C08E7552-68A8-412C-98F2-7FAD33CBBC3A}"/>
    <cellStyle name="Normal 4 2 2 3 3 9" xfId="8936" xr:uid="{3E0970CB-74F3-4492-98A4-FF71E4FB469C}"/>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2 2" xfId="15714" xr:uid="{7A084919-B573-48EE-A4DF-5D2B4B7ADC0E}"/>
    <cellStyle name="Normal 4 2 2 3 4 2 2 3" xfId="11496" xr:uid="{A81792E3-765B-4329-9454-1EE8D018C532}"/>
    <cellStyle name="Normal 4 2 2 3 4 2 3" xfId="5140" xr:uid="{00000000-0005-0000-0000-00006F120000}"/>
    <cellStyle name="Normal 4 2 2 3 4 2 3 2" xfId="13569" xr:uid="{555348A7-47C2-447E-96B0-0604BAAAC039}"/>
    <cellStyle name="Normal 4 2 2 3 4 2 4" xfId="9351" xr:uid="{9B088F94-0345-477B-BD61-C6487DAEB488}"/>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2 2" xfId="16127" xr:uid="{7CE27FFA-AADD-411A-BC88-F1EB460BD775}"/>
    <cellStyle name="Normal 4 2 2 3 4 3 2 3" xfId="11909" xr:uid="{FE8F8B20-9EF1-4C18-85EF-5578B011DDBB}"/>
    <cellStyle name="Normal 4 2 2 3 4 3 3" xfId="5553" xr:uid="{00000000-0005-0000-0000-000073120000}"/>
    <cellStyle name="Normal 4 2 2 3 4 3 3 2" xfId="13982" xr:uid="{ADAD427D-4B5C-484C-8427-685C16EE83D0}"/>
    <cellStyle name="Normal 4 2 2 3 4 3 4" xfId="9764" xr:uid="{D0C679E8-EEC7-4283-AE3A-DEDCCD8AA6EB}"/>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2 2" xfId="16540" xr:uid="{C2779ABF-28D8-4104-91F0-C1B5DB916A98}"/>
    <cellStyle name="Normal 4 2 2 3 4 4 2 3" xfId="12322" xr:uid="{46EA6525-D32B-4F28-B2AF-BBF608529C1D}"/>
    <cellStyle name="Normal 4 2 2 3 4 4 3" xfId="5966" xr:uid="{00000000-0005-0000-0000-000077120000}"/>
    <cellStyle name="Normal 4 2 2 3 4 4 3 2" xfId="14395" xr:uid="{796AF10C-D5E5-47D0-AC5E-0A828784871A}"/>
    <cellStyle name="Normal 4 2 2 3 4 4 4" xfId="10177" xr:uid="{A1F18BC5-7612-4EFA-A7DA-F876D5401668}"/>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2 2" xfId="16953" xr:uid="{B28F8FDE-8592-43B0-B131-6DC348DE18E7}"/>
    <cellStyle name="Normal 4 2 2 3 4 5 2 3" xfId="12735" xr:uid="{742BE5B0-8E09-4309-B4CA-1C5F7BB71896}"/>
    <cellStyle name="Normal 4 2 2 3 4 5 3" xfId="6379" xr:uid="{00000000-0005-0000-0000-00007B120000}"/>
    <cellStyle name="Normal 4 2 2 3 4 5 3 2" xfId="14808" xr:uid="{B736B138-BB99-4F33-AD87-63D3EDD32319}"/>
    <cellStyle name="Normal 4 2 2 3 4 5 4" xfId="10590" xr:uid="{41A8D8AA-1F16-4A4B-9314-D455CCBD3C09}"/>
    <cellStyle name="Normal 4 2 2 3 4 6" xfId="2507" xr:uid="{00000000-0005-0000-0000-00007C120000}"/>
    <cellStyle name="Normal 4 2 2 3 4 6 2" xfId="6792" xr:uid="{00000000-0005-0000-0000-00007D120000}"/>
    <cellStyle name="Normal 4 2 2 3 4 6 2 2" xfId="15221" xr:uid="{E5A58560-D248-4C52-9507-C1B2BCFA83E8}"/>
    <cellStyle name="Normal 4 2 2 3 4 6 3" xfId="11003" xr:uid="{54432C81-4D03-4CB7-8868-FA762737D3C3}"/>
    <cellStyle name="Normal 4 2 2 3 4 7" xfId="4727" xr:uid="{00000000-0005-0000-0000-00007E120000}"/>
    <cellStyle name="Normal 4 2 2 3 4 7 2" xfId="13156" xr:uid="{F12EE97C-4B19-4212-BA71-14FFDE3A6ADE}"/>
    <cellStyle name="Normal 4 2 2 3 4 8" xfId="8938" xr:uid="{A07F977C-AFC8-4F5E-AA60-E8A898DDC353}"/>
    <cellStyle name="Normal 4 2 2 3 5" xfId="817" xr:uid="{00000000-0005-0000-0000-00007F120000}"/>
    <cellStyle name="Normal 4 2 2 3 5 2" xfId="3054" xr:uid="{00000000-0005-0000-0000-000080120000}"/>
    <cellStyle name="Normal 4 2 2 3 5 2 2" xfId="7278" xr:uid="{00000000-0005-0000-0000-000081120000}"/>
    <cellStyle name="Normal 4 2 2 3 5 2 2 2" xfId="15707" xr:uid="{AE80EDAE-1253-428D-81FC-FAC3A7EE6FAD}"/>
    <cellStyle name="Normal 4 2 2 3 5 2 3" xfId="11489" xr:uid="{B933E691-6033-4D93-9F85-964A9040D4D8}"/>
    <cellStyle name="Normal 4 2 2 3 5 3" xfId="5133" xr:uid="{00000000-0005-0000-0000-000082120000}"/>
    <cellStyle name="Normal 4 2 2 3 5 3 2" xfId="13562" xr:uid="{D3844D7D-74B0-4326-A6B9-EC82602E651F}"/>
    <cellStyle name="Normal 4 2 2 3 5 4" xfId="9344" xr:uid="{18301D9E-F2F1-48BE-B792-E494464240F1}"/>
    <cellStyle name="Normal 4 2 2 3 6" xfId="1237" xr:uid="{00000000-0005-0000-0000-000083120000}"/>
    <cellStyle name="Normal 4 2 2 3 6 2" xfId="3467" xr:uid="{00000000-0005-0000-0000-000084120000}"/>
    <cellStyle name="Normal 4 2 2 3 6 2 2" xfId="7691" xr:uid="{00000000-0005-0000-0000-000085120000}"/>
    <cellStyle name="Normal 4 2 2 3 6 2 2 2" xfId="16120" xr:uid="{BB2AC806-656D-4124-9C97-7161576B817E}"/>
    <cellStyle name="Normal 4 2 2 3 6 2 3" xfId="11902" xr:uid="{F9EA6B4D-F707-4C8B-80E9-48929CC8FE1A}"/>
    <cellStyle name="Normal 4 2 2 3 6 3" xfId="5546" xr:uid="{00000000-0005-0000-0000-000086120000}"/>
    <cellStyle name="Normal 4 2 2 3 6 3 2" xfId="13975" xr:uid="{4F574F7A-554B-4CC3-9972-600494A839E3}"/>
    <cellStyle name="Normal 4 2 2 3 6 4" xfId="9757" xr:uid="{5C743B4C-2DC7-4083-AD5C-60483CD6CFAB}"/>
    <cellStyle name="Normal 4 2 2 3 7" xfId="1650" xr:uid="{00000000-0005-0000-0000-000087120000}"/>
    <cellStyle name="Normal 4 2 2 3 7 2" xfId="3880" xr:uid="{00000000-0005-0000-0000-000088120000}"/>
    <cellStyle name="Normal 4 2 2 3 7 2 2" xfId="8104" xr:uid="{00000000-0005-0000-0000-000089120000}"/>
    <cellStyle name="Normal 4 2 2 3 7 2 2 2" xfId="16533" xr:uid="{5D97148C-EC9B-4CB2-BF8A-811C50E463CE}"/>
    <cellStyle name="Normal 4 2 2 3 7 2 3" xfId="12315" xr:uid="{01733977-631D-4A39-8E93-9F14CA78A3EB}"/>
    <cellStyle name="Normal 4 2 2 3 7 3" xfId="5959" xr:uid="{00000000-0005-0000-0000-00008A120000}"/>
    <cellStyle name="Normal 4 2 2 3 7 3 2" xfId="14388" xr:uid="{D9ED2ED1-E601-4701-B025-7A3CF7A13522}"/>
    <cellStyle name="Normal 4 2 2 3 7 4" xfId="10170" xr:uid="{CEA67EA2-F91D-4232-8019-12D0F163FF78}"/>
    <cellStyle name="Normal 4 2 2 3 8" xfId="2064" xr:uid="{00000000-0005-0000-0000-00008B120000}"/>
    <cellStyle name="Normal 4 2 2 3 8 2" xfId="4293" xr:uid="{00000000-0005-0000-0000-00008C120000}"/>
    <cellStyle name="Normal 4 2 2 3 8 2 2" xfId="8517" xr:uid="{00000000-0005-0000-0000-00008D120000}"/>
    <cellStyle name="Normal 4 2 2 3 8 2 2 2" xfId="16946" xr:uid="{2ACA9AA1-F1AF-47F2-9F61-F5A17AA2DA24}"/>
    <cellStyle name="Normal 4 2 2 3 8 2 3" xfId="12728" xr:uid="{AECB0B91-048C-4CC4-ACF3-06CBDC333250}"/>
    <cellStyle name="Normal 4 2 2 3 8 3" xfId="6372" xr:uid="{00000000-0005-0000-0000-00008E120000}"/>
    <cellStyle name="Normal 4 2 2 3 8 3 2" xfId="14801" xr:uid="{7A637682-8FED-45B1-A312-2C39A619B8BC}"/>
    <cellStyle name="Normal 4 2 2 3 8 4" xfId="10583" xr:uid="{9815D8D5-D79F-402F-AD1F-EF2B8B2D4EAE}"/>
    <cellStyle name="Normal 4 2 2 3 9" xfId="2500" xr:uid="{00000000-0005-0000-0000-00008F120000}"/>
    <cellStyle name="Normal 4 2 2 3 9 2" xfId="6785" xr:uid="{00000000-0005-0000-0000-000090120000}"/>
    <cellStyle name="Normal 4 2 2 3 9 2 2" xfId="15214" xr:uid="{6793EBBC-6BE8-478A-BF34-498508066B69}"/>
    <cellStyle name="Normal 4 2 2 3 9 3" xfId="10996" xr:uid="{992047B7-7D71-4DEC-99D8-31CD185DA09D}"/>
    <cellStyle name="Normal 4 2 2 4" xfId="347" xr:uid="{00000000-0005-0000-0000-000091120000}"/>
    <cellStyle name="Normal 4 2 2 4 10" xfId="8939" xr:uid="{2A9A2130-2908-454D-BD10-75AFE2447B18}"/>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2 2" xfId="15717" xr:uid="{2808D229-8EC9-4BE0-B77D-C477495F8EC9}"/>
    <cellStyle name="Normal 4 2 2 4 2 2 2 2 3" xfId="11499" xr:uid="{3B603411-334C-43CD-8BC5-A54FCF59E5D1}"/>
    <cellStyle name="Normal 4 2 2 4 2 2 2 3" xfId="5143" xr:uid="{00000000-0005-0000-0000-000097120000}"/>
    <cellStyle name="Normal 4 2 2 4 2 2 2 3 2" xfId="13572" xr:uid="{1ECC3739-51CF-4642-B625-1772AC96D2DE}"/>
    <cellStyle name="Normal 4 2 2 4 2 2 2 4" xfId="9354" xr:uid="{CC3B03FB-07DE-491E-9975-4DA46F437BD5}"/>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2 2" xfId="16130" xr:uid="{18E448CB-04EF-4A2C-84BB-D5A86E8D389F}"/>
    <cellStyle name="Normal 4 2 2 4 2 2 3 2 3" xfId="11912" xr:uid="{3885F76E-D1B6-4BC9-B0A0-B3B3787532EC}"/>
    <cellStyle name="Normal 4 2 2 4 2 2 3 3" xfId="5556" xr:uid="{00000000-0005-0000-0000-00009B120000}"/>
    <cellStyle name="Normal 4 2 2 4 2 2 3 3 2" xfId="13985" xr:uid="{FA6F74AF-EDB0-4E9F-B6D9-40D8969816F4}"/>
    <cellStyle name="Normal 4 2 2 4 2 2 3 4" xfId="9767" xr:uid="{EF7368C5-1B8B-4EAD-8E28-AB45A9B48374}"/>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2 2" xfId="16543" xr:uid="{20D9710C-D680-452D-BE0C-EB3FF8BD8EE8}"/>
    <cellStyle name="Normal 4 2 2 4 2 2 4 2 3" xfId="12325" xr:uid="{600E0570-016A-446D-B93C-F56ED105B985}"/>
    <cellStyle name="Normal 4 2 2 4 2 2 4 3" xfId="5969" xr:uid="{00000000-0005-0000-0000-00009F120000}"/>
    <cellStyle name="Normal 4 2 2 4 2 2 4 3 2" xfId="14398" xr:uid="{40D4F40E-CBCA-442A-87B8-02834904BC11}"/>
    <cellStyle name="Normal 4 2 2 4 2 2 4 4" xfId="10180" xr:uid="{D10E7B92-828E-4D72-8D3A-27315DEAC895}"/>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2 2" xfId="16956" xr:uid="{23D5F21D-B711-4B70-8A79-19DFB6D11D71}"/>
    <cellStyle name="Normal 4 2 2 4 2 2 5 2 3" xfId="12738" xr:uid="{CCC928A6-E0DC-4398-A220-C32AF69AA881}"/>
    <cellStyle name="Normal 4 2 2 4 2 2 5 3" xfId="6382" xr:uid="{00000000-0005-0000-0000-0000A3120000}"/>
    <cellStyle name="Normal 4 2 2 4 2 2 5 3 2" xfId="14811" xr:uid="{9131B227-6649-4AA2-96E7-20B788DA0370}"/>
    <cellStyle name="Normal 4 2 2 4 2 2 5 4" xfId="10593" xr:uid="{AA429BB0-3097-4EE1-AAD2-861E32393BD2}"/>
    <cellStyle name="Normal 4 2 2 4 2 2 6" xfId="2510" xr:uid="{00000000-0005-0000-0000-0000A4120000}"/>
    <cellStyle name="Normal 4 2 2 4 2 2 6 2" xfId="6795" xr:uid="{00000000-0005-0000-0000-0000A5120000}"/>
    <cellStyle name="Normal 4 2 2 4 2 2 6 2 2" xfId="15224" xr:uid="{BFCBF7F3-5C65-47A1-85B0-E73FEC089F3D}"/>
    <cellStyle name="Normal 4 2 2 4 2 2 6 3" xfId="11006" xr:uid="{898EA1C2-1A95-4360-BA2A-2EC63C951D82}"/>
    <cellStyle name="Normal 4 2 2 4 2 2 7" xfId="4730" xr:uid="{00000000-0005-0000-0000-0000A6120000}"/>
    <cellStyle name="Normal 4 2 2 4 2 2 7 2" xfId="13159" xr:uid="{76A6E13F-E7E8-4A5D-8133-DFC78BAE181A}"/>
    <cellStyle name="Normal 4 2 2 4 2 2 8" xfId="8941" xr:uid="{9DB983E8-9431-4BA4-A301-A7103541DCEB}"/>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2 2" xfId="15716" xr:uid="{3098EE15-577F-4D38-BB45-1E3D8BCDEAC4}"/>
    <cellStyle name="Normal 4 2 2 4 2 3 2 3" xfId="11498" xr:uid="{166ED9A7-D7E4-48C2-B54D-4E76F9975A1D}"/>
    <cellStyle name="Normal 4 2 2 4 2 3 3" xfId="5142" xr:uid="{00000000-0005-0000-0000-0000AA120000}"/>
    <cellStyle name="Normal 4 2 2 4 2 3 3 2" xfId="13571" xr:uid="{8250C302-3FFA-474E-AEF2-5EAD11EBA989}"/>
    <cellStyle name="Normal 4 2 2 4 2 3 4" xfId="9353" xr:uid="{2D112A10-95CD-4BBD-9557-3D5DE351A03A}"/>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2 2" xfId="16129" xr:uid="{F006E6C8-C42B-4476-A045-3DBABC7B0532}"/>
    <cellStyle name="Normal 4 2 2 4 2 4 2 3" xfId="11911" xr:uid="{032655B1-6063-435E-80C8-F14C6D33980D}"/>
    <cellStyle name="Normal 4 2 2 4 2 4 3" xfId="5555" xr:uid="{00000000-0005-0000-0000-0000AE120000}"/>
    <cellStyle name="Normal 4 2 2 4 2 4 3 2" xfId="13984" xr:uid="{D8A389F8-3ADC-4F1C-9AF5-17425FB045DD}"/>
    <cellStyle name="Normal 4 2 2 4 2 4 4" xfId="9766" xr:uid="{975BDF60-C8D8-41D3-831C-45046CCE746F}"/>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2 2" xfId="16542" xr:uid="{6A720B06-DEFD-4604-A2EC-B0D6DB251F7D}"/>
    <cellStyle name="Normal 4 2 2 4 2 5 2 3" xfId="12324" xr:uid="{E3A35A7A-D23E-4E1E-9F9A-8F7C4FCF4479}"/>
    <cellStyle name="Normal 4 2 2 4 2 5 3" xfId="5968" xr:uid="{00000000-0005-0000-0000-0000B2120000}"/>
    <cellStyle name="Normal 4 2 2 4 2 5 3 2" xfId="14397" xr:uid="{787D179A-00A9-4369-808F-B85654524AEB}"/>
    <cellStyle name="Normal 4 2 2 4 2 5 4" xfId="10179" xr:uid="{4718E527-446F-4FC8-BD2C-D35B5FAF1C42}"/>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2 2" xfId="16955" xr:uid="{2327709B-2B74-4B63-8DEA-E35C9736EBEA}"/>
    <cellStyle name="Normal 4 2 2 4 2 6 2 3" xfId="12737" xr:uid="{A62531EA-E6B4-436B-843E-A84995C91543}"/>
    <cellStyle name="Normal 4 2 2 4 2 6 3" xfId="6381" xr:uid="{00000000-0005-0000-0000-0000B6120000}"/>
    <cellStyle name="Normal 4 2 2 4 2 6 3 2" xfId="14810" xr:uid="{24F34668-3074-4B35-9BE3-AA3D75A020CF}"/>
    <cellStyle name="Normal 4 2 2 4 2 6 4" xfId="10592" xr:uid="{0B106B8A-D6CB-4B6F-8E73-8A535FD3E4F1}"/>
    <cellStyle name="Normal 4 2 2 4 2 7" xfId="2509" xr:uid="{00000000-0005-0000-0000-0000B7120000}"/>
    <cellStyle name="Normal 4 2 2 4 2 7 2" xfId="6794" xr:uid="{00000000-0005-0000-0000-0000B8120000}"/>
    <cellStyle name="Normal 4 2 2 4 2 7 2 2" xfId="15223" xr:uid="{A8F54991-B90E-496F-A80F-246E9AF84272}"/>
    <cellStyle name="Normal 4 2 2 4 2 7 3" xfId="11005" xr:uid="{1A90BA47-5483-48BB-8605-BF292131FAE3}"/>
    <cellStyle name="Normal 4 2 2 4 2 8" xfId="4729" xr:uid="{00000000-0005-0000-0000-0000B9120000}"/>
    <cellStyle name="Normal 4 2 2 4 2 8 2" xfId="13158" xr:uid="{2B687CFC-AEE5-451B-A7BF-3B84F8AC2763}"/>
    <cellStyle name="Normal 4 2 2 4 2 9" xfId="8940" xr:uid="{F360AB00-8479-4C87-B3B3-A5C4DDC67A1D}"/>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2 2" xfId="15718" xr:uid="{BC5E691D-A24B-4C92-9A15-96C86AACD8B2}"/>
    <cellStyle name="Normal 4 2 2 4 3 2 2 3" xfId="11500" xr:uid="{18977F09-208F-4466-9D50-E1ABD105A76F}"/>
    <cellStyle name="Normal 4 2 2 4 3 2 3" xfId="5144" xr:uid="{00000000-0005-0000-0000-0000BE120000}"/>
    <cellStyle name="Normal 4 2 2 4 3 2 3 2" xfId="13573" xr:uid="{FF55BD64-268A-426D-9B90-D647010BA906}"/>
    <cellStyle name="Normal 4 2 2 4 3 2 4" xfId="9355" xr:uid="{105D53DC-BBFE-4666-B98A-F2C93A2D782A}"/>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2 2" xfId="16131" xr:uid="{41AD645E-3745-466D-809B-8F9BABD24488}"/>
    <cellStyle name="Normal 4 2 2 4 3 3 2 3" xfId="11913" xr:uid="{0AF4348E-90F3-4906-B8B6-3C426ECF2134}"/>
    <cellStyle name="Normal 4 2 2 4 3 3 3" xfId="5557" xr:uid="{00000000-0005-0000-0000-0000C2120000}"/>
    <cellStyle name="Normal 4 2 2 4 3 3 3 2" xfId="13986" xr:uid="{F39B5355-ACDA-4653-8418-7EA685543D34}"/>
    <cellStyle name="Normal 4 2 2 4 3 3 4" xfId="9768" xr:uid="{9AEBD267-4DF8-4568-997B-C6806E4E193D}"/>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2 2" xfId="16544" xr:uid="{E5D2D3C0-3527-4172-A5A8-B423E6680184}"/>
    <cellStyle name="Normal 4 2 2 4 3 4 2 3" xfId="12326" xr:uid="{B92C457E-6747-4970-B27C-97645A16A581}"/>
    <cellStyle name="Normal 4 2 2 4 3 4 3" xfId="5970" xr:uid="{00000000-0005-0000-0000-0000C6120000}"/>
    <cellStyle name="Normal 4 2 2 4 3 4 3 2" xfId="14399" xr:uid="{D66B793C-C071-4631-AB6F-B5DB78EACD8C}"/>
    <cellStyle name="Normal 4 2 2 4 3 4 4" xfId="10181" xr:uid="{B2A43D34-B856-4BA8-B3CF-BCE4A18ECE26}"/>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2 2" xfId="16957" xr:uid="{A27E9CC0-E30F-425F-ADE4-B6BC92A7A8C0}"/>
    <cellStyle name="Normal 4 2 2 4 3 5 2 3" xfId="12739" xr:uid="{F30B861D-CBDC-409D-8062-1883C8D84991}"/>
    <cellStyle name="Normal 4 2 2 4 3 5 3" xfId="6383" xr:uid="{00000000-0005-0000-0000-0000CA120000}"/>
    <cellStyle name="Normal 4 2 2 4 3 5 3 2" xfId="14812" xr:uid="{925FFD05-8803-49FB-84C8-3F2E0C88668C}"/>
    <cellStyle name="Normal 4 2 2 4 3 5 4" xfId="10594" xr:uid="{A7DD7E53-C342-4F37-9353-EF47FEC3BEB0}"/>
    <cellStyle name="Normal 4 2 2 4 3 6" xfId="2511" xr:uid="{00000000-0005-0000-0000-0000CB120000}"/>
    <cellStyle name="Normal 4 2 2 4 3 6 2" xfId="6796" xr:uid="{00000000-0005-0000-0000-0000CC120000}"/>
    <cellStyle name="Normal 4 2 2 4 3 6 2 2" xfId="15225" xr:uid="{4ACE5C4F-2E1A-48A8-9267-11B833EDA684}"/>
    <cellStyle name="Normal 4 2 2 4 3 6 3" xfId="11007" xr:uid="{36C9512A-C0C1-432E-8ACB-B75C4EC00AEC}"/>
    <cellStyle name="Normal 4 2 2 4 3 7" xfId="4731" xr:uid="{00000000-0005-0000-0000-0000CD120000}"/>
    <cellStyle name="Normal 4 2 2 4 3 7 2" xfId="13160" xr:uid="{DC065621-670A-49A5-BE14-D39B1DD50F92}"/>
    <cellStyle name="Normal 4 2 2 4 3 8" xfId="8942" xr:uid="{0EABDFED-C604-4600-AF23-36EFEEB12B02}"/>
    <cellStyle name="Normal 4 2 2 4 4" xfId="825" xr:uid="{00000000-0005-0000-0000-0000CE120000}"/>
    <cellStyle name="Normal 4 2 2 4 4 2" xfId="3062" xr:uid="{00000000-0005-0000-0000-0000CF120000}"/>
    <cellStyle name="Normal 4 2 2 4 4 2 2" xfId="7286" xr:uid="{00000000-0005-0000-0000-0000D0120000}"/>
    <cellStyle name="Normal 4 2 2 4 4 2 2 2" xfId="15715" xr:uid="{BBE12FDF-EC20-4345-9911-4F51CFA2CBBD}"/>
    <cellStyle name="Normal 4 2 2 4 4 2 3" xfId="11497" xr:uid="{384F8247-EF17-42AE-9294-3709D4619BA6}"/>
    <cellStyle name="Normal 4 2 2 4 4 3" xfId="5141" xr:uid="{00000000-0005-0000-0000-0000D1120000}"/>
    <cellStyle name="Normal 4 2 2 4 4 3 2" xfId="13570" xr:uid="{47E560CB-CAAE-4995-B5E8-5C56CB64BFAD}"/>
    <cellStyle name="Normal 4 2 2 4 4 4" xfId="9352" xr:uid="{7C7487AB-3372-4A71-9591-26D786D750B1}"/>
    <cellStyle name="Normal 4 2 2 4 5" xfId="1245" xr:uid="{00000000-0005-0000-0000-0000D2120000}"/>
    <cellStyle name="Normal 4 2 2 4 5 2" xfId="3475" xr:uid="{00000000-0005-0000-0000-0000D3120000}"/>
    <cellStyle name="Normal 4 2 2 4 5 2 2" xfId="7699" xr:uid="{00000000-0005-0000-0000-0000D4120000}"/>
    <cellStyle name="Normal 4 2 2 4 5 2 2 2" xfId="16128" xr:uid="{9A6CA857-17C8-41AE-B76B-FBBB9403C3FF}"/>
    <cellStyle name="Normal 4 2 2 4 5 2 3" xfId="11910" xr:uid="{D8CAFEB1-62F5-49DC-B590-E7288F0C35CF}"/>
    <cellStyle name="Normal 4 2 2 4 5 3" xfId="5554" xr:uid="{00000000-0005-0000-0000-0000D5120000}"/>
    <cellStyle name="Normal 4 2 2 4 5 3 2" xfId="13983" xr:uid="{8EBF291B-5EE2-494E-B380-C59EBB89C78B}"/>
    <cellStyle name="Normal 4 2 2 4 5 4" xfId="9765" xr:uid="{23C2AAC6-2FFD-4E5A-9820-AB8AAB95E2F5}"/>
    <cellStyle name="Normal 4 2 2 4 6" xfId="1658" xr:uid="{00000000-0005-0000-0000-0000D6120000}"/>
    <cellStyle name="Normal 4 2 2 4 6 2" xfId="3888" xr:uid="{00000000-0005-0000-0000-0000D7120000}"/>
    <cellStyle name="Normal 4 2 2 4 6 2 2" xfId="8112" xr:uid="{00000000-0005-0000-0000-0000D8120000}"/>
    <cellStyle name="Normal 4 2 2 4 6 2 2 2" xfId="16541" xr:uid="{49B81FAB-5CBA-4433-AC1A-1B7C18D5F6E6}"/>
    <cellStyle name="Normal 4 2 2 4 6 2 3" xfId="12323" xr:uid="{33F22429-D15F-4FBD-9989-448EDF9E95F3}"/>
    <cellStyle name="Normal 4 2 2 4 6 3" xfId="5967" xr:uid="{00000000-0005-0000-0000-0000D9120000}"/>
    <cellStyle name="Normal 4 2 2 4 6 3 2" xfId="14396" xr:uid="{89B1E208-3014-4FB3-9115-CA1A86606DA0}"/>
    <cellStyle name="Normal 4 2 2 4 6 4" xfId="10178" xr:uid="{1640D7C7-0CE7-430A-89DE-A1D4DC79AC7E}"/>
    <cellStyle name="Normal 4 2 2 4 7" xfId="2072" xr:uid="{00000000-0005-0000-0000-0000DA120000}"/>
    <cellStyle name="Normal 4 2 2 4 7 2" xfId="4301" xr:uid="{00000000-0005-0000-0000-0000DB120000}"/>
    <cellStyle name="Normal 4 2 2 4 7 2 2" xfId="8525" xr:uid="{00000000-0005-0000-0000-0000DC120000}"/>
    <cellStyle name="Normal 4 2 2 4 7 2 2 2" xfId="16954" xr:uid="{C7A91708-E091-435F-80BA-ADE6E3CC7B02}"/>
    <cellStyle name="Normal 4 2 2 4 7 2 3" xfId="12736" xr:uid="{A5AC97D4-A64E-4249-BC77-4F14458DCE0E}"/>
    <cellStyle name="Normal 4 2 2 4 7 3" xfId="6380" xr:uid="{00000000-0005-0000-0000-0000DD120000}"/>
    <cellStyle name="Normal 4 2 2 4 7 3 2" xfId="14809" xr:uid="{0CD28965-5CC9-4909-BEA2-32F5B9C5543A}"/>
    <cellStyle name="Normal 4 2 2 4 7 4" xfId="10591" xr:uid="{B2FF19DA-0BB0-4459-B0BE-CB0908501E74}"/>
    <cellStyle name="Normal 4 2 2 4 8" xfId="2508" xr:uid="{00000000-0005-0000-0000-0000DE120000}"/>
    <cellStyle name="Normal 4 2 2 4 8 2" xfId="6793" xr:uid="{00000000-0005-0000-0000-0000DF120000}"/>
    <cellStyle name="Normal 4 2 2 4 8 2 2" xfId="15222" xr:uid="{A74A02FC-F32F-4AC1-B3A5-E13E46DC45ED}"/>
    <cellStyle name="Normal 4 2 2 4 8 3" xfId="11004" xr:uid="{02AF94C9-F4FF-43D3-8A8C-F573036745B5}"/>
    <cellStyle name="Normal 4 2 2 4 9" xfId="4728" xr:uid="{00000000-0005-0000-0000-0000E0120000}"/>
    <cellStyle name="Normal 4 2 2 4 9 2" xfId="13157" xr:uid="{E175A450-6536-41BB-A52D-7966F289A84F}"/>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2 2" xfId="15720" xr:uid="{C7E4A140-4DEA-42EE-86B6-069B771574BC}"/>
    <cellStyle name="Normal 4 2 2 5 2 2 2 3" xfId="11502" xr:uid="{0D94F951-E513-4E68-ACBF-A2321C07471E}"/>
    <cellStyle name="Normal 4 2 2 5 2 2 3" xfId="5146" xr:uid="{00000000-0005-0000-0000-0000E6120000}"/>
    <cellStyle name="Normal 4 2 2 5 2 2 3 2" xfId="13575" xr:uid="{65F72D8F-FBCB-4247-BEF3-678FF893C57A}"/>
    <cellStyle name="Normal 4 2 2 5 2 2 4" xfId="9357" xr:uid="{F114C2CA-868D-470F-8A5F-9E3E632FD52C}"/>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2 2" xfId="16133" xr:uid="{91667786-08C4-4CDE-AA04-DAE7726107F8}"/>
    <cellStyle name="Normal 4 2 2 5 2 3 2 3" xfId="11915" xr:uid="{0A91A004-8B29-41C4-A8DC-7326F6823F10}"/>
    <cellStyle name="Normal 4 2 2 5 2 3 3" xfId="5559" xr:uid="{00000000-0005-0000-0000-0000EA120000}"/>
    <cellStyle name="Normal 4 2 2 5 2 3 3 2" xfId="13988" xr:uid="{FEBA32C2-FCEC-4355-AF4F-FA4366681316}"/>
    <cellStyle name="Normal 4 2 2 5 2 3 4" xfId="9770" xr:uid="{C707FA74-F24D-470E-A6C9-A3510C4C9A41}"/>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2 2" xfId="16546" xr:uid="{AD4CE653-A50A-477E-957E-B4B84BB3E275}"/>
    <cellStyle name="Normal 4 2 2 5 2 4 2 3" xfId="12328" xr:uid="{B1189DC0-0B60-49FE-B66B-1FEF37CC9CE1}"/>
    <cellStyle name="Normal 4 2 2 5 2 4 3" xfId="5972" xr:uid="{00000000-0005-0000-0000-0000EE120000}"/>
    <cellStyle name="Normal 4 2 2 5 2 4 3 2" xfId="14401" xr:uid="{939AFA81-29E8-4890-818B-5078D4B85F0E}"/>
    <cellStyle name="Normal 4 2 2 5 2 4 4" xfId="10183" xr:uid="{DD9BB389-83F1-43E8-AA95-7C5CA6A5A77F}"/>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2 2" xfId="16959" xr:uid="{AB32940A-3CD1-4512-ACB4-75C7A9F89543}"/>
    <cellStyle name="Normal 4 2 2 5 2 5 2 3" xfId="12741" xr:uid="{2F17F9F5-8A4C-4CE7-8E2F-51F71D93899F}"/>
    <cellStyle name="Normal 4 2 2 5 2 5 3" xfId="6385" xr:uid="{00000000-0005-0000-0000-0000F2120000}"/>
    <cellStyle name="Normal 4 2 2 5 2 5 3 2" xfId="14814" xr:uid="{9B3238B4-C3F4-49B5-8C7F-DAB944C4F377}"/>
    <cellStyle name="Normal 4 2 2 5 2 5 4" xfId="10596" xr:uid="{DE5D3340-3E9C-49CE-A6D1-FB0F00586307}"/>
    <cellStyle name="Normal 4 2 2 5 2 6" xfId="2513" xr:uid="{00000000-0005-0000-0000-0000F3120000}"/>
    <cellStyle name="Normal 4 2 2 5 2 6 2" xfId="6798" xr:uid="{00000000-0005-0000-0000-0000F4120000}"/>
    <cellStyle name="Normal 4 2 2 5 2 6 2 2" xfId="15227" xr:uid="{F7FABA62-3F2E-488D-805E-E929CF383C97}"/>
    <cellStyle name="Normal 4 2 2 5 2 6 3" xfId="11009" xr:uid="{2A5CCFE5-0A4B-4E32-9FF8-F78831017FB6}"/>
    <cellStyle name="Normal 4 2 2 5 2 7" xfId="4733" xr:uid="{00000000-0005-0000-0000-0000F5120000}"/>
    <cellStyle name="Normal 4 2 2 5 2 7 2" xfId="13162" xr:uid="{ED75877C-867C-413A-A4B3-76A450884685}"/>
    <cellStyle name="Normal 4 2 2 5 2 8" xfId="8944" xr:uid="{77FE1733-5BD8-4968-8D1C-3240DAFA1076}"/>
    <cellStyle name="Normal 4 2 2 5 3" xfId="829" xr:uid="{00000000-0005-0000-0000-0000F6120000}"/>
    <cellStyle name="Normal 4 2 2 5 3 2" xfId="3066" xr:uid="{00000000-0005-0000-0000-0000F7120000}"/>
    <cellStyle name="Normal 4 2 2 5 3 2 2" xfId="7290" xr:uid="{00000000-0005-0000-0000-0000F8120000}"/>
    <cellStyle name="Normal 4 2 2 5 3 2 2 2" xfId="15719" xr:uid="{7A47DD29-17FB-4883-B665-47788A63FA11}"/>
    <cellStyle name="Normal 4 2 2 5 3 2 3" xfId="11501" xr:uid="{FD857866-8332-458C-9A0B-C53BAB8BC67C}"/>
    <cellStyle name="Normal 4 2 2 5 3 3" xfId="5145" xr:uid="{00000000-0005-0000-0000-0000F9120000}"/>
    <cellStyle name="Normal 4 2 2 5 3 3 2" xfId="13574" xr:uid="{581527BE-D3E3-45DC-AD11-10B02516DFE9}"/>
    <cellStyle name="Normal 4 2 2 5 3 4" xfId="9356" xr:uid="{DBB234DA-3B2A-4513-A3A1-9511BCB73AD3}"/>
    <cellStyle name="Normal 4 2 2 5 4" xfId="1249" xr:uid="{00000000-0005-0000-0000-0000FA120000}"/>
    <cellStyle name="Normal 4 2 2 5 4 2" xfId="3479" xr:uid="{00000000-0005-0000-0000-0000FB120000}"/>
    <cellStyle name="Normal 4 2 2 5 4 2 2" xfId="7703" xr:uid="{00000000-0005-0000-0000-0000FC120000}"/>
    <cellStyle name="Normal 4 2 2 5 4 2 2 2" xfId="16132" xr:uid="{132061BA-B48C-4FBA-BA60-8F6D46B29830}"/>
    <cellStyle name="Normal 4 2 2 5 4 2 3" xfId="11914" xr:uid="{21B7EA69-79D5-415C-9E12-8E0455848CB5}"/>
    <cellStyle name="Normal 4 2 2 5 4 3" xfId="5558" xr:uid="{00000000-0005-0000-0000-0000FD120000}"/>
    <cellStyle name="Normal 4 2 2 5 4 3 2" xfId="13987" xr:uid="{6211A023-0266-4514-BA37-3746B1D0B886}"/>
    <cellStyle name="Normal 4 2 2 5 4 4" xfId="9769" xr:uid="{B11BB4E4-047B-44C2-B3FC-32B8978C3143}"/>
    <cellStyle name="Normal 4 2 2 5 5" xfId="1662" xr:uid="{00000000-0005-0000-0000-0000FE120000}"/>
    <cellStyle name="Normal 4 2 2 5 5 2" xfId="3892" xr:uid="{00000000-0005-0000-0000-0000FF120000}"/>
    <cellStyle name="Normal 4 2 2 5 5 2 2" xfId="8116" xr:uid="{00000000-0005-0000-0000-000000130000}"/>
    <cellStyle name="Normal 4 2 2 5 5 2 2 2" xfId="16545" xr:uid="{CEBD3CBD-D494-4A96-9851-799854F0D809}"/>
    <cellStyle name="Normal 4 2 2 5 5 2 3" xfId="12327" xr:uid="{F69EA100-CC6E-43C8-98B6-4E61E31FD6CA}"/>
    <cellStyle name="Normal 4 2 2 5 5 3" xfId="5971" xr:uid="{00000000-0005-0000-0000-000001130000}"/>
    <cellStyle name="Normal 4 2 2 5 5 3 2" xfId="14400" xr:uid="{EDB3ED8B-78E6-4A83-8FD4-8D5814E10776}"/>
    <cellStyle name="Normal 4 2 2 5 5 4" xfId="10182" xr:uid="{9659A748-0049-4501-A2B4-D463EBDFB728}"/>
    <cellStyle name="Normal 4 2 2 5 6" xfId="2076" xr:uid="{00000000-0005-0000-0000-000002130000}"/>
    <cellStyle name="Normal 4 2 2 5 6 2" xfId="4305" xr:uid="{00000000-0005-0000-0000-000003130000}"/>
    <cellStyle name="Normal 4 2 2 5 6 2 2" xfId="8529" xr:uid="{00000000-0005-0000-0000-000004130000}"/>
    <cellStyle name="Normal 4 2 2 5 6 2 2 2" xfId="16958" xr:uid="{A01EC8F8-D826-42EE-A25B-398C96C330D5}"/>
    <cellStyle name="Normal 4 2 2 5 6 2 3" xfId="12740" xr:uid="{4885F81F-8376-4721-AE0B-B08870107B41}"/>
    <cellStyle name="Normal 4 2 2 5 6 3" xfId="6384" xr:uid="{00000000-0005-0000-0000-000005130000}"/>
    <cellStyle name="Normal 4 2 2 5 6 3 2" xfId="14813" xr:uid="{276BD06C-8E6B-405A-86AA-B6AF15F6D156}"/>
    <cellStyle name="Normal 4 2 2 5 6 4" xfId="10595" xr:uid="{B537A396-81CC-452C-91D3-7022A847F88E}"/>
    <cellStyle name="Normal 4 2 2 5 7" xfId="2512" xr:uid="{00000000-0005-0000-0000-000006130000}"/>
    <cellStyle name="Normal 4 2 2 5 7 2" xfId="6797" xr:uid="{00000000-0005-0000-0000-000007130000}"/>
    <cellStyle name="Normal 4 2 2 5 7 2 2" xfId="15226" xr:uid="{DD8DF2D3-3FA7-4F92-86B8-323EA308E3CC}"/>
    <cellStyle name="Normal 4 2 2 5 7 3" xfId="11008" xr:uid="{D16722EF-5075-45D6-9CF4-9D500445C16D}"/>
    <cellStyle name="Normal 4 2 2 5 8" xfId="4732" xr:uid="{00000000-0005-0000-0000-000008130000}"/>
    <cellStyle name="Normal 4 2 2 5 8 2" xfId="13161" xr:uid="{05B8F202-24FC-4E7C-B1C8-75DADA938BDD}"/>
    <cellStyle name="Normal 4 2 2 5 9" xfId="8943" xr:uid="{0D784887-9577-4C0E-966F-36F1331B5945}"/>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2 2" xfId="15721" xr:uid="{441B8AB4-6D90-42A0-B4C2-A8E69D52B188}"/>
    <cellStyle name="Normal 4 2 2 6 2 2 3" xfId="11503" xr:uid="{EB6791E4-40BB-46E4-A334-DB7259EF7C04}"/>
    <cellStyle name="Normal 4 2 2 6 2 3" xfId="5147" xr:uid="{00000000-0005-0000-0000-00000D130000}"/>
    <cellStyle name="Normal 4 2 2 6 2 3 2" xfId="13576" xr:uid="{22A56FF7-6B67-4168-8505-FF94DB488B88}"/>
    <cellStyle name="Normal 4 2 2 6 2 4" xfId="9358" xr:uid="{C9651B21-C5E0-46F7-876B-35803670F86B}"/>
    <cellStyle name="Normal 4 2 2 6 3" xfId="1251" xr:uid="{00000000-0005-0000-0000-00000E130000}"/>
    <cellStyle name="Normal 4 2 2 6 3 2" xfId="3481" xr:uid="{00000000-0005-0000-0000-00000F130000}"/>
    <cellStyle name="Normal 4 2 2 6 3 2 2" xfId="7705" xr:uid="{00000000-0005-0000-0000-000010130000}"/>
    <cellStyle name="Normal 4 2 2 6 3 2 2 2" xfId="16134" xr:uid="{99B5E32B-CA44-4D2F-978E-D23D277C1DA0}"/>
    <cellStyle name="Normal 4 2 2 6 3 2 3" xfId="11916" xr:uid="{34E43F30-717C-43CA-978E-1615A7B474DB}"/>
    <cellStyle name="Normal 4 2 2 6 3 3" xfId="5560" xr:uid="{00000000-0005-0000-0000-000011130000}"/>
    <cellStyle name="Normal 4 2 2 6 3 3 2" xfId="13989" xr:uid="{3645736B-07AA-46A7-BD4A-F336E34EE848}"/>
    <cellStyle name="Normal 4 2 2 6 3 4" xfId="9771" xr:uid="{220E5CA7-3A10-486D-9382-99BA8B7F44A4}"/>
    <cellStyle name="Normal 4 2 2 6 4" xfId="1664" xr:uid="{00000000-0005-0000-0000-000012130000}"/>
    <cellStyle name="Normal 4 2 2 6 4 2" xfId="3894" xr:uid="{00000000-0005-0000-0000-000013130000}"/>
    <cellStyle name="Normal 4 2 2 6 4 2 2" xfId="8118" xr:uid="{00000000-0005-0000-0000-000014130000}"/>
    <cellStyle name="Normal 4 2 2 6 4 2 2 2" xfId="16547" xr:uid="{EACC53F0-6FA4-4A66-8B80-0897956996E5}"/>
    <cellStyle name="Normal 4 2 2 6 4 2 3" xfId="12329" xr:uid="{D4625448-CDDB-4CE8-9F7F-27251E3EC483}"/>
    <cellStyle name="Normal 4 2 2 6 4 3" xfId="5973" xr:uid="{00000000-0005-0000-0000-000015130000}"/>
    <cellStyle name="Normal 4 2 2 6 4 3 2" xfId="14402" xr:uid="{2B0F7CD2-8F8E-4F27-AEC8-5FDCBFA4EB95}"/>
    <cellStyle name="Normal 4 2 2 6 4 4" xfId="10184" xr:uid="{9324CE5A-6C5F-4DC7-AB03-D929C070D974}"/>
    <cellStyle name="Normal 4 2 2 6 5" xfId="2078" xr:uid="{00000000-0005-0000-0000-000016130000}"/>
    <cellStyle name="Normal 4 2 2 6 5 2" xfId="4307" xr:uid="{00000000-0005-0000-0000-000017130000}"/>
    <cellStyle name="Normal 4 2 2 6 5 2 2" xfId="8531" xr:uid="{00000000-0005-0000-0000-000018130000}"/>
    <cellStyle name="Normal 4 2 2 6 5 2 2 2" xfId="16960" xr:uid="{8C2F8AE1-C7A6-4F0B-A922-A88DA47D73C7}"/>
    <cellStyle name="Normal 4 2 2 6 5 2 3" xfId="12742" xr:uid="{BE19F6FB-6535-44A4-90FB-A49C80F3EEC5}"/>
    <cellStyle name="Normal 4 2 2 6 5 3" xfId="6386" xr:uid="{00000000-0005-0000-0000-000019130000}"/>
    <cellStyle name="Normal 4 2 2 6 5 3 2" xfId="14815" xr:uid="{068C28D9-384F-4E50-B196-D456A762ED0F}"/>
    <cellStyle name="Normal 4 2 2 6 5 4" xfId="10597" xr:uid="{B48FC99C-F3D6-4F85-B583-D3C2640FD71F}"/>
    <cellStyle name="Normal 4 2 2 6 6" xfId="2514" xr:uid="{00000000-0005-0000-0000-00001A130000}"/>
    <cellStyle name="Normal 4 2 2 6 6 2" xfId="6799" xr:uid="{00000000-0005-0000-0000-00001B130000}"/>
    <cellStyle name="Normal 4 2 2 6 6 2 2" xfId="15228" xr:uid="{603181F0-2EA8-4B53-BF94-AC5E514EC603}"/>
    <cellStyle name="Normal 4 2 2 6 6 3" xfId="11010" xr:uid="{CB4E5FC5-1922-4CEA-962E-EB545ED34285}"/>
    <cellStyle name="Normal 4 2 2 6 7" xfId="4734" xr:uid="{00000000-0005-0000-0000-00001C130000}"/>
    <cellStyle name="Normal 4 2 2 6 7 2" xfId="13163" xr:uid="{676A8CBC-867C-4A43-BE5F-79D44ED911F2}"/>
    <cellStyle name="Normal 4 2 2 6 8" xfId="8945" xr:uid="{675897CA-FE30-4253-8641-6F1343E2145C}"/>
    <cellStyle name="Normal 4 2 2 7" xfId="816" xr:uid="{00000000-0005-0000-0000-00001D130000}"/>
    <cellStyle name="Normal 4 2 2 7 2" xfId="3053" xr:uid="{00000000-0005-0000-0000-00001E130000}"/>
    <cellStyle name="Normal 4 2 2 7 2 2" xfId="7277" xr:uid="{00000000-0005-0000-0000-00001F130000}"/>
    <cellStyle name="Normal 4 2 2 7 2 2 2" xfId="15706" xr:uid="{E6F31D77-57BB-456B-9D80-AE8F9115D3F1}"/>
    <cellStyle name="Normal 4 2 2 7 2 3" xfId="11488" xr:uid="{BA6EE14F-FF44-4111-8769-92EC7120C51B}"/>
    <cellStyle name="Normal 4 2 2 7 3" xfId="5132" xr:uid="{00000000-0005-0000-0000-000020130000}"/>
    <cellStyle name="Normal 4 2 2 7 3 2" xfId="13561" xr:uid="{E971F322-3BC9-4839-909C-C72B0D12EBD7}"/>
    <cellStyle name="Normal 4 2 2 7 4" xfId="9343" xr:uid="{7C01D778-B5F1-495E-B331-D1ABF27435ED}"/>
    <cellStyle name="Normal 4 2 2 8" xfId="1236" xr:uid="{00000000-0005-0000-0000-000021130000}"/>
    <cellStyle name="Normal 4 2 2 8 2" xfId="3466" xr:uid="{00000000-0005-0000-0000-000022130000}"/>
    <cellStyle name="Normal 4 2 2 8 2 2" xfId="7690" xr:uid="{00000000-0005-0000-0000-000023130000}"/>
    <cellStyle name="Normal 4 2 2 8 2 2 2" xfId="16119" xr:uid="{86036937-3787-4A82-8161-817160EFA040}"/>
    <cellStyle name="Normal 4 2 2 8 2 3" xfId="11901" xr:uid="{CD0F83EA-5C02-4F5A-8DAD-A814905D9845}"/>
    <cellStyle name="Normal 4 2 2 8 3" xfId="5545" xr:uid="{00000000-0005-0000-0000-000024130000}"/>
    <cellStyle name="Normal 4 2 2 8 3 2" xfId="13974" xr:uid="{FB6AC522-EA63-4B2C-8578-2C819E22CE78}"/>
    <cellStyle name="Normal 4 2 2 8 4" xfId="9756" xr:uid="{4AAB4AA0-443D-4C32-9C20-C207C55E6E8B}"/>
    <cellStyle name="Normal 4 2 2 9" xfId="1649" xr:uid="{00000000-0005-0000-0000-000025130000}"/>
    <cellStyle name="Normal 4 2 2 9 2" xfId="3879" xr:uid="{00000000-0005-0000-0000-000026130000}"/>
    <cellStyle name="Normal 4 2 2 9 2 2" xfId="8103" xr:uid="{00000000-0005-0000-0000-000027130000}"/>
    <cellStyle name="Normal 4 2 2 9 2 2 2" xfId="16532" xr:uid="{5224EA05-4D61-41D4-8F7C-31A7CE4243AF}"/>
    <cellStyle name="Normal 4 2 2 9 2 3" xfId="12314" xr:uid="{5328E683-98EB-4B3B-BE6F-51A73CD673E4}"/>
    <cellStyle name="Normal 4 2 2 9 3" xfId="5958" xr:uid="{00000000-0005-0000-0000-000028130000}"/>
    <cellStyle name="Normal 4 2 2 9 3 2" xfId="14387" xr:uid="{857B5745-FF8B-4ED9-86E2-722181579756}"/>
    <cellStyle name="Normal 4 2 2 9 4" xfId="10169" xr:uid="{DAF4410E-D238-4FE6-B503-3A29D0147FE6}"/>
    <cellStyle name="Normal 4 2 3" xfId="354" xr:uid="{00000000-0005-0000-0000-000029130000}"/>
    <cellStyle name="Normal 4 2 4" xfId="355" xr:uid="{00000000-0005-0000-0000-00002A130000}"/>
    <cellStyle name="Normal 4 2 4 10" xfId="4735" xr:uid="{00000000-0005-0000-0000-00002B130000}"/>
    <cellStyle name="Normal 4 2 4 10 2" xfId="13164" xr:uid="{875B7024-45D5-449B-878A-87DFAD7BC612}"/>
    <cellStyle name="Normal 4 2 4 11" xfId="8946" xr:uid="{67CB0A73-A6BA-431B-9ED3-443DD85FBCB2}"/>
    <cellStyle name="Normal 4 2 4 2" xfId="356" xr:uid="{00000000-0005-0000-0000-00002C130000}"/>
    <cellStyle name="Normal 4 2 4 2 10" xfId="8947" xr:uid="{2C0898BE-6D7C-4964-B09C-82375E2186F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2 2" xfId="15725" xr:uid="{B4D960CA-EE73-4845-8A6A-F9C947DE189D}"/>
    <cellStyle name="Normal 4 2 4 2 2 2 2 2 3" xfId="11507" xr:uid="{744BFB80-4379-474B-89EB-5392F58CCABB}"/>
    <cellStyle name="Normal 4 2 4 2 2 2 2 3" xfId="5151" xr:uid="{00000000-0005-0000-0000-000032130000}"/>
    <cellStyle name="Normal 4 2 4 2 2 2 2 3 2" xfId="13580" xr:uid="{877EBD39-C7FE-46C4-8568-1C97764A427C}"/>
    <cellStyle name="Normal 4 2 4 2 2 2 2 4" xfId="9362" xr:uid="{521B8A6C-6331-4648-80EC-1C719DBF21D6}"/>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2 2" xfId="16138" xr:uid="{56541B74-A7B2-410E-8BD0-0328D8601AC6}"/>
    <cellStyle name="Normal 4 2 4 2 2 2 3 2 3" xfId="11920" xr:uid="{CD5D5099-8941-4994-B69A-CA966CCE07F8}"/>
    <cellStyle name="Normal 4 2 4 2 2 2 3 3" xfId="5564" xr:uid="{00000000-0005-0000-0000-000036130000}"/>
    <cellStyle name="Normal 4 2 4 2 2 2 3 3 2" xfId="13993" xr:uid="{0FA99B07-CACB-4733-B74D-EDFF6B882437}"/>
    <cellStyle name="Normal 4 2 4 2 2 2 3 4" xfId="9775" xr:uid="{E56BCFA6-3337-4DB9-A2B1-3EFAA8C2CE97}"/>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2 2" xfId="16551" xr:uid="{2B2A0A88-7974-40C2-929E-16DC4FA4A8AE}"/>
    <cellStyle name="Normal 4 2 4 2 2 2 4 2 3" xfId="12333" xr:uid="{E9F7E7C9-986C-4EEF-85AE-3F6D4488AE01}"/>
    <cellStyle name="Normal 4 2 4 2 2 2 4 3" xfId="5977" xr:uid="{00000000-0005-0000-0000-00003A130000}"/>
    <cellStyle name="Normal 4 2 4 2 2 2 4 3 2" xfId="14406" xr:uid="{E771FCD4-7983-4514-ACEE-D9AC3A239DF5}"/>
    <cellStyle name="Normal 4 2 4 2 2 2 4 4" xfId="10188" xr:uid="{4988AC51-03C0-4519-B122-017719211C94}"/>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2 2" xfId="16964" xr:uid="{978FF6B0-AAEF-4153-A3C5-D4B7D83AE083}"/>
    <cellStyle name="Normal 4 2 4 2 2 2 5 2 3" xfId="12746" xr:uid="{8DEDFE87-38DE-4B77-95F6-6F1472A5D78A}"/>
    <cellStyle name="Normal 4 2 4 2 2 2 5 3" xfId="6390" xr:uid="{00000000-0005-0000-0000-00003E130000}"/>
    <cellStyle name="Normal 4 2 4 2 2 2 5 3 2" xfId="14819" xr:uid="{B1724406-B359-4C02-B3AE-2375C6664AEF}"/>
    <cellStyle name="Normal 4 2 4 2 2 2 5 4" xfId="10601" xr:uid="{ED89B511-5AAA-4311-94C9-BCE34FF45240}"/>
    <cellStyle name="Normal 4 2 4 2 2 2 6" xfId="2518" xr:uid="{00000000-0005-0000-0000-00003F130000}"/>
    <cellStyle name="Normal 4 2 4 2 2 2 6 2" xfId="6803" xr:uid="{00000000-0005-0000-0000-000040130000}"/>
    <cellStyle name="Normal 4 2 4 2 2 2 6 2 2" xfId="15232" xr:uid="{116A632D-E497-43F4-B4BF-D0787261BA3A}"/>
    <cellStyle name="Normal 4 2 4 2 2 2 6 3" xfId="11014" xr:uid="{4E093EC2-C21A-450B-9907-B89B70772C63}"/>
    <cellStyle name="Normal 4 2 4 2 2 2 7" xfId="4738" xr:uid="{00000000-0005-0000-0000-000041130000}"/>
    <cellStyle name="Normal 4 2 4 2 2 2 7 2" xfId="13167" xr:uid="{594BFDA2-2202-4EC7-A5CF-A0986AA13214}"/>
    <cellStyle name="Normal 4 2 4 2 2 2 8" xfId="8949" xr:uid="{02C93461-682C-4651-9438-2B7293AD681B}"/>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2 2" xfId="15724" xr:uid="{947A3F56-7933-4CE3-9338-404E8AC6C587}"/>
    <cellStyle name="Normal 4 2 4 2 2 3 2 3" xfId="11506" xr:uid="{C6920B9D-E632-4BAB-9B13-DAF1B6C9C086}"/>
    <cellStyle name="Normal 4 2 4 2 2 3 3" xfId="5150" xr:uid="{00000000-0005-0000-0000-000045130000}"/>
    <cellStyle name="Normal 4 2 4 2 2 3 3 2" xfId="13579" xr:uid="{CB48B837-BCA2-4AC9-BBE4-EEFD9E9F966F}"/>
    <cellStyle name="Normal 4 2 4 2 2 3 4" xfId="9361" xr:uid="{4BA39998-579B-42E5-BDF8-E069B6FDD6FA}"/>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2 2" xfId="16137" xr:uid="{0EB8B855-DB66-4351-B375-7A6CB630E51A}"/>
    <cellStyle name="Normal 4 2 4 2 2 4 2 3" xfId="11919" xr:uid="{752315CC-D5E1-427F-AD02-18A72AC2E715}"/>
    <cellStyle name="Normal 4 2 4 2 2 4 3" xfId="5563" xr:uid="{00000000-0005-0000-0000-000049130000}"/>
    <cellStyle name="Normal 4 2 4 2 2 4 3 2" xfId="13992" xr:uid="{3EDDBFBB-8EDD-41E2-9058-8789FEE25A97}"/>
    <cellStyle name="Normal 4 2 4 2 2 4 4" xfId="9774" xr:uid="{5C43CCCF-0D98-4A02-9100-582FA009A983}"/>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2 2" xfId="16550" xr:uid="{07FD5D3C-205E-4DC1-8C71-6DA39450580E}"/>
    <cellStyle name="Normal 4 2 4 2 2 5 2 3" xfId="12332" xr:uid="{EA7CB800-0B58-43B5-9631-A493B193AA4F}"/>
    <cellStyle name="Normal 4 2 4 2 2 5 3" xfId="5976" xr:uid="{00000000-0005-0000-0000-00004D130000}"/>
    <cellStyle name="Normal 4 2 4 2 2 5 3 2" xfId="14405" xr:uid="{DFB07115-7ECC-4B54-B5D9-9A8B3D3BCD1F}"/>
    <cellStyle name="Normal 4 2 4 2 2 5 4" xfId="10187" xr:uid="{E265847B-08F3-4429-B7EA-4679A1B1445F}"/>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2 2" xfId="16963" xr:uid="{8448F038-BF19-46A4-9C5E-2C5B345A4EA9}"/>
    <cellStyle name="Normal 4 2 4 2 2 6 2 3" xfId="12745" xr:uid="{B9878CF7-C1A9-418D-8FC4-9884203B66DC}"/>
    <cellStyle name="Normal 4 2 4 2 2 6 3" xfId="6389" xr:uid="{00000000-0005-0000-0000-000051130000}"/>
    <cellStyle name="Normal 4 2 4 2 2 6 3 2" xfId="14818" xr:uid="{5909A63E-CBEF-40A4-963D-C8D36A40FAE9}"/>
    <cellStyle name="Normal 4 2 4 2 2 6 4" xfId="10600" xr:uid="{6339A431-5076-488E-846B-AE24A75C8418}"/>
    <cellStyle name="Normal 4 2 4 2 2 7" xfId="2517" xr:uid="{00000000-0005-0000-0000-000052130000}"/>
    <cellStyle name="Normal 4 2 4 2 2 7 2" xfId="6802" xr:uid="{00000000-0005-0000-0000-000053130000}"/>
    <cellStyle name="Normal 4 2 4 2 2 7 2 2" xfId="15231" xr:uid="{DFE0B4EA-7F28-482D-87F7-9150186CAD80}"/>
    <cellStyle name="Normal 4 2 4 2 2 7 3" xfId="11013" xr:uid="{B9C00917-F43D-498A-89A2-9815716EC8B3}"/>
    <cellStyle name="Normal 4 2 4 2 2 8" xfId="4737" xr:uid="{00000000-0005-0000-0000-000054130000}"/>
    <cellStyle name="Normal 4 2 4 2 2 8 2" xfId="13166" xr:uid="{93B2C56C-937A-4C34-B951-EBC1ABCAC0F4}"/>
    <cellStyle name="Normal 4 2 4 2 2 9" xfId="8948" xr:uid="{B1579114-3D0F-4CB7-95C2-5959E7160C61}"/>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2 2" xfId="15726" xr:uid="{99D231FB-63E6-4C39-9547-E7BAD3ADF956}"/>
    <cellStyle name="Normal 4 2 4 2 3 2 2 3" xfId="11508" xr:uid="{46152244-DBA0-43ED-B9D2-A732E3C4994B}"/>
    <cellStyle name="Normal 4 2 4 2 3 2 3" xfId="5152" xr:uid="{00000000-0005-0000-0000-000059130000}"/>
    <cellStyle name="Normal 4 2 4 2 3 2 3 2" xfId="13581" xr:uid="{3A8212B4-5259-4532-A196-030FF260EA9E}"/>
    <cellStyle name="Normal 4 2 4 2 3 2 4" xfId="9363" xr:uid="{25E33CA8-6EB8-4685-9782-F6840E5DF1DC}"/>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2 2" xfId="16139" xr:uid="{34BF655D-D4CD-478D-A392-08092638B5F5}"/>
    <cellStyle name="Normal 4 2 4 2 3 3 2 3" xfId="11921" xr:uid="{9C6AA9BA-4DDF-431D-A4B6-25475C40FC57}"/>
    <cellStyle name="Normal 4 2 4 2 3 3 3" xfId="5565" xr:uid="{00000000-0005-0000-0000-00005D130000}"/>
    <cellStyle name="Normal 4 2 4 2 3 3 3 2" xfId="13994" xr:uid="{14BFD66B-55FD-4508-9B4E-703368A2C992}"/>
    <cellStyle name="Normal 4 2 4 2 3 3 4" xfId="9776" xr:uid="{9FEC3752-B917-42F6-A9BD-1E35FAD5270A}"/>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2 2" xfId="16552" xr:uid="{F7B98AA9-DCCD-4947-BB27-07193C20201D}"/>
    <cellStyle name="Normal 4 2 4 2 3 4 2 3" xfId="12334" xr:uid="{BD477E8A-3663-4988-98CE-E4F84D373D77}"/>
    <cellStyle name="Normal 4 2 4 2 3 4 3" xfId="5978" xr:uid="{00000000-0005-0000-0000-000061130000}"/>
    <cellStyle name="Normal 4 2 4 2 3 4 3 2" xfId="14407" xr:uid="{83F8CD85-D170-465E-9A6D-C88535EE5368}"/>
    <cellStyle name="Normal 4 2 4 2 3 4 4" xfId="10189" xr:uid="{23876CE0-1A31-4970-A9FB-3794842B80ED}"/>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2 2" xfId="16965" xr:uid="{DB3768BA-517D-43DC-A3B3-4A5ADF4A139D}"/>
    <cellStyle name="Normal 4 2 4 2 3 5 2 3" xfId="12747" xr:uid="{1929296A-4615-47FD-A771-DF093BB11CFF}"/>
    <cellStyle name="Normal 4 2 4 2 3 5 3" xfId="6391" xr:uid="{00000000-0005-0000-0000-000065130000}"/>
    <cellStyle name="Normal 4 2 4 2 3 5 3 2" xfId="14820" xr:uid="{99A2355C-C9BC-4B74-9C8B-81D2FDAEC98E}"/>
    <cellStyle name="Normal 4 2 4 2 3 5 4" xfId="10602" xr:uid="{12CDE899-9064-426D-A98C-889C8ABD2DB0}"/>
    <cellStyle name="Normal 4 2 4 2 3 6" xfId="2519" xr:uid="{00000000-0005-0000-0000-000066130000}"/>
    <cellStyle name="Normal 4 2 4 2 3 6 2" xfId="6804" xr:uid="{00000000-0005-0000-0000-000067130000}"/>
    <cellStyle name="Normal 4 2 4 2 3 6 2 2" xfId="15233" xr:uid="{72328F5E-9761-42F2-B60F-1E026D456D55}"/>
    <cellStyle name="Normal 4 2 4 2 3 6 3" xfId="11015" xr:uid="{D5AB61E5-1AC0-443B-84D8-05A6F0B523EA}"/>
    <cellStyle name="Normal 4 2 4 2 3 7" xfId="4739" xr:uid="{00000000-0005-0000-0000-000068130000}"/>
    <cellStyle name="Normal 4 2 4 2 3 7 2" xfId="13168" xr:uid="{EB22D13F-C5D8-496F-B120-15CB6A89B84C}"/>
    <cellStyle name="Normal 4 2 4 2 3 8" xfId="8950" xr:uid="{D42B7BED-C075-45C1-8C0E-51FF029863EF}"/>
    <cellStyle name="Normal 4 2 4 2 4" xfId="833" xr:uid="{00000000-0005-0000-0000-000069130000}"/>
    <cellStyle name="Normal 4 2 4 2 4 2" xfId="3070" xr:uid="{00000000-0005-0000-0000-00006A130000}"/>
    <cellStyle name="Normal 4 2 4 2 4 2 2" xfId="7294" xr:uid="{00000000-0005-0000-0000-00006B130000}"/>
    <cellStyle name="Normal 4 2 4 2 4 2 2 2" xfId="15723" xr:uid="{292B0DCA-77AF-4C03-B064-3851EA4A12F7}"/>
    <cellStyle name="Normal 4 2 4 2 4 2 3" xfId="11505" xr:uid="{41336636-44F7-4882-B8E3-BF824974D218}"/>
    <cellStyle name="Normal 4 2 4 2 4 3" xfId="5149" xr:uid="{00000000-0005-0000-0000-00006C130000}"/>
    <cellStyle name="Normal 4 2 4 2 4 3 2" xfId="13578" xr:uid="{39E2452A-58E8-4719-9C86-D5FC33DFFECE}"/>
    <cellStyle name="Normal 4 2 4 2 4 4" xfId="9360" xr:uid="{C7584D85-B74E-4AD3-9CBC-822A712F9A29}"/>
    <cellStyle name="Normal 4 2 4 2 5" xfId="1253" xr:uid="{00000000-0005-0000-0000-00006D130000}"/>
    <cellStyle name="Normal 4 2 4 2 5 2" xfId="3483" xr:uid="{00000000-0005-0000-0000-00006E130000}"/>
    <cellStyle name="Normal 4 2 4 2 5 2 2" xfId="7707" xr:uid="{00000000-0005-0000-0000-00006F130000}"/>
    <cellStyle name="Normal 4 2 4 2 5 2 2 2" xfId="16136" xr:uid="{E1AF04F1-9FE9-4DD4-9DFB-ADA1D97646B8}"/>
    <cellStyle name="Normal 4 2 4 2 5 2 3" xfId="11918" xr:uid="{B07589B5-CB20-4303-AE8B-769141FFD8D2}"/>
    <cellStyle name="Normal 4 2 4 2 5 3" xfId="5562" xr:uid="{00000000-0005-0000-0000-000070130000}"/>
    <cellStyle name="Normal 4 2 4 2 5 3 2" xfId="13991" xr:uid="{67DDEB0E-02B6-4A65-8521-A4496A9ADB8D}"/>
    <cellStyle name="Normal 4 2 4 2 5 4" xfId="9773" xr:uid="{58064738-21E1-402D-94BD-3580418B5545}"/>
    <cellStyle name="Normal 4 2 4 2 6" xfId="1666" xr:uid="{00000000-0005-0000-0000-000071130000}"/>
    <cellStyle name="Normal 4 2 4 2 6 2" xfId="3896" xr:uid="{00000000-0005-0000-0000-000072130000}"/>
    <cellStyle name="Normal 4 2 4 2 6 2 2" xfId="8120" xr:uid="{00000000-0005-0000-0000-000073130000}"/>
    <cellStyle name="Normal 4 2 4 2 6 2 2 2" xfId="16549" xr:uid="{5AFA38C0-7CE5-47D4-93DF-4CA4BF38F874}"/>
    <cellStyle name="Normal 4 2 4 2 6 2 3" xfId="12331" xr:uid="{2AC0B0A3-93B0-4388-917E-A591990A47EE}"/>
    <cellStyle name="Normal 4 2 4 2 6 3" xfId="5975" xr:uid="{00000000-0005-0000-0000-000074130000}"/>
    <cellStyle name="Normal 4 2 4 2 6 3 2" xfId="14404" xr:uid="{473C1FE6-C165-40BF-B4E4-80D44A8B3B5B}"/>
    <cellStyle name="Normal 4 2 4 2 6 4" xfId="10186" xr:uid="{41B6A90D-EE21-4FB2-948E-F4A10D4166DE}"/>
    <cellStyle name="Normal 4 2 4 2 7" xfId="2080" xr:uid="{00000000-0005-0000-0000-000075130000}"/>
    <cellStyle name="Normal 4 2 4 2 7 2" xfId="4309" xr:uid="{00000000-0005-0000-0000-000076130000}"/>
    <cellStyle name="Normal 4 2 4 2 7 2 2" xfId="8533" xr:uid="{00000000-0005-0000-0000-000077130000}"/>
    <cellStyle name="Normal 4 2 4 2 7 2 2 2" xfId="16962" xr:uid="{29EFCBD5-3FB6-4CBC-887C-10818ED394DE}"/>
    <cellStyle name="Normal 4 2 4 2 7 2 3" xfId="12744" xr:uid="{82823098-FC8C-45FD-A42A-CBC7005E9D67}"/>
    <cellStyle name="Normal 4 2 4 2 7 3" xfId="6388" xr:uid="{00000000-0005-0000-0000-000078130000}"/>
    <cellStyle name="Normal 4 2 4 2 7 3 2" xfId="14817" xr:uid="{3832349A-9217-4873-95AF-0B39A18EB36E}"/>
    <cellStyle name="Normal 4 2 4 2 7 4" xfId="10599" xr:uid="{18FE8B21-46E7-42AB-8BC8-2549F1472F09}"/>
    <cellStyle name="Normal 4 2 4 2 8" xfId="2516" xr:uid="{00000000-0005-0000-0000-000079130000}"/>
    <cellStyle name="Normal 4 2 4 2 8 2" xfId="6801" xr:uid="{00000000-0005-0000-0000-00007A130000}"/>
    <cellStyle name="Normal 4 2 4 2 8 2 2" xfId="15230" xr:uid="{ECD4C5FD-0AB2-4308-9A43-E9E32E26F1DC}"/>
    <cellStyle name="Normal 4 2 4 2 8 3" xfId="11012" xr:uid="{2C0B9421-30E5-4ED4-BFFC-A92239C3A60B}"/>
    <cellStyle name="Normal 4 2 4 2 9" xfId="4736" xr:uid="{00000000-0005-0000-0000-00007B130000}"/>
    <cellStyle name="Normal 4 2 4 2 9 2" xfId="13165" xr:uid="{F79FCFA3-EAE0-41BF-A78B-277C5C002F44}"/>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2 2" xfId="15728" xr:uid="{BAF4EBBA-CD8E-439B-8BAE-AEF7203293D1}"/>
    <cellStyle name="Normal 4 2 4 3 2 2 2 3" xfId="11510" xr:uid="{BF40FCC4-323F-4606-9C7F-F9DD309941E2}"/>
    <cellStyle name="Normal 4 2 4 3 2 2 3" xfId="5154" xr:uid="{00000000-0005-0000-0000-000081130000}"/>
    <cellStyle name="Normal 4 2 4 3 2 2 3 2" xfId="13583" xr:uid="{EBB6CA08-08FC-46A4-B43E-97B9AE75A692}"/>
    <cellStyle name="Normal 4 2 4 3 2 2 4" xfId="9365" xr:uid="{6D4EDE04-FB45-415C-A84A-5E290B9CED4A}"/>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2 2" xfId="16141" xr:uid="{37F60BC3-29FE-4457-BFBA-1EEC4357FFC8}"/>
    <cellStyle name="Normal 4 2 4 3 2 3 2 3" xfId="11923" xr:uid="{2DAB117C-B6AD-4CC1-90A7-E9C84EF158AB}"/>
    <cellStyle name="Normal 4 2 4 3 2 3 3" xfId="5567" xr:uid="{00000000-0005-0000-0000-000085130000}"/>
    <cellStyle name="Normal 4 2 4 3 2 3 3 2" xfId="13996" xr:uid="{CE38A66A-841B-49D0-ACC1-CDEB33DBDD95}"/>
    <cellStyle name="Normal 4 2 4 3 2 3 4" xfId="9778" xr:uid="{4D3E4C8B-1B51-4947-997A-32F9F7D57C8E}"/>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2 2" xfId="16554" xr:uid="{926292AD-13A9-416E-BC7E-F22E0BA62CC0}"/>
    <cellStyle name="Normal 4 2 4 3 2 4 2 3" xfId="12336" xr:uid="{B5AFAE0E-CC2C-4173-9597-70AF6C5EE15D}"/>
    <cellStyle name="Normal 4 2 4 3 2 4 3" xfId="5980" xr:uid="{00000000-0005-0000-0000-000089130000}"/>
    <cellStyle name="Normal 4 2 4 3 2 4 3 2" xfId="14409" xr:uid="{2FD3C9A9-9D75-46DE-9DF4-41BE4AC575A2}"/>
    <cellStyle name="Normal 4 2 4 3 2 4 4" xfId="10191" xr:uid="{F8EB5AAD-6992-4B21-BCB2-80E7788C177C}"/>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2 2" xfId="16967" xr:uid="{668F6A1A-A30E-45B8-B11C-E38F17BD4480}"/>
    <cellStyle name="Normal 4 2 4 3 2 5 2 3" xfId="12749" xr:uid="{F8DB3B4D-3D8C-41C1-97E0-751EFA760F3A}"/>
    <cellStyle name="Normal 4 2 4 3 2 5 3" xfId="6393" xr:uid="{00000000-0005-0000-0000-00008D130000}"/>
    <cellStyle name="Normal 4 2 4 3 2 5 3 2" xfId="14822" xr:uid="{A3F74C02-8EB5-45B1-A9D1-69383A2F7AB2}"/>
    <cellStyle name="Normal 4 2 4 3 2 5 4" xfId="10604" xr:uid="{B861C7C4-8095-4D21-85A7-2408DC18A047}"/>
    <cellStyle name="Normal 4 2 4 3 2 6" xfId="2521" xr:uid="{00000000-0005-0000-0000-00008E130000}"/>
    <cellStyle name="Normal 4 2 4 3 2 6 2" xfId="6806" xr:uid="{00000000-0005-0000-0000-00008F130000}"/>
    <cellStyle name="Normal 4 2 4 3 2 6 2 2" xfId="15235" xr:uid="{A84DF1EF-EE7C-4D81-8095-5833884099F6}"/>
    <cellStyle name="Normal 4 2 4 3 2 6 3" xfId="11017" xr:uid="{FF978A1B-60E3-406C-B72B-3339247BA5B3}"/>
    <cellStyle name="Normal 4 2 4 3 2 7" xfId="4741" xr:uid="{00000000-0005-0000-0000-000090130000}"/>
    <cellStyle name="Normal 4 2 4 3 2 7 2" xfId="13170" xr:uid="{94F8009F-47D7-416B-9856-F17DFD023F43}"/>
    <cellStyle name="Normal 4 2 4 3 2 8" xfId="8952" xr:uid="{C328B2AD-CFE6-4D5F-9B65-C71E4D9464CD}"/>
    <cellStyle name="Normal 4 2 4 3 3" xfId="837" xr:uid="{00000000-0005-0000-0000-000091130000}"/>
    <cellStyle name="Normal 4 2 4 3 3 2" xfId="3074" xr:uid="{00000000-0005-0000-0000-000092130000}"/>
    <cellStyle name="Normal 4 2 4 3 3 2 2" xfId="7298" xr:uid="{00000000-0005-0000-0000-000093130000}"/>
    <cellStyle name="Normal 4 2 4 3 3 2 2 2" xfId="15727" xr:uid="{B4F3CD38-8D97-4C04-A90A-B6034FA0B477}"/>
    <cellStyle name="Normal 4 2 4 3 3 2 3" xfId="11509" xr:uid="{3941EB1E-D4B8-4B98-A18B-5623E59FA124}"/>
    <cellStyle name="Normal 4 2 4 3 3 3" xfId="5153" xr:uid="{00000000-0005-0000-0000-000094130000}"/>
    <cellStyle name="Normal 4 2 4 3 3 3 2" xfId="13582" xr:uid="{37B18F0E-354F-49C6-B90A-C1C6276BD052}"/>
    <cellStyle name="Normal 4 2 4 3 3 4" xfId="9364" xr:uid="{6A260498-1BD1-4A16-88CB-0D1896AE488F}"/>
    <cellStyle name="Normal 4 2 4 3 4" xfId="1257" xr:uid="{00000000-0005-0000-0000-000095130000}"/>
    <cellStyle name="Normal 4 2 4 3 4 2" xfId="3487" xr:uid="{00000000-0005-0000-0000-000096130000}"/>
    <cellStyle name="Normal 4 2 4 3 4 2 2" xfId="7711" xr:uid="{00000000-0005-0000-0000-000097130000}"/>
    <cellStyle name="Normal 4 2 4 3 4 2 2 2" xfId="16140" xr:uid="{2BFAFBDA-956A-4C72-B33A-D3A68464CDC4}"/>
    <cellStyle name="Normal 4 2 4 3 4 2 3" xfId="11922" xr:uid="{C0B386D2-4E72-4997-B135-42CBE185ADDC}"/>
    <cellStyle name="Normal 4 2 4 3 4 3" xfId="5566" xr:uid="{00000000-0005-0000-0000-000098130000}"/>
    <cellStyle name="Normal 4 2 4 3 4 3 2" xfId="13995" xr:uid="{1C0C814C-0B82-4F07-B450-2598683F3F73}"/>
    <cellStyle name="Normal 4 2 4 3 4 4" xfId="9777" xr:uid="{B888DA6F-F8AC-4015-A57B-426AF1ABC5D0}"/>
    <cellStyle name="Normal 4 2 4 3 5" xfId="1670" xr:uid="{00000000-0005-0000-0000-000099130000}"/>
    <cellStyle name="Normal 4 2 4 3 5 2" xfId="3900" xr:uid="{00000000-0005-0000-0000-00009A130000}"/>
    <cellStyle name="Normal 4 2 4 3 5 2 2" xfId="8124" xr:uid="{00000000-0005-0000-0000-00009B130000}"/>
    <cellStyle name="Normal 4 2 4 3 5 2 2 2" xfId="16553" xr:uid="{04F8B141-8223-4662-A581-EFBC1DBE454D}"/>
    <cellStyle name="Normal 4 2 4 3 5 2 3" xfId="12335" xr:uid="{4F56FE9F-38DA-4163-BC5E-78031EC64066}"/>
    <cellStyle name="Normal 4 2 4 3 5 3" xfId="5979" xr:uid="{00000000-0005-0000-0000-00009C130000}"/>
    <cellStyle name="Normal 4 2 4 3 5 3 2" xfId="14408" xr:uid="{DF04F447-EE3B-4817-A33A-20AA2711E45C}"/>
    <cellStyle name="Normal 4 2 4 3 5 4" xfId="10190" xr:uid="{C665E40A-CD4B-4C91-8275-9227818F0CDE}"/>
    <cellStyle name="Normal 4 2 4 3 6" xfId="2084" xr:uid="{00000000-0005-0000-0000-00009D130000}"/>
    <cellStyle name="Normal 4 2 4 3 6 2" xfId="4313" xr:uid="{00000000-0005-0000-0000-00009E130000}"/>
    <cellStyle name="Normal 4 2 4 3 6 2 2" xfId="8537" xr:uid="{00000000-0005-0000-0000-00009F130000}"/>
    <cellStyle name="Normal 4 2 4 3 6 2 2 2" xfId="16966" xr:uid="{16E0E46F-E8C9-4BF7-9485-AF7E97681F59}"/>
    <cellStyle name="Normal 4 2 4 3 6 2 3" xfId="12748" xr:uid="{633688C2-7A98-4899-B6C0-5186C5858B39}"/>
    <cellStyle name="Normal 4 2 4 3 6 3" xfId="6392" xr:uid="{00000000-0005-0000-0000-0000A0130000}"/>
    <cellStyle name="Normal 4 2 4 3 6 3 2" xfId="14821" xr:uid="{68846A6D-D794-4F1E-BAAF-E1AA945A51E8}"/>
    <cellStyle name="Normal 4 2 4 3 6 4" xfId="10603" xr:uid="{9F289822-47AC-4CF4-AD2D-49683AF49C03}"/>
    <cellStyle name="Normal 4 2 4 3 7" xfId="2520" xr:uid="{00000000-0005-0000-0000-0000A1130000}"/>
    <cellStyle name="Normal 4 2 4 3 7 2" xfId="6805" xr:uid="{00000000-0005-0000-0000-0000A2130000}"/>
    <cellStyle name="Normal 4 2 4 3 7 2 2" xfId="15234" xr:uid="{D557858B-EB37-413F-BF14-200FE61C4CD6}"/>
    <cellStyle name="Normal 4 2 4 3 7 3" xfId="11016" xr:uid="{FFF7D886-80DB-4AE1-AFB4-41255DDBD576}"/>
    <cellStyle name="Normal 4 2 4 3 8" xfId="4740" xr:uid="{00000000-0005-0000-0000-0000A3130000}"/>
    <cellStyle name="Normal 4 2 4 3 8 2" xfId="13169" xr:uid="{1339FEC2-F84B-44E9-BFA9-5D18BBC179CA}"/>
    <cellStyle name="Normal 4 2 4 3 9" xfId="8951" xr:uid="{337AC72E-D7AC-4A52-998F-D066862D2DBE}"/>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2 2" xfId="15729" xr:uid="{D55CB1B0-E8EC-406A-83B0-13D6034AAC5A}"/>
    <cellStyle name="Normal 4 2 4 4 2 2 3" xfId="11511" xr:uid="{62878725-83F3-4581-A105-DC09600CBE86}"/>
    <cellStyle name="Normal 4 2 4 4 2 3" xfId="5155" xr:uid="{00000000-0005-0000-0000-0000A8130000}"/>
    <cellStyle name="Normal 4 2 4 4 2 3 2" xfId="13584" xr:uid="{A9A46461-1D41-4538-B5B7-0C9EE6A7F1BB}"/>
    <cellStyle name="Normal 4 2 4 4 2 4" xfId="9366" xr:uid="{CCB45D72-524A-4F19-9353-321A58198696}"/>
    <cellStyle name="Normal 4 2 4 4 3" xfId="1259" xr:uid="{00000000-0005-0000-0000-0000A9130000}"/>
    <cellStyle name="Normal 4 2 4 4 3 2" xfId="3489" xr:uid="{00000000-0005-0000-0000-0000AA130000}"/>
    <cellStyle name="Normal 4 2 4 4 3 2 2" xfId="7713" xr:uid="{00000000-0005-0000-0000-0000AB130000}"/>
    <cellStyle name="Normal 4 2 4 4 3 2 2 2" xfId="16142" xr:uid="{716322E1-C099-42AE-BB11-74A7CD240F1E}"/>
    <cellStyle name="Normal 4 2 4 4 3 2 3" xfId="11924" xr:uid="{ED43B046-CFC1-423B-B465-343CF8739547}"/>
    <cellStyle name="Normal 4 2 4 4 3 3" xfId="5568" xr:uid="{00000000-0005-0000-0000-0000AC130000}"/>
    <cellStyle name="Normal 4 2 4 4 3 3 2" xfId="13997" xr:uid="{018A8A23-7C7A-43D2-BA8A-D88735EB7BA6}"/>
    <cellStyle name="Normal 4 2 4 4 3 4" xfId="9779" xr:uid="{C22B1583-2380-4F18-A513-EB4D088F3047}"/>
    <cellStyle name="Normal 4 2 4 4 4" xfId="1672" xr:uid="{00000000-0005-0000-0000-0000AD130000}"/>
    <cellStyle name="Normal 4 2 4 4 4 2" xfId="3902" xr:uid="{00000000-0005-0000-0000-0000AE130000}"/>
    <cellStyle name="Normal 4 2 4 4 4 2 2" xfId="8126" xr:uid="{00000000-0005-0000-0000-0000AF130000}"/>
    <cellStyle name="Normal 4 2 4 4 4 2 2 2" xfId="16555" xr:uid="{29C40A26-7263-425D-9478-A3250C3A8EF6}"/>
    <cellStyle name="Normal 4 2 4 4 4 2 3" xfId="12337" xr:uid="{39FCA8EC-12C0-41D9-95B0-EB092252AA36}"/>
    <cellStyle name="Normal 4 2 4 4 4 3" xfId="5981" xr:uid="{00000000-0005-0000-0000-0000B0130000}"/>
    <cellStyle name="Normal 4 2 4 4 4 3 2" xfId="14410" xr:uid="{D57653D0-578D-4838-8B97-3919866B1F93}"/>
    <cellStyle name="Normal 4 2 4 4 4 4" xfId="10192" xr:uid="{7603CEA5-7861-4B0A-A08D-4B215902ADA9}"/>
    <cellStyle name="Normal 4 2 4 4 5" xfId="2086" xr:uid="{00000000-0005-0000-0000-0000B1130000}"/>
    <cellStyle name="Normal 4 2 4 4 5 2" xfId="4315" xr:uid="{00000000-0005-0000-0000-0000B2130000}"/>
    <cellStyle name="Normal 4 2 4 4 5 2 2" xfId="8539" xr:uid="{00000000-0005-0000-0000-0000B3130000}"/>
    <cellStyle name="Normal 4 2 4 4 5 2 2 2" xfId="16968" xr:uid="{E7357754-C80B-44A6-964D-EAE68509CFAD}"/>
    <cellStyle name="Normal 4 2 4 4 5 2 3" xfId="12750" xr:uid="{1515FF94-5504-45BF-B984-3D852C771089}"/>
    <cellStyle name="Normal 4 2 4 4 5 3" xfId="6394" xr:uid="{00000000-0005-0000-0000-0000B4130000}"/>
    <cellStyle name="Normal 4 2 4 4 5 3 2" xfId="14823" xr:uid="{E0C4355C-46E3-44BF-BD1F-3AB462481AFD}"/>
    <cellStyle name="Normal 4 2 4 4 5 4" xfId="10605" xr:uid="{45B15816-0575-4085-B8F6-D9E768BD9843}"/>
    <cellStyle name="Normal 4 2 4 4 6" xfId="2522" xr:uid="{00000000-0005-0000-0000-0000B5130000}"/>
    <cellStyle name="Normal 4 2 4 4 6 2" xfId="6807" xr:uid="{00000000-0005-0000-0000-0000B6130000}"/>
    <cellStyle name="Normal 4 2 4 4 6 2 2" xfId="15236" xr:uid="{3BF7146A-5575-4D81-B98B-BD9E0424068A}"/>
    <cellStyle name="Normal 4 2 4 4 6 3" xfId="11018" xr:uid="{8D66D4CB-42E6-4856-B52B-97C9F1C88B0C}"/>
    <cellStyle name="Normal 4 2 4 4 7" xfId="4742" xr:uid="{00000000-0005-0000-0000-0000B7130000}"/>
    <cellStyle name="Normal 4 2 4 4 7 2" xfId="13171" xr:uid="{9FAB0377-3A8F-410D-A8E6-483733270CC7}"/>
    <cellStyle name="Normal 4 2 4 4 8" xfId="8953" xr:uid="{D70BC065-F7E0-46FF-A9E8-C1F6ACE792B0}"/>
    <cellStyle name="Normal 4 2 4 5" xfId="832" xr:uid="{00000000-0005-0000-0000-0000B8130000}"/>
    <cellStyle name="Normal 4 2 4 5 2" xfId="3069" xr:uid="{00000000-0005-0000-0000-0000B9130000}"/>
    <cellStyle name="Normal 4 2 4 5 2 2" xfId="7293" xr:uid="{00000000-0005-0000-0000-0000BA130000}"/>
    <cellStyle name="Normal 4 2 4 5 2 2 2" xfId="15722" xr:uid="{E0C99AE5-17C0-4FBB-BB58-508148BC9E78}"/>
    <cellStyle name="Normal 4 2 4 5 2 3" xfId="11504" xr:uid="{BF88700F-1F59-4A57-A532-7C4D6417A9C2}"/>
    <cellStyle name="Normal 4 2 4 5 3" xfId="5148" xr:uid="{00000000-0005-0000-0000-0000BB130000}"/>
    <cellStyle name="Normal 4 2 4 5 3 2" xfId="13577" xr:uid="{AF943277-284A-4043-BFDA-3460350D360B}"/>
    <cellStyle name="Normal 4 2 4 5 4" xfId="9359" xr:uid="{37E98578-9630-4782-A4C9-752EE20A81A6}"/>
    <cellStyle name="Normal 4 2 4 6" xfId="1252" xr:uid="{00000000-0005-0000-0000-0000BC130000}"/>
    <cellStyle name="Normal 4 2 4 6 2" xfId="3482" xr:uid="{00000000-0005-0000-0000-0000BD130000}"/>
    <cellStyle name="Normal 4 2 4 6 2 2" xfId="7706" xr:uid="{00000000-0005-0000-0000-0000BE130000}"/>
    <cellStyle name="Normal 4 2 4 6 2 2 2" xfId="16135" xr:uid="{8A445597-F089-4580-B06F-08093C8CAFE7}"/>
    <cellStyle name="Normal 4 2 4 6 2 3" xfId="11917" xr:uid="{C9F21CAF-3CB2-4A6B-9A41-77E48A402D78}"/>
    <cellStyle name="Normal 4 2 4 6 3" xfId="5561" xr:uid="{00000000-0005-0000-0000-0000BF130000}"/>
    <cellStyle name="Normal 4 2 4 6 3 2" xfId="13990" xr:uid="{36F1D5C9-429C-41AA-8611-5C65A956D7C3}"/>
    <cellStyle name="Normal 4 2 4 6 4" xfId="9772" xr:uid="{944EC8FC-64E6-43CC-9818-758725B0D1CB}"/>
    <cellStyle name="Normal 4 2 4 7" xfId="1665" xr:uid="{00000000-0005-0000-0000-0000C0130000}"/>
    <cellStyle name="Normal 4 2 4 7 2" xfId="3895" xr:uid="{00000000-0005-0000-0000-0000C1130000}"/>
    <cellStyle name="Normal 4 2 4 7 2 2" xfId="8119" xr:uid="{00000000-0005-0000-0000-0000C2130000}"/>
    <cellStyle name="Normal 4 2 4 7 2 2 2" xfId="16548" xr:uid="{AB57B62E-7E96-4A42-B81C-F94DC6EB98F6}"/>
    <cellStyle name="Normal 4 2 4 7 2 3" xfId="12330" xr:uid="{6A8143CB-6E05-41F3-877D-C6AF7DBD6D7A}"/>
    <cellStyle name="Normal 4 2 4 7 3" xfId="5974" xr:uid="{00000000-0005-0000-0000-0000C3130000}"/>
    <cellStyle name="Normal 4 2 4 7 3 2" xfId="14403" xr:uid="{C2847961-4AD7-4775-A7F1-58248FCE4877}"/>
    <cellStyle name="Normal 4 2 4 7 4" xfId="10185" xr:uid="{F33504E6-6FA4-440D-8244-A3D4EA0FFE94}"/>
    <cellStyle name="Normal 4 2 4 8" xfId="2079" xr:uid="{00000000-0005-0000-0000-0000C4130000}"/>
    <cellStyle name="Normal 4 2 4 8 2" xfId="4308" xr:uid="{00000000-0005-0000-0000-0000C5130000}"/>
    <cellStyle name="Normal 4 2 4 8 2 2" xfId="8532" xr:uid="{00000000-0005-0000-0000-0000C6130000}"/>
    <cellStyle name="Normal 4 2 4 8 2 2 2" xfId="16961" xr:uid="{F55B2A42-91FB-4CE0-B74D-F3232970B1C1}"/>
    <cellStyle name="Normal 4 2 4 8 2 3" xfId="12743" xr:uid="{84B2A16C-B138-4DC9-B7AB-614BCA9431DF}"/>
    <cellStyle name="Normal 4 2 4 8 3" xfId="6387" xr:uid="{00000000-0005-0000-0000-0000C7130000}"/>
    <cellStyle name="Normal 4 2 4 8 3 2" xfId="14816" xr:uid="{EE759B8A-5996-4BBC-9F90-0CE5D0F02420}"/>
    <cellStyle name="Normal 4 2 4 8 4" xfId="10598" xr:uid="{A4EE4718-F58E-4840-8AD8-F245A97D5122}"/>
    <cellStyle name="Normal 4 2 4 9" xfId="2515" xr:uid="{00000000-0005-0000-0000-0000C8130000}"/>
    <cellStyle name="Normal 4 2 4 9 2" xfId="6800" xr:uid="{00000000-0005-0000-0000-0000C9130000}"/>
    <cellStyle name="Normal 4 2 4 9 2 2" xfId="15229" xr:uid="{272DDFA2-4AD5-400F-AA45-A7D2D55FE999}"/>
    <cellStyle name="Normal 4 2 4 9 3" xfId="11011" xr:uid="{9966F893-B63C-4D1E-A6D5-24F5E60A9A61}"/>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2 2" xfId="15731" xr:uid="{3AB2ED72-AB9F-4D2D-A001-AA717FE80EA0}"/>
    <cellStyle name="Normal 4 2 5 2 2 2 3" xfId="11513" xr:uid="{44DB02BE-3F4D-428D-986A-DA174D709752}"/>
    <cellStyle name="Normal 4 2 5 2 2 3" xfId="5157" xr:uid="{00000000-0005-0000-0000-0000CF130000}"/>
    <cellStyle name="Normal 4 2 5 2 2 3 2" xfId="13586" xr:uid="{DF3E0F06-A23D-43A7-8E74-C6AB663EEDE9}"/>
    <cellStyle name="Normal 4 2 5 2 2 4" xfId="9368" xr:uid="{0952B730-579D-4EE0-832D-C66836B2539D}"/>
    <cellStyle name="Normal 4 2 5 2 3" xfId="1261" xr:uid="{00000000-0005-0000-0000-0000D0130000}"/>
    <cellStyle name="Normal 4 2 5 2 3 2" xfId="3491" xr:uid="{00000000-0005-0000-0000-0000D1130000}"/>
    <cellStyle name="Normal 4 2 5 2 3 2 2" xfId="7715" xr:uid="{00000000-0005-0000-0000-0000D2130000}"/>
    <cellStyle name="Normal 4 2 5 2 3 2 2 2" xfId="16144" xr:uid="{F6B8B113-9FE4-4B6E-A840-E3B74E778C34}"/>
    <cellStyle name="Normal 4 2 5 2 3 2 3" xfId="11926" xr:uid="{732486D3-B85D-4156-8CA7-F669CCCF2851}"/>
    <cellStyle name="Normal 4 2 5 2 3 3" xfId="5570" xr:uid="{00000000-0005-0000-0000-0000D3130000}"/>
    <cellStyle name="Normal 4 2 5 2 3 3 2" xfId="13999" xr:uid="{6E92C2A0-D698-4668-9CC9-C6DE6E4EEE64}"/>
    <cellStyle name="Normal 4 2 5 2 3 4" xfId="9781" xr:uid="{BB4979EE-250C-4FD7-9F4B-8513FA0D34D2}"/>
    <cellStyle name="Normal 4 2 5 2 4" xfId="1674" xr:uid="{00000000-0005-0000-0000-0000D4130000}"/>
    <cellStyle name="Normal 4 2 5 2 4 2" xfId="3904" xr:uid="{00000000-0005-0000-0000-0000D5130000}"/>
    <cellStyle name="Normal 4 2 5 2 4 2 2" xfId="8128" xr:uid="{00000000-0005-0000-0000-0000D6130000}"/>
    <cellStyle name="Normal 4 2 5 2 4 2 2 2" xfId="16557" xr:uid="{E0359E3B-4DC5-4262-A686-22703A32DFB5}"/>
    <cellStyle name="Normal 4 2 5 2 4 2 3" xfId="12339" xr:uid="{27A84DF1-6EEA-4D8B-AEC2-BB4606EC02CA}"/>
    <cellStyle name="Normal 4 2 5 2 4 3" xfId="5983" xr:uid="{00000000-0005-0000-0000-0000D7130000}"/>
    <cellStyle name="Normal 4 2 5 2 4 3 2" xfId="14412" xr:uid="{109FED61-4E6B-4B7E-A854-B7BFB9F28A8D}"/>
    <cellStyle name="Normal 4 2 5 2 4 4" xfId="10194" xr:uid="{D71963C5-39B9-436C-BBFC-6F1D2826935C}"/>
    <cellStyle name="Normal 4 2 5 2 5" xfId="2088" xr:uid="{00000000-0005-0000-0000-0000D8130000}"/>
    <cellStyle name="Normal 4 2 5 2 5 2" xfId="4317" xr:uid="{00000000-0005-0000-0000-0000D9130000}"/>
    <cellStyle name="Normal 4 2 5 2 5 2 2" xfId="8541" xr:uid="{00000000-0005-0000-0000-0000DA130000}"/>
    <cellStyle name="Normal 4 2 5 2 5 2 2 2" xfId="16970" xr:uid="{C932F7FF-B74F-4995-A9D9-794FE533AEC6}"/>
    <cellStyle name="Normal 4 2 5 2 5 2 3" xfId="12752" xr:uid="{6C61B06B-3CF2-4CD5-8F09-7180955CA645}"/>
    <cellStyle name="Normal 4 2 5 2 5 3" xfId="6396" xr:uid="{00000000-0005-0000-0000-0000DB130000}"/>
    <cellStyle name="Normal 4 2 5 2 5 3 2" xfId="14825" xr:uid="{1FCE7A36-F927-4790-8092-3FA9B0C5BC0F}"/>
    <cellStyle name="Normal 4 2 5 2 5 4" xfId="10607" xr:uid="{990831F7-FB31-46B8-9107-7A738AC531A4}"/>
    <cellStyle name="Normal 4 2 5 2 6" xfId="2524" xr:uid="{00000000-0005-0000-0000-0000DC130000}"/>
    <cellStyle name="Normal 4 2 5 2 6 2" xfId="6809" xr:uid="{00000000-0005-0000-0000-0000DD130000}"/>
    <cellStyle name="Normal 4 2 5 2 6 2 2" xfId="15238" xr:uid="{EEA506F9-5562-4AB1-BA2F-CA3BAD2DAB5B}"/>
    <cellStyle name="Normal 4 2 5 2 6 3" xfId="11020" xr:uid="{1933C0B2-2C96-4322-A2B9-A4DD9A3BFC16}"/>
    <cellStyle name="Normal 4 2 5 2 7" xfId="4744" xr:uid="{00000000-0005-0000-0000-0000DE130000}"/>
    <cellStyle name="Normal 4 2 5 2 7 2" xfId="13173" xr:uid="{5E60070E-AACE-48DB-956D-EA6741C10D50}"/>
    <cellStyle name="Normal 4 2 5 2 8" xfId="8955" xr:uid="{BC65C800-5D39-4B53-9DA8-AD36CCC13700}"/>
    <cellStyle name="Normal 4 2 5 3" xfId="840" xr:uid="{00000000-0005-0000-0000-0000DF130000}"/>
    <cellStyle name="Normal 4 2 5 3 2" xfId="3077" xr:uid="{00000000-0005-0000-0000-0000E0130000}"/>
    <cellStyle name="Normal 4 2 5 3 2 2" xfId="7301" xr:uid="{00000000-0005-0000-0000-0000E1130000}"/>
    <cellStyle name="Normal 4 2 5 3 2 2 2" xfId="15730" xr:uid="{7F304566-5C26-4D09-B7E2-DFCB3F90935F}"/>
    <cellStyle name="Normal 4 2 5 3 2 3" xfId="11512" xr:uid="{C660C31B-9797-4B2E-8C89-B622FC601715}"/>
    <cellStyle name="Normal 4 2 5 3 3" xfId="5156" xr:uid="{00000000-0005-0000-0000-0000E2130000}"/>
    <cellStyle name="Normal 4 2 5 3 3 2" xfId="13585" xr:uid="{CD66CCF0-6F90-42AA-918A-CD9B3DFBEE13}"/>
    <cellStyle name="Normal 4 2 5 3 4" xfId="9367" xr:uid="{0FB10841-D519-4685-8046-2B61118CD296}"/>
    <cellStyle name="Normal 4 2 5 4" xfId="1260" xr:uid="{00000000-0005-0000-0000-0000E3130000}"/>
    <cellStyle name="Normal 4 2 5 4 2" xfId="3490" xr:uid="{00000000-0005-0000-0000-0000E4130000}"/>
    <cellStyle name="Normal 4 2 5 4 2 2" xfId="7714" xr:uid="{00000000-0005-0000-0000-0000E5130000}"/>
    <cellStyle name="Normal 4 2 5 4 2 2 2" xfId="16143" xr:uid="{8BE9A39F-61D3-44CA-B8A1-73855BBA17D8}"/>
    <cellStyle name="Normal 4 2 5 4 2 3" xfId="11925" xr:uid="{BA897A23-3FCD-425D-8667-A32E1AAB3C63}"/>
    <cellStyle name="Normal 4 2 5 4 3" xfId="5569" xr:uid="{00000000-0005-0000-0000-0000E6130000}"/>
    <cellStyle name="Normal 4 2 5 4 3 2" xfId="13998" xr:uid="{158E19DF-BCF5-46AC-9C3D-7F5EF3497AC0}"/>
    <cellStyle name="Normal 4 2 5 4 4" xfId="9780" xr:uid="{AEAC9C83-E260-4DF5-9599-822CA5595159}"/>
    <cellStyle name="Normal 4 2 5 5" xfId="1673" xr:uid="{00000000-0005-0000-0000-0000E7130000}"/>
    <cellStyle name="Normal 4 2 5 5 2" xfId="3903" xr:uid="{00000000-0005-0000-0000-0000E8130000}"/>
    <cellStyle name="Normal 4 2 5 5 2 2" xfId="8127" xr:uid="{00000000-0005-0000-0000-0000E9130000}"/>
    <cellStyle name="Normal 4 2 5 5 2 2 2" xfId="16556" xr:uid="{E0CB13BD-DEE7-4E45-B487-8305E634B21D}"/>
    <cellStyle name="Normal 4 2 5 5 2 3" xfId="12338" xr:uid="{AFB4FBA2-76AF-4EA4-AD4D-AAA99B35F018}"/>
    <cellStyle name="Normal 4 2 5 5 3" xfId="5982" xr:uid="{00000000-0005-0000-0000-0000EA130000}"/>
    <cellStyle name="Normal 4 2 5 5 3 2" xfId="14411" xr:uid="{0F5CE5C5-0B1D-4E0D-884C-0B188575E218}"/>
    <cellStyle name="Normal 4 2 5 5 4" xfId="10193" xr:uid="{B53F2BFA-7EAF-43E2-AC36-E32C4884A7CA}"/>
    <cellStyle name="Normal 4 2 5 6" xfId="2087" xr:uid="{00000000-0005-0000-0000-0000EB130000}"/>
    <cellStyle name="Normal 4 2 5 6 2" xfId="4316" xr:uid="{00000000-0005-0000-0000-0000EC130000}"/>
    <cellStyle name="Normal 4 2 5 6 2 2" xfId="8540" xr:uid="{00000000-0005-0000-0000-0000ED130000}"/>
    <cellStyle name="Normal 4 2 5 6 2 2 2" xfId="16969" xr:uid="{07519367-0233-4105-A134-B455D9D1281B}"/>
    <cellStyle name="Normal 4 2 5 6 2 3" xfId="12751" xr:uid="{9E182465-DD78-4A53-9280-DA1EE831E201}"/>
    <cellStyle name="Normal 4 2 5 6 3" xfId="6395" xr:uid="{00000000-0005-0000-0000-0000EE130000}"/>
    <cellStyle name="Normal 4 2 5 6 3 2" xfId="14824" xr:uid="{187AE064-B5B3-4F6E-9A25-CB693777DC83}"/>
    <cellStyle name="Normal 4 2 5 6 4" xfId="10606" xr:uid="{767F72C9-421A-49F9-A614-87C1063ADC1D}"/>
    <cellStyle name="Normal 4 2 5 7" xfId="2523" xr:uid="{00000000-0005-0000-0000-0000EF130000}"/>
    <cellStyle name="Normal 4 2 5 7 2" xfId="6808" xr:uid="{00000000-0005-0000-0000-0000F0130000}"/>
    <cellStyle name="Normal 4 2 5 7 2 2" xfId="15237" xr:uid="{7CB33FA6-9872-43A3-9754-ADCA7E1E5164}"/>
    <cellStyle name="Normal 4 2 5 7 3" xfId="11019" xr:uid="{0C7294A9-6069-402A-91CD-8FC814E4CFDC}"/>
    <cellStyle name="Normal 4 2 5 8" xfId="4743" xr:uid="{00000000-0005-0000-0000-0000F1130000}"/>
    <cellStyle name="Normal 4 2 5 8 2" xfId="13172" xr:uid="{531E0818-5730-4A56-A294-B920C4BAC8DA}"/>
    <cellStyle name="Normal 4 2 5 9" xfId="8954" xr:uid="{25DF40C0-0FBB-417A-A0F4-2DFEA2877557}"/>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2 2" xfId="15732" xr:uid="{B672B07A-6B1D-4281-9808-5F952B177602}"/>
    <cellStyle name="Normal 4 2 6 2 2 3" xfId="11514" xr:uid="{3D01AD23-B799-4F78-8032-0708D972428C}"/>
    <cellStyle name="Normal 4 2 6 2 3" xfId="5158" xr:uid="{00000000-0005-0000-0000-0000F6130000}"/>
    <cellStyle name="Normal 4 2 6 2 3 2" xfId="13587" xr:uid="{EE6FED7A-68D8-4ECB-9D8D-F82972556D32}"/>
    <cellStyle name="Normal 4 2 6 2 4" xfId="9369" xr:uid="{AE56A311-73D4-4065-82E2-127F0D01E44C}"/>
    <cellStyle name="Normal 4 2 6 3" xfId="1262" xr:uid="{00000000-0005-0000-0000-0000F7130000}"/>
    <cellStyle name="Normal 4 2 6 3 2" xfId="3492" xr:uid="{00000000-0005-0000-0000-0000F8130000}"/>
    <cellStyle name="Normal 4 2 6 3 2 2" xfId="7716" xr:uid="{00000000-0005-0000-0000-0000F9130000}"/>
    <cellStyle name="Normal 4 2 6 3 2 2 2" xfId="16145" xr:uid="{3E44C151-3F59-4E8C-BCDC-A7FEDA2506D1}"/>
    <cellStyle name="Normal 4 2 6 3 2 3" xfId="11927" xr:uid="{8ECB3A1F-A7C5-43AB-9259-E8F3579DAA20}"/>
    <cellStyle name="Normal 4 2 6 3 3" xfId="5571" xr:uid="{00000000-0005-0000-0000-0000FA130000}"/>
    <cellStyle name="Normal 4 2 6 3 3 2" xfId="14000" xr:uid="{1AA131A2-AA17-4EF9-97FC-93A620A14220}"/>
    <cellStyle name="Normal 4 2 6 3 4" xfId="9782" xr:uid="{F8527A8A-7ABF-4D53-9EFE-0A6B9C9B1136}"/>
    <cellStyle name="Normal 4 2 6 4" xfId="1675" xr:uid="{00000000-0005-0000-0000-0000FB130000}"/>
    <cellStyle name="Normal 4 2 6 4 2" xfId="3905" xr:uid="{00000000-0005-0000-0000-0000FC130000}"/>
    <cellStyle name="Normal 4 2 6 4 2 2" xfId="8129" xr:uid="{00000000-0005-0000-0000-0000FD130000}"/>
    <cellStyle name="Normal 4 2 6 4 2 2 2" xfId="16558" xr:uid="{E8CCAB24-2C38-4CA5-8506-9A3370550DF1}"/>
    <cellStyle name="Normal 4 2 6 4 2 3" xfId="12340" xr:uid="{8B587354-84FD-4F28-917D-D0FBEB6D75A2}"/>
    <cellStyle name="Normal 4 2 6 4 3" xfId="5984" xr:uid="{00000000-0005-0000-0000-0000FE130000}"/>
    <cellStyle name="Normal 4 2 6 4 3 2" xfId="14413" xr:uid="{50BFDF59-E1BE-4C36-94B0-B3040EB3AF01}"/>
    <cellStyle name="Normal 4 2 6 4 4" xfId="10195" xr:uid="{D9320FB5-0436-4A5A-983A-6705302D4BF8}"/>
    <cellStyle name="Normal 4 2 6 5" xfId="2089" xr:uid="{00000000-0005-0000-0000-0000FF130000}"/>
    <cellStyle name="Normal 4 2 6 5 2" xfId="4318" xr:uid="{00000000-0005-0000-0000-000000140000}"/>
    <cellStyle name="Normal 4 2 6 5 2 2" xfId="8542" xr:uid="{00000000-0005-0000-0000-000001140000}"/>
    <cellStyle name="Normal 4 2 6 5 2 2 2" xfId="16971" xr:uid="{77CCF783-81BC-4EAB-9600-491ADF7D1E34}"/>
    <cellStyle name="Normal 4 2 6 5 2 3" xfId="12753" xr:uid="{23F695C4-92A3-46C4-A4B5-40EEF13EE20A}"/>
    <cellStyle name="Normal 4 2 6 5 3" xfId="6397" xr:uid="{00000000-0005-0000-0000-000002140000}"/>
    <cellStyle name="Normal 4 2 6 5 3 2" xfId="14826" xr:uid="{3E3A4B35-E581-45A7-B575-630F971EE9EC}"/>
    <cellStyle name="Normal 4 2 6 5 4" xfId="10608" xr:uid="{24795E4B-FFF8-4E10-907C-872C17858733}"/>
    <cellStyle name="Normal 4 2 6 6" xfId="2525" xr:uid="{00000000-0005-0000-0000-000003140000}"/>
    <cellStyle name="Normal 4 2 6 6 2" xfId="6810" xr:uid="{00000000-0005-0000-0000-000004140000}"/>
    <cellStyle name="Normal 4 2 6 6 2 2" xfId="15239" xr:uid="{53C6E07A-C07B-49D4-B5CF-CF032B97E254}"/>
    <cellStyle name="Normal 4 2 6 6 3" xfId="11021" xr:uid="{049182B3-FA10-4A07-A049-BE554381ED35}"/>
    <cellStyle name="Normal 4 2 6 7" xfId="4745" xr:uid="{00000000-0005-0000-0000-000005140000}"/>
    <cellStyle name="Normal 4 2 6 7 2" xfId="13174" xr:uid="{0644D27C-55FF-4657-954B-BBD59575C3E8}"/>
    <cellStyle name="Normal 4 2 6 8" xfId="8956" xr:uid="{9A544354-6B12-4783-9E89-3D1D9B0C9F80}"/>
    <cellStyle name="Normal 4 3" xfId="366" xr:uid="{00000000-0005-0000-0000-000006140000}"/>
    <cellStyle name="Normal 4 3 10" xfId="8957" xr:uid="{D1327E50-205F-48C6-BC39-90CB2661F6EC}"/>
    <cellStyle name="Normal 4 3 2" xfId="367" xr:uid="{00000000-0005-0000-0000-000007140000}"/>
    <cellStyle name="Normal 4 3 2 2" xfId="368" xr:uid="{00000000-0005-0000-0000-000008140000}"/>
    <cellStyle name="Normal 4 3 2 2 2" xfId="369" xr:uid="{00000000-0005-0000-0000-000009140000}"/>
    <cellStyle name="Normal 4 3 2 2 2 10" xfId="8958" xr:uid="{2D08B4C9-4289-44C1-B9EF-1CF93004A211}"/>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2 2" xfId="15736" xr:uid="{B254EE02-5703-4A0D-B574-67431668A58E}"/>
    <cellStyle name="Normal 4 3 2 2 2 2 2 2 2 3" xfId="11518" xr:uid="{AA431779-FD56-4E9D-991D-ABB233404A88}"/>
    <cellStyle name="Normal 4 3 2 2 2 2 2 2 3" xfId="5162" xr:uid="{00000000-0005-0000-0000-00000F140000}"/>
    <cellStyle name="Normal 4 3 2 2 2 2 2 2 3 2" xfId="13591" xr:uid="{C4C7E16C-6163-4EAA-9F98-A01758215810}"/>
    <cellStyle name="Normal 4 3 2 2 2 2 2 2 4" xfId="9373" xr:uid="{CCC6832C-798F-4EF1-9FBC-05B906FB20BE}"/>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2 2" xfId="16149" xr:uid="{91FDD9C5-6FDD-43E6-B350-99A2F98E6ABB}"/>
    <cellStyle name="Normal 4 3 2 2 2 2 2 3 2 3" xfId="11931" xr:uid="{7707B4F5-6BD7-452C-8CC1-ADE1B328BE66}"/>
    <cellStyle name="Normal 4 3 2 2 2 2 2 3 3" xfId="5575" xr:uid="{00000000-0005-0000-0000-000013140000}"/>
    <cellStyle name="Normal 4 3 2 2 2 2 2 3 3 2" xfId="14004" xr:uid="{982B7153-CDCF-4094-92E2-54D580BD3A39}"/>
    <cellStyle name="Normal 4 3 2 2 2 2 2 3 4" xfId="9786" xr:uid="{FC0183CF-3AEE-4FC9-8E70-112ACC781EEA}"/>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2 2" xfId="16562" xr:uid="{13468AFE-8DB7-438C-81E2-0DCF0A9B987F}"/>
    <cellStyle name="Normal 4 3 2 2 2 2 2 4 2 3" xfId="12344" xr:uid="{D7871FB7-860B-42A0-9043-408730A929E9}"/>
    <cellStyle name="Normal 4 3 2 2 2 2 2 4 3" xfId="5988" xr:uid="{00000000-0005-0000-0000-000017140000}"/>
    <cellStyle name="Normal 4 3 2 2 2 2 2 4 3 2" xfId="14417" xr:uid="{4DA1A765-4742-484E-BC14-D3107D0F2327}"/>
    <cellStyle name="Normal 4 3 2 2 2 2 2 4 4" xfId="10199" xr:uid="{9939803A-1515-425B-96A9-0D470EAD48F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2 2" xfId="16975" xr:uid="{351C3576-232E-4EB0-8130-5DDA583A07D8}"/>
    <cellStyle name="Normal 4 3 2 2 2 2 2 5 2 3" xfId="12757" xr:uid="{0F622F0F-D364-4BAC-AF09-1BB082E02CBE}"/>
    <cellStyle name="Normal 4 3 2 2 2 2 2 5 3" xfId="6401" xr:uid="{00000000-0005-0000-0000-00001B140000}"/>
    <cellStyle name="Normal 4 3 2 2 2 2 2 5 3 2" xfId="14830" xr:uid="{02BB17E5-C604-46D8-AB02-29488DF36248}"/>
    <cellStyle name="Normal 4 3 2 2 2 2 2 5 4" xfId="10612" xr:uid="{A021B829-9DA2-4D60-9F6D-D251645FF09B}"/>
    <cellStyle name="Normal 4 3 2 2 2 2 2 6" xfId="2529" xr:uid="{00000000-0005-0000-0000-00001C140000}"/>
    <cellStyle name="Normal 4 3 2 2 2 2 2 6 2" xfId="6814" xr:uid="{00000000-0005-0000-0000-00001D140000}"/>
    <cellStyle name="Normal 4 3 2 2 2 2 2 6 2 2" xfId="15243" xr:uid="{6EA598BE-D853-47F8-BB13-CC4B3DE6EF08}"/>
    <cellStyle name="Normal 4 3 2 2 2 2 2 6 3" xfId="11025" xr:uid="{6BF5ADA6-3C9C-4EA6-AE63-0A076999A25D}"/>
    <cellStyle name="Normal 4 3 2 2 2 2 2 7" xfId="4749" xr:uid="{00000000-0005-0000-0000-00001E140000}"/>
    <cellStyle name="Normal 4 3 2 2 2 2 2 7 2" xfId="13178" xr:uid="{7705F2A5-5B72-4440-970D-6F1A0869926A}"/>
    <cellStyle name="Normal 4 3 2 2 2 2 2 8" xfId="8960" xr:uid="{5E737B57-0378-4BE3-8EE7-707812F817B5}"/>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2 2" xfId="15735" xr:uid="{92A43FAC-DD99-498B-8851-D83AA833F883}"/>
    <cellStyle name="Normal 4 3 2 2 2 2 3 2 3" xfId="11517" xr:uid="{A8E163AD-A562-44DA-B1C1-74DCBF11537E}"/>
    <cellStyle name="Normal 4 3 2 2 2 2 3 3" xfId="5161" xr:uid="{00000000-0005-0000-0000-000022140000}"/>
    <cellStyle name="Normal 4 3 2 2 2 2 3 3 2" xfId="13590" xr:uid="{32AF91D0-6603-4AE8-8A8A-0F66ACEAEFCC}"/>
    <cellStyle name="Normal 4 3 2 2 2 2 3 4" xfId="9372" xr:uid="{062AE418-EFC3-430F-9DFE-3863D2524D79}"/>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2 2" xfId="16148" xr:uid="{FADFABBB-D063-4C19-9378-6FA799C0FD7A}"/>
    <cellStyle name="Normal 4 3 2 2 2 2 4 2 3" xfId="11930" xr:uid="{129C213E-4CA4-4987-A0A5-AADA76FEDE47}"/>
    <cellStyle name="Normal 4 3 2 2 2 2 4 3" xfId="5574" xr:uid="{00000000-0005-0000-0000-000026140000}"/>
    <cellStyle name="Normal 4 3 2 2 2 2 4 3 2" xfId="14003" xr:uid="{5BFEC124-13B7-421C-8DEE-8B28A169FEEC}"/>
    <cellStyle name="Normal 4 3 2 2 2 2 4 4" xfId="9785" xr:uid="{C5F68298-4764-40FE-A3F2-7491024D07DC}"/>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2 2" xfId="16561" xr:uid="{92FCE25F-256F-4E64-83DD-4ACE055B6499}"/>
    <cellStyle name="Normal 4 3 2 2 2 2 5 2 3" xfId="12343" xr:uid="{28B7FB7F-521C-4509-8A7D-2894A89DA3C6}"/>
    <cellStyle name="Normal 4 3 2 2 2 2 5 3" xfId="5987" xr:uid="{00000000-0005-0000-0000-00002A140000}"/>
    <cellStyle name="Normal 4 3 2 2 2 2 5 3 2" xfId="14416" xr:uid="{137F7467-C94F-464D-A282-6DE99DA5FD1C}"/>
    <cellStyle name="Normal 4 3 2 2 2 2 5 4" xfId="10198" xr:uid="{EAACD37E-0C49-47AA-8BC7-8AAF30847284}"/>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2 2" xfId="16974" xr:uid="{F6833D5E-9C1D-44B3-ABA0-AD44C847A805}"/>
    <cellStyle name="Normal 4 3 2 2 2 2 6 2 3" xfId="12756" xr:uid="{DDB0F54B-18EA-49CA-97E7-114EAF32DEA3}"/>
    <cellStyle name="Normal 4 3 2 2 2 2 6 3" xfId="6400" xr:uid="{00000000-0005-0000-0000-00002E140000}"/>
    <cellStyle name="Normal 4 3 2 2 2 2 6 3 2" xfId="14829" xr:uid="{F78FB7DE-5CCF-421F-8491-913639E7C32A}"/>
    <cellStyle name="Normal 4 3 2 2 2 2 6 4" xfId="10611" xr:uid="{5B6873BE-2CC2-4512-B1FC-91E607BBD91E}"/>
    <cellStyle name="Normal 4 3 2 2 2 2 7" xfId="2528" xr:uid="{00000000-0005-0000-0000-00002F140000}"/>
    <cellStyle name="Normal 4 3 2 2 2 2 7 2" xfId="6813" xr:uid="{00000000-0005-0000-0000-000030140000}"/>
    <cellStyle name="Normal 4 3 2 2 2 2 7 2 2" xfId="15242" xr:uid="{FDE24605-B879-4D64-B8F8-62EBB1CCD08E}"/>
    <cellStyle name="Normal 4 3 2 2 2 2 7 3" xfId="11024" xr:uid="{906F8184-884A-4EDE-BD97-919E9BA9FCB0}"/>
    <cellStyle name="Normal 4 3 2 2 2 2 8" xfId="4748" xr:uid="{00000000-0005-0000-0000-000031140000}"/>
    <cellStyle name="Normal 4 3 2 2 2 2 8 2" xfId="13177" xr:uid="{450A0AA1-9CB6-4568-8845-AF4266749A05}"/>
    <cellStyle name="Normal 4 3 2 2 2 2 9" xfId="8959" xr:uid="{EA6C7327-6FAE-45F8-982F-A259746CD6D7}"/>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2 2" xfId="15737" xr:uid="{7D0A86FF-0CA8-4946-B4AD-4494041E4CFB}"/>
    <cellStyle name="Normal 4 3 2 2 2 3 2 2 3" xfId="11519" xr:uid="{365E723D-85A9-41A2-8C67-ED6C808138F9}"/>
    <cellStyle name="Normal 4 3 2 2 2 3 2 3" xfId="5163" xr:uid="{00000000-0005-0000-0000-000036140000}"/>
    <cellStyle name="Normal 4 3 2 2 2 3 2 3 2" xfId="13592" xr:uid="{4546F7B3-2A20-4271-8944-419E692F300D}"/>
    <cellStyle name="Normal 4 3 2 2 2 3 2 4" xfId="9374" xr:uid="{CFB0F11F-2F9A-4A76-9DF8-C5C5C6794E7E}"/>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2 2" xfId="16150" xr:uid="{31FD145E-E3C7-4EB6-8ED6-6E95F98B46A6}"/>
    <cellStyle name="Normal 4 3 2 2 2 3 3 2 3" xfId="11932" xr:uid="{A83A3CAB-4EDD-4AC3-8B8E-1AFA08FABB39}"/>
    <cellStyle name="Normal 4 3 2 2 2 3 3 3" xfId="5576" xr:uid="{00000000-0005-0000-0000-00003A140000}"/>
    <cellStyle name="Normal 4 3 2 2 2 3 3 3 2" xfId="14005" xr:uid="{C020F203-A731-4E8E-9A5B-B2D3B71185E4}"/>
    <cellStyle name="Normal 4 3 2 2 2 3 3 4" xfId="9787" xr:uid="{58118211-A0B1-49C2-A20E-74406B252E2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2 2" xfId="16563" xr:uid="{B0EB238E-6252-41E4-A724-651AB3EEAD74}"/>
    <cellStyle name="Normal 4 3 2 2 2 3 4 2 3" xfId="12345" xr:uid="{802B3FEF-DC9B-4FF6-959C-62D4E2B497B7}"/>
    <cellStyle name="Normal 4 3 2 2 2 3 4 3" xfId="5989" xr:uid="{00000000-0005-0000-0000-00003E140000}"/>
    <cellStyle name="Normal 4 3 2 2 2 3 4 3 2" xfId="14418" xr:uid="{255997A5-C38D-45BC-978D-DEAA9014FC0B}"/>
    <cellStyle name="Normal 4 3 2 2 2 3 4 4" xfId="10200" xr:uid="{2D37021F-6527-4071-9B38-5C4292082424}"/>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2 2" xfId="16976" xr:uid="{F1BA6F7C-6639-4569-84FB-4B23D87C7B1F}"/>
    <cellStyle name="Normal 4 3 2 2 2 3 5 2 3" xfId="12758" xr:uid="{D6B000D0-CDBB-4EB1-A8F0-A3F1001CD3A5}"/>
    <cellStyle name="Normal 4 3 2 2 2 3 5 3" xfId="6402" xr:uid="{00000000-0005-0000-0000-000042140000}"/>
    <cellStyle name="Normal 4 3 2 2 2 3 5 3 2" xfId="14831" xr:uid="{8B621F49-6CF2-420B-94FA-CEAFADBF4B3A}"/>
    <cellStyle name="Normal 4 3 2 2 2 3 5 4" xfId="10613" xr:uid="{32370FF6-78AF-4185-AFB6-F2220AFE097A}"/>
    <cellStyle name="Normal 4 3 2 2 2 3 6" xfId="2530" xr:uid="{00000000-0005-0000-0000-000043140000}"/>
    <cellStyle name="Normal 4 3 2 2 2 3 6 2" xfId="6815" xr:uid="{00000000-0005-0000-0000-000044140000}"/>
    <cellStyle name="Normal 4 3 2 2 2 3 6 2 2" xfId="15244" xr:uid="{D74E19AA-CDC5-4912-9519-B254F72A7919}"/>
    <cellStyle name="Normal 4 3 2 2 2 3 6 3" xfId="11026" xr:uid="{CDBDE1DB-75D9-4409-AF25-A41AD3CBCBF8}"/>
    <cellStyle name="Normal 4 3 2 2 2 3 7" xfId="4750" xr:uid="{00000000-0005-0000-0000-000045140000}"/>
    <cellStyle name="Normal 4 3 2 2 2 3 7 2" xfId="13179" xr:uid="{2DDDC44C-3B52-405C-85BE-186D80DEC32C}"/>
    <cellStyle name="Normal 4 3 2 2 2 3 8" xfId="8961" xr:uid="{FAC962A2-414E-40B8-BA6D-45B7D3BA0AD6}"/>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2 2" xfId="15734" xr:uid="{AEEF8822-40A5-4CFE-BCC9-5A2137EF4067}"/>
    <cellStyle name="Normal 4 3 2 2 2 4 2 3" xfId="11516" xr:uid="{BB017FFD-6134-4515-9748-35A5D4EEF10E}"/>
    <cellStyle name="Normal 4 3 2 2 2 4 3" xfId="5160" xr:uid="{00000000-0005-0000-0000-000049140000}"/>
    <cellStyle name="Normal 4 3 2 2 2 4 3 2" xfId="13589" xr:uid="{865FFA71-40E8-4197-9776-4B7640B2B381}"/>
    <cellStyle name="Normal 4 3 2 2 2 4 4" xfId="9371" xr:uid="{B9029421-3B1D-43FC-A36B-818E9C72085E}"/>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2 2" xfId="16147" xr:uid="{CF454BAA-3808-4D9C-A352-FBBEC49A3F30}"/>
    <cellStyle name="Normal 4 3 2 2 2 5 2 3" xfId="11929" xr:uid="{473D4F2C-2D6F-4FD4-94FE-800F62984559}"/>
    <cellStyle name="Normal 4 3 2 2 2 5 3" xfId="5573" xr:uid="{00000000-0005-0000-0000-00004D140000}"/>
    <cellStyle name="Normal 4 3 2 2 2 5 3 2" xfId="14002" xr:uid="{9A562CE7-1B08-4178-B9D0-9C1A787ED8BF}"/>
    <cellStyle name="Normal 4 3 2 2 2 5 4" xfId="9784" xr:uid="{FC16D899-E5AC-4E3A-A03C-808F77D58272}"/>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2 2" xfId="16560" xr:uid="{1AE39EF9-38FA-49CF-B715-2623F19692EC}"/>
    <cellStyle name="Normal 4 3 2 2 2 6 2 3" xfId="12342" xr:uid="{EBDA7140-F067-4AD2-BD34-F970CD5DA258}"/>
    <cellStyle name="Normal 4 3 2 2 2 6 3" xfId="5986" xr:uid="{00000000-0005-0000-0000-000051140000}"/>
    <cellStyle name="Normal 4 3 2 2 2 6 3 2" xfId="14415" xr:uid="{1EBBE709-8F2B-4FAE-AF79-CAECB0B8323A}"/>
    <cellStyle name="Normal 4 3 2 2 2 6 4" xfId="10197" xr:uid="{8786EC1E-FA74-4744-9082-800A6A49F18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2 2" xfId="16973" xr:uid="{B256827C-204B-48DF-AC3A-2184E9A7F8C9}"/>
    <cellStyle name="Normal 4 3 2 2 2 7 2 3" xfId="12755" xr:uid="{DED3098D-E097-4CD2-95FE-0D0D57BB185F}"/>
    <cellStyle name="Normal 4 3 2 2 2 7 3" xfId="6399" xr:uid="{00000000-0005-0000-0000-000055140000}"/>
    <cellStyle name="Normal 4 3 2 2 2 7 3 2" xfId="14828" xr:uid="{B81A942A-9ACF-44D9-BE51-C79E4E2D681C}"/>
    <cellStyle name="Normal 4 3 2 2 2 7 4" xfId="10610" xr:uid="{A246ACA6-F1C0-495A-BE43-30E12570B99D}"/>
    <cellStyle name="Normal 4 3 2 2 2 8" xfId="2527" xr:uid="{00000000-0005-0000-0000-000056140000}"/>
    <cellStyle name="Normal 4 3 2 2 2 8 2" xfId="6812" xr:uid="{00000000-0005-0000-0000-000057140000}"/>
    <cellStyle name="Normal 4 3 2 2 2 8 2 2" xfId="15241" xr:uid="{90CA1435-968F-41D5-9428-45DDBD50CD56}"/>
    <cellStyle name="Normal 4 3 2 2 2 8 3" xfId="11023" xr:uid="{D28469C3-BAB0-46D5-854D-CE5195BAECD9}"/>
    <cellStyle name="Normal 4 3 2 2 2 9" xfId="4747" xr:uid="{00000000-0005-0000-0000-000058140000}"/>
    <cellStyle name="Normal 4 3 2 2 2 9 2" xfId="13176" xr:uid="{C7D38335-EBB3-454A-A0CF-EA1576835686}"/>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8962" xr:uid="{6E40114C-97AD-4523-846C-2F477A2AF32B}"/>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2 2" xfId="15740" xr:uid="{CEA9625C-DE05-4523-847D-034FF36B0731}"/>
    <cellStyle name="Normal 4 3 3 2 2 2 2 3" xfId="11522" xr:uid="{4D48ABA9-B6F8-403E-ACE3-40491C4DDC71}"/>
    <cellStyle name="Normal 4 3 3 2 2 2 3" xfId="5166" xr:uid="{00000000-0005-0000-0000-000062140000}"/>
    <cellStyle name="Normal 4 3 3 2 2 2 3 2" xfId="13595" xr:uid="{53ADF5B5-07EB-496E-862B-E7C64714C1C2}"/>
    <cellStyle name="Normal 4 3 3 2 2 2 4" xfId="9377" xr:uid="{015CCC3B-D7A5-46CF-AAC3-280E257C3916}"/>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2 2" xfId="16153" xr:uid="{33FB26B3-C60B-4AE4-94CF-8D0E3992F1EE}"/>
    <cellStyle name="Normal 4 3 3 2 2 3 2 3" xfId="11935" xr:uid="{62526590-6597-484A-AB3D-848951B9FF9B}"/>
    <cellStyle name="Normal 4 3 3 2 2 3 3" xfId="5579" xr:uid="{00000000-0005-0000-0000-000066140000}"/>
    <cellStyle name="Normal 4 3 3 2 2 3 3 2" xfId="14008" xr:uid="{97FEED1D-F6A9-4DE7-BC25-C3E02D8CFB7B}"/>
    <cellStyle name="Normal 4 3 3 2 2 3 4" xfId="9790" xr:uid="{305DC0D2-B260-411C-ADB1-A9172404C403}"/>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2 2" xfId="16566" xr:uid="{11B42250-83B7-422A-9B68-7A3FA9D29A1A}"/>
    <cellStyle name="Normal 4 3 3 2 2 4 2 3" xfId="12348" xr:uid="{4944263F-8AA2-42BE-9D70-DC5DE831CFEF}"/>
    <cellStyle name="Normal 4 3 3 2 2 4 3" xfId="5992" xr:uid="{00000000-0005-0000-0000-00006A140000}"/>
    <cellStyle name="Normal 4 3 3 2 2 4 3 2" xfId="14421" xr:uid="{27AD7F8B-3953-45CA-A616-C3031102192A}"/>
    <cellStyle name="Normal 4 3 3 2 2 4 4" xfId="10203" xr:uid="{9C5271F9-C77E-4EF2-9CC8-5EC569454A08}"/>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2 2" xfId="16979" xr:uid="{2C07EABD-CECE-42B9-95C5-05344BE2B283}"/>
    <cellStyle name="Normal 4 3 3 2 2 5 2 3" xfId="12761" xr:uid="{EBF4F781-325E-4E57-A134-7A0007E7E83D}"/>
    <cellStyle name="Normal 4 3 3 2 2 5 3" xfId="6405" xr:uid="{00000000-0005-0000-0000-00006E140000}"/>
    <cellStyle name="Normal 4 3 3 2 2 5 3 2" xfId="14834" xr:uid="{83DE0DAE-1E84-45DF-B83E-06922D43CE84}"/>
    <cellStyle name="Normal 4 3 3 2 2 5 4" xfId="10616" xr:uid="{26093712-8270-4871-AE36-D582CA19269B}"/>
    <cellStyle name="Normal 4 3 3 2 2 6" xfId="2533" xr:uid="{00000000-0005-0000-0000-00006F140000}"/>
    <cellStyle name="Normal 4 3 3 2 2 6 2" xfId="6818" xr:uid="{00000000-0005-0000-0000-000070140000}"/>
    <cellStyle name="Normal 4 3 3 2 2 6 2 2" xfId="15247" xr:uid="{80ADC403-B8F6-4D1E-BA47-AF474AF72294}"/>
    <cellStyle name="Normal 4 3 3 2 2 6 3" xfId="11029" xr:uid="{9FB2EE40-8FA4-4FC4-80DA-318DF3E30726}"/>
    <cellStyle name="Normal 4 3 3 2 2 7" xfId="4753" xr:uid="{00000000-0005-0000-0000-000071140000}"/>
    <cellStyle name="Normal 4 3 3 2 2 7 2" xfId="13182" xr:uid="{4CCD7E5A-C71B-4220-BC7C-2CDC73074408}"/>
    <cellStyle name="Normal 4 3 3 2 2 8" xfId="8964" xr:uid="{C84BD879-F515-4B58-BE31-62DF56E46461}"/>
    <cellStyle name="Normal 4 3 3 2 3" xfId="851" xr:uid="{00000000-0005-0000-0000-000072140000}"/>
    <cellStyle name="Normal 4 3 3 2 3 2" xfId="3086" xr:uid="{00000000-0005-0000-0000-000073140000}"/>
    <cellStyle name="Normal 4 3 3 2 3 2 2" xfId="7310" xr:uid="{00000000-0005-0000-0000-000074140000}"/>
    <cellStyle name="Normal 4 3 3 2 3 2 2 2" xfId="15739" xr:uid="{7BEF6CAF-FDF6-45BE-80B1-0B7F07B5B298}"/>
    <cellStyle name="Normal 4 3 3 2 3 2 3" xfId="11521" xr:uid="{AACCD260-DD2F-4F14-9213-4801B2D9BC9B}"/>
    <cellStyle name="Normal 4 3 3 2 3 3" xfId="5165" xr:uid="{00000000-0005-0000-0000-000075140000}"/>
    <cellStyle name="Normal 4 3 3 2 3 3 2" xfId="13594" xr:uid="{799893C6-4241-4AF4-B51D-D4319B9E4EC0}"/>
    <cellStyle name="Normal 4 3 3 2 3 4" xfId="9376" xr:uid="{AAC3766D-CB85-428C-9976-C3978F09853F}"/>
    <cellStyle name="Normal 4 3 3 2 4" xfId="1269" xr:uid="{00000000-0005-0000-0000-000076140000}"/>
    <cellStyle name="Normal 4 3 3 2 4 2" xfId="3499" xr:uid="{00000000-0005-0000-0000-000077140000}"/>
    <cellStyle name="Normal 4 3 3 2 4 2 2" xfId="7723" xr:uid="{00000000-0005-0000-0000-000078140000}"/>
    <cellStyle name="Normal 4 3 3 2 4 2 2 2" xfId="16152" xr:uid="{B81312A6-9834-4781-8B9C-6D1CDF50AA90}"/>
    <cellStyle name="Normal 4 3 3 2 4 2 3" xfId="11934" xr:uid="{FC5CCFB8-0648-4E74-B55B-36256F1BBB48}"/>
    <cellStyle name="Normal 4 3 3 2 4 3" xfId="5578" xr:uid="{00000000-0005-0000-0000-000079140000}"/>
    <cellStyle name="Normal 4 3 3 2 4 3 2" xfId="14007" xr:uid="{9D2EE2F7-B1B0-4AA6-95FE-C151346E8C9C}"/>
    <cellStyle name="Normal 4 3 3 2 4 4" xfId="9789" xr:uid="{19A6A79F-941F-4F4D-9A51-BCA7E30F4A9F}"/>
    <cellStyle name="Normal 4 3 3 2 5" xfId="1682" xr:uid="{00000000-0005-0000-0000-00007A140000}"/>
    <cellStyle name="Normal 4 3 3 2 5 2" xfId="3912" xr:uid="{00000000-0005-0000-0000-00007B140000}"/>
    <cellStyle name="Normal 4 3 3 2 5 2 2" xfId="8136" xr:uid="{00000000-0005-0000-0000-00007C140000}"/>
    <cellStyle name="Normal 4 3 3 2 5 2 2 2" xfId="16565" xr:uid="{9A9AF2ED-4722-4EA7-851E-0760076D7476}"/>
    <cellStyle name="Normal 4 3 3 2 5 2 3" xfId="12347" xr:uid="{DC6C782D-B829-401F-B098-997782361EC6}"/>
    <cellStyle name="Normal 4 3 3 2 5 3" xfId="5991" xr:uid="{00000000-0005-0000-0000-00007D140000}"/>
    <cellStyle name="Normal 4 3 3 2 5 3 2" xfId="14420" xr:uid="{2C2A6927-9C7C-433B-B88A-114E42FDAEB4}"/>
    <cellStyle name="Normal 4 3 3 2 5 4" xfId="10202" xr:uid="{FBBEF2B3-0316-4190-99D0-59AA17ECA51E}"/>
    <cellStyle name="Normal 4 3 3 2 6" xfId="2096" xr:uid="{00000000-0005-0000-0000-00007E140000}"/>
    <cellStyle name="Normal 4 3 3 2 6 2" xfId="4325" xr:uid="{00000000-0005-0000-0000-00007F140000}"/>
    <cellStyle name="Normal 4 3 3 2 6 2 2" xfId="8549" xr:uid="{00000000-0005-0000-0000-000080140000}"/>
    <cellStyle name="Normal 4 3 3 2 6 2 2 2" xfId="16978" xr:uid="{C0F7B49E-21F5-440C-827F-BECE16FFFD14}"/>
    <cellStyle name="Normal 4 3 3 2 6 2 3" xfId="12760" xr:uid="{9DAFF087-CE8F-4ABE-A90A-3773EBE557FB}"/>
    <cellStyle name="Normal 4 3 3 2 6 3" xfId="6404" xr:uid="{00000000-0005-0000-0000-000081140000}"/>
    <cellStyle name="Normal 4 3 3 2 6 3 2" xfId="14833" xr:uid="{FF5AB50B-B4B1-4A9C-BB78-5474CE5CBFCF}"/>
    <cellStyle name="Normal 4 3 3 2 6 4" xfId="10615" xr:uid="{C2F1A5C7-2E2D-466E-947E-A44944A7A9D5}"/>
    <cellStyle name="Normal 4 3 3 2 7" xfId="2532" xr:uid="{00000000-0005-0000-0000-000082140000}"/>
    <cellStyle name="Normal 4 3 3 2 7 2" xfId="6817" xr:uid="{00000000-0005-0000-0000-000083140000}"/>
    <cellStyle name="Normal 4 3 3 2 7 2 2" xfId="15246" xr:uid="{3884DFF7-7391-4427-B7F8-A6EBD50E6DD5}"/>
    <cellStyle name="Normal 4 3 3 2 7 3" xfId="11028" xr:uid="{3C3EB0CF-0C9D-41C9-858C-B6D8F40F083F}"/>
    <cellStyle name="Normal 4 3 3 2 8" xfId="4752" xr:uid="{00000000-0005-0000-0000-000084140000}"/>
    <cellStyle name="Normal 4 3 3 2 8 2" xfId="13181" xr:uid="{B75D5A50-063F-4616-A406-DF82C6F5D9B2}"/>
    <cellStyle name="Normal 4 3 3 2 9" xfId="8963" xr:uid="{E476BEAA-1BBF-4BA7-A3F2-2327AF7E5983}"/>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2 2" xfId="15741" xr:uid="{DC890E89-8647-474C-A86E-A313805AF0A2}"/>
    <cellStyle name="Normal 4 3 3 3 2 2 3" xfId="11523" xr:uid="{0B861B09-D189-46F5-B939-E21B20B3FF18}"/>
    <cellStyle name="Normal 4 3 3 3 2 3" xfId="5167" xr:uid="{00000000-0005-0000-0000-000089140000}"/>
    <cellStyle name="Normal 4 3 3 3 2 3 2" xfId="13596" xr:uid="{6E3BACFC-79D2-48FD-8BB7-52939BC81C13}"/>
    <cellStyle name="Normal 4 3 3 3 2 4" xfId="9378" xr:uid="{8E553505-BABB-45D9-8C1D-B4A4F97D8259}"/>
    <cellStyle name="Normal 4 3 3 3 3" xfId="1271" xr:uid="{00000000-0005-0000-0000-00008A140000}"/>
    <cellStyle name="Normal 4 3 3 3 3 2" xfId="3501" xr:uid="{00000000-0005-0000-0000-00008B140000}"/>
    <cellStyle name="Normal 4 3 3 3 3 2 2" xfId="7725" xr:uid="{00000000-0005-0000-0000-00008C140000}"/>
    <cellStyle name="Normal 4 3 3 3 3 2 2 2" xfId="16154" xr:uid="{D9A8F3D4-0D8B-4F1C-8BD8-519F6EB5FA6D}"/>
    <cellStyle name="Normal 4 3 3 3 3 2 3" xfId="11936" xr:uid="{4BE2F377-46F4-4E1F-969E-89F91A71716A}"/>
    <cellStyle name="Normal 4 3 3 3 3 3" xfId="5580" xr:uid="{00000000-0005-0000-0000-00008D140000}"/>
    <cellStyle name="Normal 4 3 3 3 3 3 2" xfId="14009" xr:uid="{B300C423-86F0-427E-A734-14E080DD69B5}"/>
    <cellStyle name="Normal 4 3 3 3 3 4" xfId="9791" xr:uid="{FD0B956B-389E-48E1-A9B8-6311D10D7081}"/>
    <cellStyle name="Normal 4 3 3 3 4" xfId="1684" xr:uid="{00000000-0005-0000-0000-00008E140000}"/>
    <cellStyle name="Normal 4 3 3 3 4 2" xfId="3914" xr:uid="{00000000-0005-0000-0000-00008F140000}"/>
    <cellStyle name="Normal 4 3 3 3 4 2 2" xfId="8138" xr:uid="{00000000-0005-0000-0000-000090140000}"/>
    <cellStyle name="Normal 4 3 3 3 4 2 2 2" xfId="16567" xr:uid="{01E1A784-2697-4CF9-A902-B43E04C79563}"/>
    <cellStyle name="Normal 4 3 3 3 4 2 3" xfId="12349" xr:uid="{B633822E-4E13-4F8E-B3D4-6A57CE7F5290}"/>
    <cellStyle name="Normal 4 3 3 3 4 3" xfId="5993" xr:uid="{00000000-0005-0000-0000-000091140000}"/>
    <cellStyle name="Normal 4 3 3 3 4 3 2" xfId="14422" xr:uid="{3E865076-C6B9-4E6B-97C7-49212B9B4C78}"/>
    <cellStyle name="Normal 4 3 3 3 4 4" xfId="10204" xr:uid="{835F9515-5DF6-482E-B1DC-3733AEA955F0}"/>
    <cellStyle name="Normal 4 3 3 3 5" xfId="2098" xr:uid="{00000000-0005-0000-0000-000092140000}"/>
    <cellStyle name="Normal 4 3 3 3 5 2" xfId="4327" xr:uid="{00000000-0005-0000-0000-000093140000}"/>
    <cellStyle name="Normal 4 3 3 3 5 2 2" xfId="8551" xr:uid="{00000000-0005-0000-0000-000094140000}"/>
    <cellStyle name="Normal 4 3 3 3 5 2 2 2" xfId="16980" xr:uid="{C87C7F1D-6484-42A5-95C3-0A79292FED6C}"/>
    <cellStyle name="Normal 4 3 3 3 5 2 3" xfId="12762" xr:uid="{D3A6A63C-DE68-4231-8817-02EB47AB6AB7}"/>
    <cellStyle name="Normal 4 3 3 3 5 3" xfId="6406" xr:uid="{00000000-0005-0000-0000-000095140000}"/>
    <cellStyle name="Normal 4 3 3 3 5 3 2" xfId="14835" xr:uid="{F11B4B02-4055-47D7-A3C1-AD83A1B11725}"/>
    <cellStyle name="Normal 4 3 3 3 5 4" xfId="10617" xr:uid="{28C93B07-FB37-4180-B5F7-DDEF4DBBF8EA}"/>
    <cellStyle name="Normal 4 3 3 3 6" xfId="2534" xr:uid="{00000000-0005-0000-0000-000096140000}"/>
    <cellStyle name="Normal 4 3 3 3 6 2" xfId="6819" xr:uid="{00000000-0005-0000-0000-000097140000}"/>
    <cellStyle name="Normal 4 3 3 3 6 2 2" xfId="15248" xr:uid="{E618AA25-2E30-4DFF-985D-426EB4CD6BB7}"/>
    <cellStyle name="Normal 4 3 3 3 6 3" xfId="11030" xr:uid="{D27A1C1D-610D-4002-8A9A-C7C5669B3516}"/>
    <cellStyle name="Normal 4 3 3 3 7" xfId="4754" xr:uid="{00000000-0005-0000-0000-000098140000}"/>
    <cellStyle name="Normal 4 3 3 3 7 2" xfId="13183" xr:uid="{01B92BA5-53DA-44F8-95EF-5EE72637BACE}"/>
    <cellStyle name="Normal 4 3 3 3 8" xfId="8965" xr:uid="{155AE9F5-B62C-473D-90FA-64C3E2B4F44F}"/>
    <cellStyle name="Normal 4 3 3 4" xfId="850" xr:uid="{00000000-0005-0000-0000-000099140000}"/>
    <cellStyle name="Normal 4 3 3 4 2" xfId="3085" xr:uid="{00000000-0005-0000-0000-00009A140000}"/>
    <cellStyle name="Normal 4 3 3 4 2 2" xfId="7309" xr:uid="{00000000-0005-0000-0000-00009B140000}"/>
    <cellStyle name="Normal 4 3 3 4 2 2 2" xfId="15738" xr:uid="{18D47157-8962-4399-8648-20E929FD9E31}"/>
    <cellStyle name="Normal 4 3 3 4 2 3" xfId="11520" xr:uid="{C20A585A-F1DE-4D6D-8C23-087575C13BD6}"/>
    <cellStyle name="Normal 4 3 3 4 3" xfId="5164" xr:uid="{00000000-0005-0000-0000-00009C140000}"/>
    <cellStyle name="Normal 4 3 3 4 3 2" xfId="13593" xr:uid="{B2A772E3-6D93-4834-9283-52464469ED2B}"/>
    <cellStyle name="Normal 4 3 3 4 4" xfId="9375" xr:uid="{A0921288-B630-4E7F-8E46-7257D83C1F0B}"/>
    <cellStyle name="Normal 4 3 3 5" xfId="1268" xr:uid="{00000000-0005-0000-0000-00009D140000}"/>
    <cellStyle name="Normal 4 3 3 5 2" xfId="3498" xr:uid="{00000000-0005-0000-0000-00009E140000}"/>
    <cellStyle name="Normal 4 3 3 5 2 2" xfId="7722" xr:uid="{00000000-0005-0000-0000-00009F140000}"/>
    <cellStyle name="Normal 4 3 3 5 2 2 2" xfId="16151" xr:uid="{9DB5F841-840E-4CB5-816B-CD342F54AF0E}"/>
    <cellStyle name="Normal 4 3 3 5 2 3" xfId="11933" xr:uid="{DDFA25F6-FE67-4970-B3E6-FE0871516549}"/>
    <cellStyle name="Normal 4 3 3 5 3" xfId="5577" xr:uid="{00000000-0005-0000-0000-0000A0140000}"/>
    <cellStyle name="Normal 4 3 3 5 3 2" xfId="14006" xr:uid="{903E9E98-FDED-4F63-ACE1-301596BB082C}"/>
    <cellStyle name="Normal 4 3 3 5 4" xfId="9788" xr:uid="{B0EAE30F-FAE9-4835-9848-954CC6406A91}"/>
    <cellStyle name="Normal 4 3 3 6" xfId="1681" xr:uid="{00000000-0005-0000-0000-0000A1140000}"/>
    <cellStyle name="Normal 4 3 3 6 2" xfId="3911" xr:uid="{00000000-0005-0000-0000-0000A2140000}"/>
    <cellStyle name="Normal 4 3 3 6 2 2" xfId="8135" xr:uid="{00000000-0005-0000-0000-0000A3140000}"/>
    <cellStyle name="Normal 4 3 3 6 2 2 2" xfId="16564" xr:uid="{A9A8431A-A8B3-4AC8-8F96-77ECB3C68BCF}"/>
    <cellStyle name="Normal 4 3 3 6 2 3" xfId="12346" xr:uid="{DFA320A6-799E-4D6E-BC6F-00B1A50CEE75}"/>
    <cellStyle name="Normal 4 3 3 6 3" xfId="5990" xr:uid="{00000000-0005-0000-0000-0000A4140000}"/>
    <cellStyle name="Normal 4 3 3 6 3 2" xfId="14419" xr:uid="{BEA2E849-D40C-4198-B4B3-D8A9E1BA92D1}"/>
    <cellStyle name="Normal 4 3 3 6 4" xfId="10201" xr:uid="{B4B0307E-F80B-4896-A8D6-ADE07EE29EC3}"/>
    <cellStyle name="Normal 4 3 3 7" xfId="2095" xr:uid="{00000000-0005-0000-0000-0000A5140000}"/>
    <cellStyle name="Normal 4 3 3 7 2" xfId="4324" xr:uid="{00000000-0005-0000-0000-0000A6140000}"/>
    <cellStyle name="Normal 4 3 3 7 2 2" xfId="8548" xr:uid="{00000000-0005-0000-0000-0000A7140000}"/>
    <cellStyle name="Normal 4 3 3 7 2 2 2" xfId="16977" xr:uid="{A9E86D9A-2920-4004-87DD-C569A8256A5C}"/>
    <cellStyle name="Normal 4 3 3 7 2 3" xfId="12759" xr:uid="{EC71DAF1-3CDA-4B21-82D8-81340A8BFECB}"/>
    <cellStyle name="Normal 4 3 3 7 3" xfId="6403" xr:uid="{00000000-0005-0000-0000-0000A8140000}"/>
    <cellStyle name="Normal 4 3 3 7 3 2" xfId="14832" xr:uid="{B3E2E5BF-9EEF-4D04-A221-4AADAC43572D}"/>
    <cellStyle name="Normal 4 3 3 7 4" xfId="10614" xr:uid="{1D1B6C1D-6C22-4071-892B-92508C816816}"/>
    <cellStyle name="Normal 4 3 3 8" xfId="2531" xr:uid="{00000000-0005-0000-0000-0000A9140000}"/>
    <cellStyle name="Normal 4 3 3 8 2" xfId="6816" xr:uid="{00000000-0005-0000-0000-0000AA140000}"/>
    <cellStyle name="Normal 4 3 3 8 2 2" xfId="15245" xr:uid="{82463D0C-24B8-46DE-8773-B9F7951FBEFC}"/>
    <cellStyle name="Normal 4 3 3 8 3" xfId="11027" xr:uid="{2E421E86-2451-46B8-B423-4D0AEACDADE5}"/>
    <cellStyle name="Normal 4 3 3 9" xfId="4751" xr:uid="{00000000-0005-0000-0000-0000AB140000}"/>
    <cellStyle name="Normal 4 3 3 9 2" xfId="13180" xr:uid="{78B4BF63-E280-47EB-8D27-990D9EA6D4F2}"/>
    <cellStyle name="Normal 4 3 4" xfId="843" xr:uid="{00000000-0005-0000-0000-0000AC140000}"/>
    <cellStyle name="Normal 4 3 4 2" xfId="3080" xr:uid="{00000000-0005-0000-0000-0000AD140000}"/>
    <cellStyle name="Normal 4 3 4 2 2" xfId="7304" xr:uid="{00000000-0005-0000-0000-0000AE140000}"/>
    <cellStyle name="Normal 4 3 4 2 2 2" xfId="15733" xr:uid="{54F078E8-A581-4C1D-B0CA-6548921A0CC3}"/>
    <cellStyle name="Normal 4 3 4 2 3" xfId="11515" xr:uid="{7ECD03FE-AD04-4893-9063-1A77BC297238}"/>
    <cellStyle name="Normal 4 3 4 3" xfId="5159" xr:uid="{00000000-0005-0000-0000-0000AF140000}"/>
    <cellStyle name="Normal 4 3 4 3 2" xfId="13588" xr:uid="{F517C96D-977F-4DC2-8445-B41559374894}"/>
    <cellStyle name="Normal 4 3 4 4" xfId="9370" xr:uid="{D3240BE9-9E5E-4E69-98C3-1AA72CF278A5}"/>
    <cellStyle name="Normal 4 3 5" xfId="1263" xr:uid="{00000000-0005-0000-0000-0000B0140000}"/>
    <cellStyle name="Normal 4 3 5 2" xfId="3493" xr:uid="{00000000-0005-0000-0000-0000B1140000}"/>
    <cellStyle name="Normal 4 3 5 2 2" xfId="7717" xr:uid="{00000000-0005-0000-0000-0000B2140000}"/>
    <cellStyle name="Normal 4 3 5 2 2 2" xfId="16146" xr:uid="{A1DF627E-25B2-4C31-9663-EF98D99D7F86}"/>
    <cellStyle name="Normal 4 3 5 2 3" xfId="11928" xr:uid="{A6B6A80A-12A9-432E-8755-7C76A46F6517}"/>
    <cellStyle name="Normal 4 3 5 3" xfId="5572" xr:uid="{00000000-0005-0000-0000-0000B3140000}"/>
    <cellStyle name="Normal 4 3 5 3 2" xfId="14001" xr:uid="{B55503C9-5B76-4319-9B80-653893929C77}"/>
    <cellStyle name="Normal 4 3 5 4" xfId="9783" xr:uid="{20066480-6D57-40AD-B011-D1F25C897892}"/>
    <cellStyle name="Normal 4 3 6" xfId="1676" xr:uid="{00000000-0005-0000-0000-0000B4140000}"/>
    <cellStyle name="Normal 4 3 6 2" xfId="3906" xr:uid="{00000000-0005-0000-0000-0000B5140000}"/>
    <cellStyle name="Normal 4 3 6 2 2" xfId="8130" xr:uid="{00000000-0005-0000-0000-0000B6140000}"/>
    <cellStyle name="Normal 4 3 6 2 2 2" xfId="16559" xr:uid="{5EDDFBE9-8006-4D17-8971-1529D3CE7630}"/>
    <cellStyle name="Normal 4 3 6 2 3" xfId="12341" xr:uid="{B6B4402C-D78E-494F-8E82-59D15739D66B}"/>
    <cellStyle name="Normal 4 3 6 3" xfId="5985" xr:uid="{00000000-0005-0000-0000-0000B7140000}"/>
    <cellStyle name="Normal 4 3 6 3 2" xfId="14414" xr:uid="{D36EAF9E-E0D7-42BB-9CB3-AFCA84DEFA67}"/>
    <cellStyle name="Normal 4 3 6 4" xfId="10196" xr:uid="{19581877-D90B-4916-B053-CD1C70DC3BD8}"/>
    <cellStyle name="Normal 4 3 7" xfId="2090" xr:uid="{00000000-0005-0000-0000-0000B8140000}"/>
    <cellStyle name="Normal 4 3 7 2" xfId="4319" xr:uid="{00000000-0005-0000-0000-0000B9140000}"/>
    <cellStyle name="Normal 4 3 7 2 2" xfId="8543" xr:uid="{00000000-0005-0000-0000-0000BA140000}"/>
    <cellStyle name="Normal 4 3 7 2 2 2" xfId="16972" xr:uid="{DCE6BCAD-2283-471C-AB75-77C92266871A}"/>
    <cellStyle name="Normal 4 3 7 2 3" xfId="12754" xr:uid="{C6723607-936A-4A43-BAB7-54B427B33BDD}"/>
    <cellStyle name="Normal 4 3 7 3" xfId="6398" xr:uid="{00000000-0005-0000-0000-0000BB140000}"/>
    <cellStyle name="Normal 4 3 7 3 2" xfId="14827" xr:uid="{B8628B0F-07A4-4B12-83F5-453E98521DB2}"/>
    <cellStyle name="Normal 4 3 7 4" xfId="10609" xr:uid="{F44BA43F-764F-4F34-9C4F-1E008E93705E}"/>
    <cellStyle name="Normal 4 3 8" xfId="2526" xr:uid="{00000000-0005-0000-0000-0000BC140000}"/>
    <cellStyle name="Normal 4 3 8 2" xfId="6811" xr:uid="{00000000-0005-0000-0000-0000BD140000}"/>
    <cellStyle name="Normal 4 3 8 2 2" xfId="15240" xr:uid="{4766AC68-CBBE-4E45-A8EB-782E39A1C206}"/>
    <cellStyle name="Normal 4 3 8 3" xfId="11022" xr:uid="{F90DF8DD-E2FB-4528-88CF-5EA51F969C2F}"/>
    <cellStyle name="Normal 4 3 9" xfId="4746" xr:uid="{00000000-0005-0000-0000-0000BE140000}"/>
    <cellStyle name="Normal 4 3 9 2" xfId="13175" xr:uid="{20C22685-2122-4E72-A576-7E33C2305CBB}"/>
    <cellStyle name="Normal 4 4" xfId="378" xr:uid="{00000000-0005-0000-0000-0000BF140000}"/>
    <cellStyle name="Normal 4 4 10" xfId="2535" xr:uid="{00000000-0005-0000-0000-0000C0140000}"/>
    <cellStyle name="Normal 4 4 10 2" xfId="6820" xr:uid="{00000000-0005-0000-0000-0000C1140000}"/>
    <cellStyle name="Normal 4 4 10 2 2" xfId="15249" xr:uid="{DF6ACE89-E40A-4215-9219-FC2A7A3E7A26}"/>
    <cellStyle name="Normal 4 4 10 3" xfId="11031" xr:uid="{6881132B-B8CF-4233-8FFF-B969F5DFA738}"/>
    <cellStyle name="Normal 4 4 11" xfId="4755" xr:uid="{00000000-0005-0000-0000-0000C2140000}"/>
    <cellStyle name="Normal 4 4 11 2" xfId="13184" xr:uid="{A30E8B60-2FA9-4A9F-B6AE-062F1B229ED8}"/>
    <cellStyle name="Normal 4 4 12" xfId="8966" xr:uid="{48BE4986-C3A9-4F92-808E-3D783AB75606}"/>
    <cellStyle name="Normal 4 4 2" xfId="379" xr:uid="{00000000-0005-0000-0000-0000C3140000}"/>
    <cellStyle name="Normal 4 4 2 10" xfId="4756" xr:uid="{00000000-0005-0000-0000-0000C4140000}"/>
    <cellStyle name="Normal 4 4 2 10 2" xfId="13185" xr:uid="{67132D23-1850-4DA7-9128-2D1F5811156E}"/>
    <cellStyle name="Normal 4 4 2 11" xfId="8967" xr:uid="{BCF541A1-1D8E-4AD0-89A9-270F53F5425F}"/>
    <cellStyle name="Normal 4 4 2 2" xfId="380" xr:uid="{00000000-0005-0000-0000-0000C5140000}"/>
    <cellStyle name="Normal 4 4 2 2 10" xfId="8968" xr:uid="{83AFBA2D-699E-4BB1-97CE-F423E71A899E}"/>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2 2" xfId="15746" xr:uid="{D69F2802-4556-49F6-8AEC-9854C44E84A8}"/>
    <cellStyle name="Normal 4 4 2 2 2 2 2 2 3" xfId="11528" xr:uid="{BE87FCF5-D4A1-4CB7-921A-7905EA60C6B2}"/>
    <cellStyle name="Normal 4 4 2 2 2 2 2 3" xfId="5172" xr:uid="{00000000-0005-0000-0000-0000CB140000}"/>
    <cellStyle name="Normal 4 4 2 2 2 2 2 3 2" xfId="13601" xr:uid="{A78DA367-7B86-4A3D-A58E-4EBD95A74C8C}"/>
    <cellStyle name="Normal 4 4 2 2 2 2 2 4" xfId="9383" xr:uid="{2E001C67-7607-47B1-B1DF-0D36BB5CE7F8}"/>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2 2" xfId="16159" xr:uid="{BE6761F7-2188-498F-B0B8-4581E2B39015}"/>
    <cellStyle name="Normal 4 4 2 2 2 2 3 2 3" xfId="11941" xr:uid="{A4539033-57FD-480A-B4FE-C50113A27D34}"/>
    <cellStyle name="Normal 4 4 2 2 2 2 3 3" xfId="5585" xr:uid="{00000000-0005-0000-0000-0000CF140000}"/>
    <cellStyle name="Normal 4 4 2 2 2 2 3 3 2" xfId="14014" xr:uid="{B21D81B8-8A93-4340-A09C-0C5D6684A6D4}"/>
    <cellStyle name="Normal 4 4 2 2 2 2 3 4" xfId="9796" xr:uid="{2DDDE3FC-4569-4D92-BA12-6E946F640FF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2 2" xfId="16572" xr:uid="{87FC61D8-B6BA-440E-A885-89C8983D85B5}"/>
    <cellStyle name="Normal 4 4 2 2 2 2 4 2 3" xfId="12354" xr:uid="{5D5E8419-794A-4391-98DB-C8A9BC22BE0A}"/>
    <cellStyle name="Normal 4 4 2 2 2 2 4 3" xfId="5998" xr:uid="{00000000-0005-0000-0000-0000D3140000}"/>
    <cellStyle name="Normal 4 4 2 2 2 2 4 3 2" xfId="14427" xr:uid="{320200B5-159E-421D-AA4C-962065D5D71D}"/>
    <cellStyle name="Normal 4 4 2 2 2 2 4 4" xfId="10209" xr:uid="{A933463F-542B-4BF4-982E-7F266E54A60F}"/>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2 2" xfId="16985" xr:uid="{51276E6D-1701-444E-A41D-C3FBBD2106BD}"/>
    <cellStyle name="Normal 4 4 2 2 2 2 5 2 3" xfId="12767" xr:uid="{CA943DB4-31B4-4A5C-BDE1-387347A09158}"/>
    <cellStyle name="Normal 4 4 2 2 2 2 5 3" xfId="6411" xr:uid="{00000000-0005-0000-0000-0000D7140000}"/>
    <cellStyle name="Normal 4 4 2 2 2 2 5 3 2" xfId="14840" xr:uid="{7CFF48A5-A1B4-4B5B-8AE0-C76EFFC1C0DB}"/>
    <cellStyle name="Normal 4 4 2 2 2 2 5 4" xfId="10622" xr:uid="{26453926-F9B6-4ED8-9D5B-EC4D5D1F3375}"/>
    <cellStyle name="Normal 4 4 2 2 2 2 6" xfId="2539" xr:uid="{00000000-0005-0000-0000-0000D8140000}"/>
    <cellStyle name="Normal 4 4 2 2 2 2 6 2" xfId="6824" xr:uid="{00000000-0005-0000-0000-0000D9140000}"/>
    <cellStyle name="Normal 4 4 2 2 2 2 6 2 2" xfId="15253" xr:uid="{71EE2F10-F3A0-47BA-98FE-CF0E0E25E095}"/>
    <cellStyle name="Normal 4 4 2 2 2 2 6 3" xfId="11035" xr:uid="{DD79AE91-631C-46D0-BEC1-675BA21FC746}"/>
    <cellStyle name="Normal 4 4 2 2 2 2 7" xfId="4759" xr:uid="{00000000-0005-0000-0000-0000DA140000}"/>
    <cellStyle name="Normal 4 4 2 2 2 2 7 2" xfId="13188" xr:uid="{0F86B42E-00C7-476B-B245-59F652415962}"/>
    <cellStyle name="Normal 4 4 2 2 2 2 8" xfId="8970" xr:uid="{0BF2B361-44B7-4142-817E-6DF6FA1BADA6}"/>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2 2" xfId="15745" xr:uid="{866D1506-6D5B-486F-AB6C-EE8E8A26B558}"/>
    <cellStyle name="Normal 4 4 2 2 2 3 2 3" xfId="11527" xr:uid="{019E7619-FA80-4F36-84DC-AAD3C8ED0569}"/>
    <cellStyle name="Normal 4 4 2 2 2 3 3" xfId="5171" xr:uid="{00000000-0005-0000-0000-0000DE140000}"/>
    <cellStyle name="Normal 4 4 2 2 2 3 3 2" xfId="13600" xr:uid="{8A21A2C9-9869-4F09-B30D-933685314A7E}"/>
    <cellStyle name="Normal 4 4 2 2 2 3 4" xfId="9382" xr:uid="{5D791AAD-C1CA-473A-A807-EFE023E7DF32}"/>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2 2" xfId="16158" xr:uid="{4821AF8A-DDAD-4B61-B1BC-66E50E08BF94}"/>
    <cellStyle name="Normal 4 4 2 2 2 4 2 3" xfId="11940" xr:uid="{B2DDD85F-C3A3-4645-A024-C13EE5EAF307}"/>
    <cellStyle name="Normal 4 4 2 2 2 4 3" xfId="5584" xr:uid="{00000000-0005-0000-0000-0000E2140000}"/>
    <cellStyle name="Normal 4 4 2 2 2 4 3 2" xfId="14013" xr:uid="{5673B58F-E441-4490-9653-6B2BCCE35D74}"/>
    <cellStyle name="Normal 4 4 2 2 2 4 4" xfId="9795" xr:uid="{7C681E45-DFA9-4167-9F16-8FAC1037CCDA}"/>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2 2" xfId="16571" xr:uid="{32421BEF-F763-4F07-958A-108CE08EB2A5}"/>
    <cellStyle name="Normal 4 4 2 2 2 5 2 3" xfId="12353" xr:uid="{AF548912-C81C-465C-A0A8-279C20B494EC}"/>
    <cellStyle name="Normal 4 4 2 2 2 5 3" xfId="5997" xr:uid="{00000000-0005-0000-0000-0000E6140000}"/>
    <cellStyle name="Normal 4 4 2 2 2 5 3 2" xfId="14426" xr:uid="{ACB6C00B-C3BB-42C8-BB94-E397B556C0C7}"/>
    <cellStyle name="Normal 4 4 2 2 2 5 4" xfId="10208" xr:uid="{91DF836E-BC18-4ECB-A183-4949A8B7B21E}"/>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2 2" xfId="16984" xr:uid="{5BC0679D-69B6-41F6-8BCC-B0154A0A641B}"/>
    <cellStyle name="Normal 4 4 2 2 2 6 2 3" xfId="12766" xr:uid="{65657349-0991-40F8-AA99-E2F25A5DADCC}"/>
    <cellStyle name="Normal 4 4 2 2 2 6 3" xfId="6410" xr:uid="{00000000-0005-0000-0000-0000EA140000}"/>
    <cellStyle name="Normal 4 4 2 2 2 6 3 2" xfId="14839" xr:uid="{5ACA0245-A538-4290-BE5C-B9DEB7584DFB}"/>
    <cellStyle name="Normal 4 4 2 2 2 6 4" xfId="10621" xr:uid="{6B3C1227-84FB-4774-91C9-2F034A3A4882}"/>
    <cellStyle name="Normal 4 4 2 2 2 7" xfId="2538" xr:uid="{00000000-0005-0000-0000-0000EB140000}"/>
    <cellStyle name="Normal 4 4 2 2 2 7 2" xfId="6823" xr:uid="{00000000-0005-0000-0000-0000EC140000}"/>
    <cellStyle name="Normal 4 4 2 2 2 7 2 2" xfId="15252" xr:uid="{417D7055-5B0A-4A8B-99E4-F6001D265FDD}"/>
    <cellStyle name="Normal 4 4 2 2 2 7 3" xfId="11034" xr:uid="{5B02E188-B69B-4E3B-AFCD-7E6297715542}"/>
    <cellStyle name="Normal 4 4 2 2 2 8" xfId="4758" xr:uid="{00000000-0005-0000-0000-0000ED140000}"/>
    <cellStyle name="Normal 4 4 2 2 2 8 2" xfId="13187" xr:uid="{7A4CAB94-6145-4A50-87D9-3468CD3CBCC2}"/>
    <cellStyle name="Normal 4 4 2 2 2 9" xfId="8969" xr:uid="{214BD8CB-81A4-4DC6-9181-7156A5A832A2}"/>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2 2" xfId="15747" xr:uid="{DAB5AAA9-1FD3-4A1B-93DB-40A4F7151919}"/>
    <cellStyle name="Normal 4 4 2 2 3 2 2 3" xfId="11529" xr:uid="{8E47CD27-7FE2-4857-AA34-0C6A7DD37068}"/>
    <cellStyle name="Normal 4 4 2 2 3 2 3" xfId="5173" xr:uid="{00000000-0005-0000-0000-0000F2140000}"/>
    <cellStyle name="Normal 4 4 2 2 3 2 3 2" xfId="13602" xr:uid="{26880AEE-C67F-4533-9C11-EED145BC63A8}"/>
    <cellStyle name="Normal 4 4 2 2 3 2 4" xfId="9384" xr:uid="{32BF3A04-FCF9-4317-B42E-51A8641650EB}"/>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2 2" xfId="16160" xr:uid="{81C791D5-4051-4171-B628-B375968C758C}"/>
    <cellStyle name="Normal 4 4 2 2 3 3 2 3" xfId="11942" xr:uid="{BB168D47-C4A0-473A-989D-8DF5FB971854}"/>
    <cellStyle name="Normal 4 4 2 2 3 3 3" xfId="5586" xr:uid="{00000000-0005-0000-0000-0000F6140000}"/>
    <cellStyle name="Normal 4 4 2 2 3 3 3 2" xfId="14015" xr:uid="{FBED8BD2-09A1-4481-8FDA-F808556DB9D1}"/>
    <cellStyle name="Normal 4 4 2 2 3 3 4" xfId="9797" xr:uid="{E74189B0-617F-4D1D-8848-9A464EB8C48E}"/>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2 2" xfId="16573" xr:uid="{538FB72C-083E-4B9B-A737-1CA48A4C2CDD}"/>
    <cellStyle name="Normal 4 4 2 2 3 4 2 3" xfId="12355" xr:uid="{3D5D889D-71FF-4E8C-A9C3-A3408DFEC481}"/>
    <cellStyle name="Normal 4 4 2 2 3 4 3" xfId="5999" xr:uid="{00000000-0005-0000-0000-0000FA140000}"/>
    <cellStyle name="Normal 4 4 2 2 3 4 3 2" xfId="14428" xr:uid="{C6786BBE-430F-42FF-880C-2027A7A4F2F3}"/>
    <cellStyle name="Normal 4 4 2 2 3 4 4" xfId="10210" xr:uid="{52A6FF9E-21F1-45E9-ADCD-A905F8791B6A}"/>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2 2" xfId="16986" xr:uid="{A76B4E23-F605-409C-988C-7E388B7B1CFB}"/>
    <cellStyle name="Normal 4 4 2 2 3 5 2 3" xfId="12768" xr:uid="{6A12DBAD-40A9-458E-8DDC-0B3F00658D93}"/>
    <cellStyle name="Normal 4 4 2 2 3 5 3" xfId="6412" xr:uid="{00000000-0005-0000-0000-0000FE140000}"/>
    <cellStyle name="Normal 4 4 2 2 3 5 3 2" xfId="14841" xr:uid="{CBDA0160-9E6D-4C78-9D23-375819C57F59}"/>
    <cellStyle name="Normal 4 4 2 2 3 5 4" xfId="10623" xr:uid="{03F13436-E466-42A1-B082-0271D17CC62A}"/>
    <cellStyle name="Normal 4 4 2 2 3 6" xfId="2540" xr:uid="{00000000-0005-0000-0000-0000FF140000}"/>
    <cellStyle name="Normal 4 4 2 2 3 6 2" xfId="6825" xr:uid="{00000000-0005-0000-0000-000000150000}"/>
    <cellStyle name="Normal 4 4 2 2 3 6 2 2" xfId="15254" xr:uid="{60214E0A-E23D-4937-8BE4-9E9E7C5E2D17}"/>
    <cellStyle name="Normal 4 4 2 2 3 6 3" xfId="11036" xr:uid="{B3011E9B-BB9F-4008-AEF0-F1495B049996}"/>
    <cellStyle name="Normal 4 4 2 2 3 7" xfId="4760" xr:uid="{00000000-0005-0000-0000-000001150000}"/>
    <cellStyle name="Normal 4 4 2 2 3 7 2" xfId="13189" xr:uid="{859596DA-6C6F-407D-981C-71255E50ED61}"/>
    <cellStyle name="Normal 4 4 2 2 3 8" xfId="8971" xr:uid="{0180B160-EA90-49B0-A238-01D2997EA5F6}"/>
    <cellStyle name="Normal 4 4 2 2 4" xfId="856" xr:uid="{00000000-0005-0000-0000-000002150000}"/>
    <cellStyle name="Normal 4 4 2 2 4 2" xfId="3091" xr:uid="{00000000-0005-0000-0000-000003150000}"/>
    <cellStyle name="Normal 4 4 2 2 4 2 2" xfId="7315" xr:uid="{00000000-0005-0000-0000-000004150000}"/>
    <cellStyle name="Normal 4 4 2 2 4 2 2 2" xfId="15744" xr:uid="{2819725D-C49B-473F-9667-19F11FFB9ABD}"/>
    <cellStyle name="Normal 4 4 2 2 4 2 3" xfId="11526" xr:uid="{2BA42E91-EC49-4616-80BA-EF37A2034FE5}"/>
    <cellStyle name="Normal 4 4 2 2 4 3" xfId="5170" xr:uid="{00000000-0005-0000-0000-000005150000}"/>
    <cellStyle name="Normal 4 4 2 2 4 3 2" xfId="13599" xr:uid="{DC75269E-C3B0-41E0-8650-7E1AD0B15254}"/>
    <cellStyle name="Normal 4 4 2 2 4 4" xfId="9381" xr:uid="{67621F89-D4F7-4C3C-A14A-43FAABFC48B9}"/>
    <cellStyle name="Normal 4 4 2 2 5" xfId="1274" xr:uid="{00000000-0005-0000-0000-000006150000}"/>
    <cellStyle name="Normal 4 4 2 2 5 2" xfId="3504" xr:uid="{00000000-0005-0000-0000-000007150000}"/>
    <cellStyle name="Normal 4 4 2 2 5 2 2" xfId="7728" xr:uid="{00000000-0005-0000-0000-000008150000}"/>
    <cellStyle name="Normal 4 4 2 2 5 2 2 2" xfId="16157" xr:uid="{1F2A77A0-DC65-4931-BDA2-09BEEDD069FA}"/>
    <cellStyle name="Normal 4 4 2 2 5 2 3" xfId="11939" xr:uid="{9461F249-468F-4834-B2A0-3DEDA27E61E0}"/>
    <cellStyle name="Normal 4 4 2 2 5 3" xfId="5583" xr:uid="{00000000-0005-0000-0000-000009150000}"/>
    <cellStyle name="Normal 4 4 2 2 5 3 2" xfId="14012" xr:uid="{91DDC05D-3767-4C6C-B3CB-5B6A524E2857}"/>
    <cellStyle name="Normal 4 4 2 2 5 4" xfId="9794" xr:uid="{23408A95-5DA3-4400-A0F5-2EBB6904AAD7}"/>
    <cellStyle name="Normal 4 4 2 2 6" xfId="1687" xr:uid="{00000000-0005-0000-0000-00000A150000}"/>
    <cellStyle name="Normal 4 4 2 2 6 2" xfId="3917" xr:uid="{00000000-0005-0000-0000-00000B150000}"/>
    <cellStyle name="Normal 4 4 2 2 6 2 2" xfId="8141" xr:uid="{00000000-0005-0000-0000-00000C150000}"/>
    <cellStyle name="Normal 4 4 2 2 6 2 2 2" xfId="16570" xr:uid="{30576371-72F1-44E4-B330-A4A6CC6A2A8A}"/>
    <cellStyle name="Normal 4 4 2 2 6 2 3" xfId="12352" xr:uid="{933D96D1-02D8-45C4-8BE2-4AEE2BB3EB83}"/>
    <cellStyle name="Normal 4 4 2 2 6 3" xfId="5996" xr:uid="{00000000-0005-0000-0000-00000D150000}"/>
    <cellStyle name="Normal 4 4 2 2 6 3 2" xfId="14425" xr:uid="{861F07AF-276D-45FE-BED8-50D7E8291355}"/>
    <cellStyle name="Normal 4 4 2 2 6 4" xfId="10207" xr:uid="{0256C835-1552-49E5-91F7-2CD90A4F1E96}"/>
    <cellStyle name="Normal 4 4 2 2 7" xfId="2101" xr:uid="{00000000-0005-0000-0000-00000E150000}"/>
    <cellStyle name="Normal 4 4 2 2 7 2" xfId="4330" xr:uid="{00000000-0005-0000-0000-00000F150000}"/>
    <cellStyle name="Normal 4 4 2 2 7 2 2" xfId="8554" xr:uid="{00000000-0005-0000-0000-000010150000}"/>
    <cellStyle name="Normal 4 4 2 2 7 2 2 2" xfId="16983" xr:uid="{A46A8D6C-8058-4B9D-A0D4-AD963D1E5562}"/>
    <cellStyle name="Normal 4 4 2 2 7 2 3" xfId="12765" xr:uid="{4D3DAA6E-1573-4D7A-A217-F502EF6EA1FC}"/>
    <cellStyle name="Normal 4 4 2 2 7 3" xfId="6409" xr:uid="{00000000-0005-0000-0000-000011150000}"/>
    <cellStyle name="Normal 4 4 2 2 7 3 2" xfId="14838" xr:uid="{723A841D-B7C7-46E4-8ADA-84D8D03DB62A}"/>
    <cellStyle name="Normal 4 4 2 2 7 4" xfId="10620" xr:uid="{EE9F5B99-C8E0-4343-8AAA-C24AF8BC1DFB}"/>
    <cellStyle name="Normal 4 4 2 2 8" xfId="2537" xr:uid="{00000000-0005-0000-0000-000012150000}"/>
    <cellStyle name="Normal 4 4 2 2 8 2" xfId="6822" xr:uid="{00000000-0005-0000-0000-000013150000}"/>
    <cellStyle name="Normal 4 4 2 2 8 2 2" xfId="15251" xr:uid="{18552B8E-A434-455C-8CA7-1E490A230D67}"/>
    <cellStyle name="Normal 4 4 2 2 8 3" xfId="11033" xr:uid="{A195B3A3-8CCB-4791-8ABC-87574F03EA40}"/>
    <cellStyle name="Normal 4 4 2 2 9" xfId="4757" xr:uid="{00000000-0005-0000-0000-000014150000}"/>
    <cellStyle name="Normal 4 4 2 2 9 2" xfId="13186" xr:uid="{20689527-B148-4278-8CC0-7C1118F34EF2}"/>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2 2" xfId="15749" xr:uid="{465F7BF0-9EBE-4F1D-8213-F94FF80C5044}"/>
    <cellStyle name="Normal 4 4 2 3 2 2 2 3" xfId="11531" xr:uid="{750FCB93-F26D-4D0E-A87F-582C8AFE8D51}"/>
    <cellStyle name="Normal 4 4 2 3 2 2 3" xfId="5175" xr:uid="{00000000-0005-0000-0000-00001A150000}"/>
    <cellStyle name="Normal 4 4 2 3 2 2 3 2" xfId="13604" xr:uid="{F3E83951-CF13-4BC6-BD9B-FCCBA19A550A}"/>
    <cellStyle name="Normal 4 4 2 3 2 2 4" xfId="9386" xr:uid="{BAACA564-02EE-4893-B9FF-B6AEF03E951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2 2" xfId="16162" xr:uid="{7BD8EFF6-2517-4460-96C6-46DB00E5A47F}"/>
    <cellStyle name="Normal 4 4 2 3 2 3 2 3" xfId="11944" xr:uid="{F0D6192B-2386-4D26-B9D1-7870781F01CF}"/>
    <cellStyle name="Normal 4 4 2 3 2 3 3" xfId="5588" xr:uid="{00000000-0005-0000-0000-00001E150000}"/>
    <cellStyle name="Normal 4 4 2 3 2 3 3 2" xfId="14017" xr:uid="{7FE57294-E384-4A55-8B58-EF1D27BB6B1D}"/>
    <cellStyle name="Normal 4 4 2 3 2 3 4" xfId="9799" xr:uid="{75F0DB77-D81F-4F69-B86F-26D43FAFA8D7}"/>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2 2" xfId="16575" xr:uid="{4FE5D019-7767-4066-8D0B-AF6F2B4877BD}"/>
    <cellStyle name="Normal 4 4 2 3 2 4 2 3" xfId="12357" xr:uid="{508B2495-51D8-43AC-8364-705ACB00087D}"/>
    <cellStyle name="Normal 4 4 2 3 2 4 3" xfId="6001" xr:uid="{00000000-0005-0000-0000-000022150000}"/>
    <cellStyle name="Normal 4 4 2 3 2 4 3 2" xfId="14430" xr:uid="{4C7E7802-9C6C-4D30-9188-3F1568449EE7}"/>
    <cellStyle name="Normal 4 4 2 3 2 4 4" xfId="10212" xr:uid="{00C84C19-C50E-45DB-B1B2-6FD73474C8A8}"/>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2 2" xfId="16988" xr:uid="{5BB2CE43-FC45-4F80-B1CA-8F0F298347F6}"/>
    <cellStyle name="Normal 4 4 2 3 2 5 2 3" xfId="12770" xr:uid="{9A6A1A65-DF48-4EA9-978A-3FAA0B0119DD}"/>
    <cellStyle name="Normal 4 4 2 3 2 5 3" xfId="6414" xr:uid="{00000000-0005-0000-0000-000026150000}"/>
    <cellStyle name="Normal 4 4 2 3 2 5 3 2" xfId="14843" xr:uid="{72BC508B-5BD7-4AFB-8F1C-1B5C4EF078D8}"/>
    <cellStyle name="Normal 4 4 2 3 2 5 4" xfId="10625" xr:uid="{AD2992AE-3393-4C4A-930D-19B64FADC425}"/>
    <cellStyle name="Normal 4 4 2 3 2 6" xfId="2542" xr:uid="{00000000-0005-0000-0000-000027150000}"/>
    <cellStyle name="Normal 4 4 2 3 2 6 2" xfId="6827" xr:uid="{00000000-0005-0000-0000-000028150000}"/>
    <cellStyle name="Normal 4 4 2 3 2 6 2 2" xfId="15256" xr:uid="{3A5B53CD-D149-4470-AEC3-7F9DFE60C0D9}"/>
    <cellStyle name="Normal 4 4 2 3 2 6 3" xfId="11038" xr:uid="{4B767932-4ACC-4236-963A-6BFCCD56E465}"/>
    <cellStyle name="Normal 4 4 2 3 2 7" xfId="4762" xr:uid="{00000000-0005-0000-0000-000029150000}"/>
    <cellStyle name="Normal 4 4 2 3 2 7 2" xfId="13191" xr:uid="{6DB7DB05-480A-4F35-88C4-F84036819423}"/>
    <cellStyle name="Normal 4 4 2 3 2 8" xfId="8973" xr:uid="{08D3415E-F5F0-4D3D-89EE-A9FD3E3D384B}"/>
    <cellStyle name="Normal 4 4 2 3 3" xfId="860" xr:uid="{00000000-0005-0000-0000-00002A150000}"/>
    <cellStyle name="Normal 4 4 2 3 3 2" xfId="3095" xr:uid="{00000000-0005-0000-0000-00002B150000}"/>
    <cellStyle name="Normal 4 4 2 3 3 2 2" xfId="7319" xr:uid="{00000000-0005-0000-0000-00002C150000}"/>
    <cellStyle name="Normal 4 4 2 3 3 2 2 2" xfId="15748" xr:uid="{DBF6567A-EB02-4067-9398-5AAD47B150DD}"/>
    <cellStyle name="Normal 4 4 2 3 3 2 3" xfId="11530" xr:uid="{2DE3F934-E8FC-4B72-BCCC-36ACCAB05F61}"/>
    <cellStyle name="Normal 4 4 2 3 3 3" xfId="5174" xr:uid="{00000000-0005-0000-0000-00002D150000}"/>
    <cellStyle name="Normal 4 4 2 3 3 3 2" xfId="13603" xr:uid="{B6B7CC48-1D31-48AB-B1EF-6D74367E527F}"/>
    <cellStyle name="Normal 4 4 2 3 3 4" xfId="9385" xr:uid="{081283C3-3E14-4D16-B50B-0936FBB1C6D4}"/>
    <cellStyle name="Normal 4 4 2 3 4" xfId="1278" xr:uid="{00000000-0005-0000-0000-00002E150000}"/>
    <cellStyle name="Normal 4 4 2 3 4 2" xfId="3508" xr:uid="{00000000-0005-0000-0000-00002F150000}"/>
    <cellStyle name="Normal 4 4 2 3 4 2 2" xfId="7732" xr:uid="{00000000-0005-0000-0000-000030150000}"/>
    <cellStyle name="Normal 4 4 2 3 4 2 2 2" xfId="16161" xr:uid="{B2D7EC84-981C-4D87-B44B-B92D65FA2CE8}"/>
    <cellStyle name="Normal 4 4 2 3 4 2 3" xfId="11943" xr:uid="{6B40001C-E56B-4F94-A84B-D5729693B016}"/>
    <cellStyle name="Normal 4 4 2 3 4 3" xfId="5587" xr:uid="{00000000-0005-0000-0000-000031150000}"/>
    <cellStyle name="Normal 4 4 2 3 4 3 2" xfId="14016" xr:uid="{3F422512-E59B-4E9F-9610-F52E1A063993}"/>
    <cellStyle name="Normal 4 4 2 3 4 4" xfId="9798" xr:uid="{D942E551-BF78-4124-8971-22AE9A484B33}"/>
    <cellStyle name="Normal 4 4 2 3 5" xfId="1691" xr:uid="{00000000-0005-0000-0000-000032150000}"/>
    <cellStyle name="Normal 4 4 2 3 5 2" xfId="3921" xr:uid="{00000000-0005-0000-0000-000033150000}"/>
    <cellStyle name="Normal 4 4 2 3 5 2 2" xfId="8145" xr:uid="{00000000-0005-0000-0000-000034150000}"/>
    <cellStyle name="Normal 4 4 2 3 5 2 2 2" xfId="16574" xr:uid="{1E51925C-3E68-4AC0-AB96-55ECEB1F8B9C}"/>
    <cellStyle name="Normal 4 4 2 3 5 2 3" xfId="12356" xr:uid="{C3988452-9D20-46CF-B66B-E9F985A13FCF}"/>
    <cellStyle name="Normal 4 4 2 3 5 3" xfId="6000" xr:uid="{00000000-0005-0000-0000-000035150000}"/>
    <cellStyle name="Normal 4 4 2 3 5 3 2" xfId="14429" xr:uid="{68AC3308-CE08-41D2-AAAE-533D04839B95}"/>
    <cellStyle name="Normal 4 4 2 3 5 4" xfId="10211" xr:uid="{A6542106-927C-4321-B6C6-D4F67E56CA45}"/>
    <cellStyle name="Normal 4 4 2 3 6" xfId="2105" xr:uid="{00000000-0005-0000-0000-000036150000}"/>
    <cellStyle name="Normal 4 4 2 3 6 2" xfId="4334" xr:uid="{00000000-0005-0000-0000-000037150000}"/>
    <cellStyle name="Normal 4 4 2 3 6 2 2" xfId="8558" xr:uid="{00000000-0005-0000-0000-000038150000}"/>
    <cellStyle name="Normal 4 4 2 3 6 2 2 2" xfId="16987" xr:uid="{121941F9-34E9-4599-A32F-CAFEC03C22FB}"/>
    <cellStyle name="Normal 4 4 2 3 6 2 3" xfId="12769" xr:uid="{8BEA4EF1-CA36-4980-833C-E2D674EC9A8E}"/>
    <cellStyle name="Normal 4 4 2 3 6 3" xfId="6413" xr:uid="{00000000-0005-0000-0000-000039150000}"/>
    <cellStyle name="Normal 4 4 2 3 6 3 2" xfId="14842" xr:uid="{9FC99F84-2073-4FBC-9CC7-3DC40B6078FF}"/>
    <cellStyle name="Normal 4 4 2 3 6 4" xfId="10624" xr:uid="{B6AC14E0-DC7D-4638-BA5B-324EA700DF53}"/>
    <cellStyle name="Normal 4 4 2 3 7" xfId="2541" xr:uid="{00000000-0005-0000-0000-00003A150000}"/>
    <cellStyle name="Normal 4 4 2 3 7 2" xfId="6826" xr:uid="{00000000-0005-0000-0000-00003B150000}"/>
    <cellStyle name="Normal 4 4 2 3 7 2 2" xfId="15255" xr:uid="{0F4C5391-FE02-47C9-B8D6-13AD4FDB5410}"/>
    <cellStyle name="Normal 4 4 2 3 7 3" xfId="11037" xr:uid="{3C20CAB2-26C2-4981-96D4-069C74439168}"/>
    <cellStyle name="Normal 4 4 2 3 8" xfId="4761" xr:uid="{00000000-0005-0000-0000-00003C150000}"/>
    <cellStyle name="Normal 4 4 2 3 8 2" xfId="13190" xr:uid="{495A2196-8663-401A-93A7-B751AC3560D6}"/>
    <cellStyle name="Normal 4 4 2 3 9" xfId="8972" xr:uid="{E2B0F72E-ECA5-430B-B7D0-944CFAB1D5C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2 2" xfId="15750" xr:uid="{8EEBB17E-A4E4-4710-9897-AC8955D80DCA}"/>
    <cellStyle name="Normal 4 4 2 4 2 2 3" xfId="11532" xr:uid="{66100C51-D71A-4658-92B6-C488A2C0F870}"/>
    <cellStyle name="Normal 4 4 2 4 2 3" xfId="5176" xr:uid="{00000000-0005-0000-0000-000041150000}"/>
    <cellStyle name="Normal 4 4 2 4 2 3 2" xfId="13605" xr:uid="{0B6DB78F-F9E6-4495-9436-ABEBDA036DA4}"/>
    <cellStyle name="Normal 4 4 2 4 2 4" xfId="9387" xr:uid="{A8D8DA10-C6BD-48AF-95D7-6DD28909C900}"/>
    <cellStyle name="Normal 4 4 2 4 3" xfId="1280" xr:uid="{00000000-0005-0000-0000-000042150000}"/>
    <cellStyle name="Normal 4 4 2 4 3 2" xfId="3510" xr:uid="{00000000-0005-0000-0000-000043150000}"/>
    <cellStyle name="Normal 4 4 2 4 3 2 2" xfId="7734" xr:uid="{00000000-0005-0000-0000-000044150000}"/>
    <cellStyle name="Normal 4 4 2 4 3 2 2 2" xfId="16163" xr:uid="{8289465C-2DD9-400F-95E4-FE413B8379CE}"/>
    <cellStyle name="Normal 4 4 2 4 3 2 3" xfId="11945" xr:uid="{3BDE2389-FCBD-4493-988C-2C9C7946F040}"/>
    <cellStyle name="Normal 4 4 2 4 3 3" xfId="5589" xr:uid="{00000000-0005-0000-0000-000045150000}"/>
    <cellStyle name="Normal 4 4 2 4 3 3 2" xfId="14018" xr:uid="{216BE762-057C-408D-B8F5-6FE1601C3EEF}"/>
    <cellStyle name="Normal 4 4 2 4 3 4" xfId="9800" xr:uid="{157DDCC9-F09F-4DD7-945F-7E39792E0AE0}"/>
    <cellStyle name="Normal 4 4 2 4 4" xfId="1693" xr:uid="{00000000-0005-0000-0000-000046150000}"/>
    <cellStyle name="Normal 4 4 2 4 4 2" xfId="3923" xr:uid="{00000000-0005-0000-0000-000047150000}"/>
    <cellStyle name="Normal 4 4 2 4 4 2 2" xfId="8147" xr:uid="{00000000-0005-0000-0000-000048150000}"/>
    <cellStyle name="Normal 4 4 2 4 4 2 2 2" xfId="16576" xr:uid="{E503ED49-BB48-44D6-93CA-0786AD4B4374}"/>
    <cellStyle name="Normal 4 4 2 4 4 2 3" xfId="12358" xr:uid="{90F09A5E-3270-43C9-A497-8EBD6EE69D79}"/>
    <cellStyle name="Normal 4 4 2 4 4 3" xfId="6002" xr:uid="{00000000-0005-0000-0000-000049150000}"/>
    <cellStyle name="Normal 4 4 2 4 4 3 2" xfId="14431" xr:uid="{D61D73B5-5551-4844-BD79-D5DEEA54B65C}"/>
    <cellStyle name="Normal 4 4 2 4 4 4" xfId="10213" xr:uid="{A8654956-9D21-45D5-A1B0-5828937EF346}"/>
    <cellStyle name="Normal 4 4 2 4 5" xfId="2107" xr:uid="{00000000-0005-0000-0000-00004A150000}"/>
    <cellStyle name="Normal 4 4 2 4 5 2" xfId="4336" xr:uid="{00000000-0005-0000-0000-00004B150000}"/>
    <cellStyle name="Normal 4 4 2 4 5 2 2" xfId="8560" xr:uid="{00000000-0005-0000-0000-00004C150000}"/>
    <cellStyle name="Normal 4 4 2 4 5 2 2 2" xfId="16989" xr:uid="{5297B3AE-3359-4E9D-9E15-9688F5D94DD7}"/>
    <cellStyle name="Normal 4 4 2 4 5 2 3" xfId="12771" xr:uid="{B68B7683-E772-4B21-9AD6-FA538CC44558}"/>
    <cellStyle name="Normal 4 4 2 4 5 3" xfId="6415" xr:uid="{00000000-0005-0000-0000-00004D150000}"/>
    <cellStyle name="Normal 4 4 2 4 5 3 2" xfId="14844" xr:uid="{156F1B3C-23C5-43A2-A65B-02241FF87D65}"/>
    <cellStyle name="Normal 4 4 2 4 5 4" xfId="10626" xr:uid="{61E6344A-AAD5-4BDD-8420-4D8CF7A26D51}"/>
    <cellStyle name="Normal 4 4 2 4 6" xfId="2543" xr:uid="{00000000-0005-0000-0000-00004E150000}"/>
    <cellStyle name="Normal 4 4 2 4 6 2" xfId="6828" xr:uid="{00000000-0005-0000-0000-00004F150000}"/>
    <cellStyle name="Normal 4 4 2 4 6 2 2" xfId="15257" xr:uid="{0C851D85-53F4-414C-833F-AF721E093D8E}"/>
    <cellStyle name="Normal 4 4 2 4 6 3" xfId="11039" xr:uid="{151D2012-03E9-4878-8E2F-C8FF7FE3CD01}"/>
    <cellStyle name="Normal 4 4 2 4 7" xfId="4763" xr:uid="{00000000-0005-0000-0000-000050150000}"/>
    <cellStyle name="Normal 4 4 2 4 7 2" xfId="13192" xr:uid="{0E0C1CFF-6AFD-4AC9-AEF7-47425F95B45F}"/>
    <cellStyle name="Normal 4 4 2 4 8" xfId="8974" xr:uid="{F0C8F8A0-3068-49C4-A500-8B5C2DDEF6E1}"/>
    <cellStyle name="Normal 4 4 2 5" xfId="855" xr:uid="{00000000-0005-0000-0000-000051150000}"/>
    <cellStyle name="Normal 4 4 2 5 2" xfId="3090" xr:uid="{00000000-0005-0000-0000-000052150000}"/>
    <cellStyle name="Normal 4 4 2 5 2 2" xfId="7314" xr:uid="{00000000-0005-0000-0000-000053150000}"/>
    <cellStyle name="Normal 4 4 2 5 2 2 2" xfId="15743" xr:uid="{027AACF5-3319-4B79-9FCC-C3C37D0E2161}"/>
    <cellStyle name="Normal 4 4 2 5 2 3" xfId="11525" xr:uid="{1751742A-D55E-4BBF-B6E9-B5414A76625D}"/>
    <cellStyle name="Normal 4 4 2 5 3" xfId="5169" xr:uid="{00000000-0005-0000-0000-000054150000}"/>
    <cellStyle name="Normal 4 4 2 5 3 2" xfId="13598" xr:uid="{D42669C9-470E-49DB-AD81-501A74544687}"/>
    <cellStyle name="Normal 4 4 2 5 4" xfId="9380" xr:uid="{BCECACDF-F2D8-4EC3-B10B-A1DB0E9A9534}"/>
    <cellStyle name="Normal 4 4 2 6" xfId="1273" xr:uid="{00000000-0005-0000-0000-000055150000}"/>
    <cellStyle name="Normal 4 4 2 6 2" xfId="3503" xr:uid="{00000000-0005-0000-0000-000056150000}"/>
    <cellStyle name="Normal 4 4 2 6 2 2" xfId="7727" xr:uid="{00000000-0005-0000-0000-000057150000}"/>
    <cellStyle name="Normal 4 4 2 6 2 2 2" xfId="16156" xr:uid="{FB12E9B5-7E04-43D1-AD9B-BE2F82FDC06B}"/>
    <cellStyle name="Normal 4 4 2 6 2 3" xfId="11938" xr:uid="{F733A618-C489-4F61-94FA-69E0BEC5A3D5}"/>
    <cellStyle name="Normal 4 4 2 6 3" xfId="5582" xr:uid="{00000000-0005-0000-0000-000058150000}"/>
    <cellStyle name="Normal 4 4 2 6 3 2" xfId="14011" xr:uid="{02CE82C9-CC7D-4D1D-9AF8-B7325E418E9C}"/>
    <cellStyle name="Normal 4 4 2 6 4" xfId="9793" xr:uid="{B6438A4A-5885-49C6-8624-A29F862BDBAB}"/>
    <cellStyle name="Normal 4 4 2 7" xfId="1686" xr:uid="{00000000-0005-0000-0000-000059150000}"/>
    <cellStyle name="Normal 4 4 2 7 2" xfId="3916" xr:uid="{00000000-0005-0000-0000-00005A150000}"/>
    <cellStyle name="Normal 4 4 2 7 2 2" xfId="8140" xr:uid="{00000000-0005-0000-0000-00005B150000}"/>
    <cellStyle name="Normal 4 4 2 7 2 2 2" xfId="16569" xr:uid="{4703DE0E-F611-4DE3-9528-F2661A114BBA}"/>
    <cellStyle name="Normal 4 4 2 7 2 3" xfId="12351" xr:uid="{A604FBC4-830E-4230-8F71-6C1C9A62FBD1}"/>
    <cellStyle name="Normal 4 4 2 7 3" xfId="5995" xr:uid="{00000000-0005-0000-0000-00005C150000}"/>
    <cellStyle name="Normal 4 4 2 7 3 2" xfId="14424" xr:uid="{5FD2BC63-0E0F-453F-A948-5478B5DDACB9}"/>
    <cellStyle name="Normal 4 4 2 7 4" xfId="10206" xr:uid="{D69FD282-346D-4BF3-A9DB-6E6F27263684}"/>
    <cellStyle name="Normal 4 4 2 8" xfId="2100" xr:uid="{00000000-0005-0000-0000-00005D150000}"/>
    <cellStyle name="Normal 4 4 2 8 2" xfId="4329" xr:uid="{00000000-0005-0000-0000-00005E150000}"/>
    <cellStyle name="Normal 4 4 2 8 2 2" xfId="8553" xr:uid="{00000000-0005-0000-0000-00005F150000}"/>
    <cellStyle name="Normal 4 4 2 8 2 2 2" xfId="16982" xr:uid="{51117830-8598-4DE0-BA29-E5CC06CBB0BC}"/>
    <cellStyle name="Normal 4 4 2 8 2 3" xfId="12764" xr:uid="{74B2CD1D-DF23-41B9-AAA2-2F6CFD3E35DD}"/>
    <cellStyle name="Normal 4 4 2 8 3" xfId="6408" xr:uid="{00000000-0005-0000-0000-000060150000}"/>
    <cellStyle name="Normal 4 4 2 8 3 2" xfId="14837" xr:uid="{596518A5-493C-4A8F-B888-1274F384FB9C}"/>
    <cellStyle name="Normal 4 4 2 8 4" xfId="10619" xr:uid="{AD9C07D8-24A3-43DD-8BAB-F36F400FC347}"/>
    <cellStyle name="Normal 4 4 2 9" xfId="2536" xr:uid="{00000000-0005-0000-0000-000061150000}"/>
    <cellStyle name="Normal 4 4 2 9 2" xfId="6821" xr:uid="{00000000-0005-0000-0000-000062150000}"/>
    <cellStyle name="Normal 4 4 2 9 2 2" xfId="15250" xr:uid="{174686BF-4724-471A-ACDF-81E768BD9154}"/>
    <cellStyle name="Normal 4 4 2 9 3" xfId="11032" xr:uid="{CA83B9C3-3DC0-44B4-96D0-5AB7F4CB72ED}"/>
    <cellStyle name="Normal 4 4 3" xfId="387" xr:uid="{00000000-0005-0000-0000-000063150000}"/>
    <cellStyle name="Normal 4 4 3 10" xfId="8975" xr:uid="{06FD976E-9CA5-475D-8374-A1804279B619}"/>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2 2" xfId="15753" xr:uid="{596209B4-7471-4CFA-BC97-D51FF74E6D2B}"/>
    <cellStyle name="Normal 4 4 3 2 2 2 2 3" xfId="11535" xr:uid="{202EC2F9-0F72-4EDE-92F7-DBC0E8BC5656}"/>
    <cellStyle name="Normal 4 4 3 2 2 2 3" xfId="5179" xr:uid="{00000000-0005-0000-0000-000069150000}"/>
    <cellStyle name="Normal 4 4 3 2 2 2 3 2" xfId="13608" xr:uid="{0BE67AFC-5E44-44A4-88BC-891FC16D76E6}"/>
    <cellStyle name="Normal 4 4 3 2 2 2 4" xfId="9390" xr:uid="{9FCB8603-7C0F-4023-BD0D-691C43CC9712}"/>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2 2" xfId="16166" xr:uid="{432E65FB-AF0E-4B31-B42C-C5251C0C744B}"/>
    <cellStyle name="Normal 4 4 3 2 2 3 2 3" xfId="11948" xr:uid="{AA3C7959-C99B-452D-B542-A5E418636E5E}"/>
    <cellStyle name="Normal 4 4 3 2 2 3 3" xfId="5592" xr:uid="{00000000-0005-0000-0000-00006D150000}"/>
    <cellStyle name="Normal 4 4 3 2 2 3 3 2" xfId="14021" xr:uid="{1A2837AE-1B99-4414-8EE8-BA980A62EBAB}"/>
    <cellStyle name="Normal 4 4 3 2 2 3 4" xfId="9803" xr:uid="{A6384F25-8374-4C61-A80C-7A6AE1780F45}"/>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2 2" xfId="16579" xr:uid="{32AD3AF8-2A74-4654-839F-799676385B60}"/>
    <cellStyle name="Normal 4 4 3 2 2 4 2 3" xfId="12361" xr:uid="{DBE3F984-DCAD-48C2-94D6-78104E0D0775}"/>
    <cellStyle name="Normal 4 4 3 2 2 4 3" xfId="6005" xr:uid="{00000000-0005-0000-0000-000071150000}"/>
    <cellStyle name="Normal 4 4 3 2 2 4 3 2" xfId="14434" xr:uid="{01D6555E-8BC5-44B5-8338-DF0B69276874}"/>
    <cellStyle name="Normal 4 4 3 2 2 4 4" xfId="10216" xr:uid="{5AE56978-32AC-467D-8F5A-5FB2567B498D}"/>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2 2" xfId="16992" xr:uid="{E5F113E2-EC68-42F9-BED7-9BFB06F429DB}"/>
    <cellStyle name="Normal 4 4 3 2 2 5 2 3" xfId="12774" xr:uid="{66A4B6EC-F926-49DE-B34D-4D89DF6AD425}"/>
    <cellStyle name="Normal 4 4 3 2 2 5 3" xfId="6418" xr:uid="{00000000-0005-0000-0000-000075150000}"/>
    <cellStyle name="Normal 4 4 3 2 2 5 3 2" xfId="14847" xr:uid="{B6322F14-0718-43EA-A83D-05F6CB455294}"/>
    <cellStyle name="Normal 4 4 3 2 2 5 4" xfId="10629" xr:uid="{C45D3EEB-8A9A-4BC8-8E0E-C24C9DB4734B}"/>
    <cellStyle name="Normal 4 4 3 2 2 6" xfId="2546" xr:uid="{00000000-0005-0000-0000-000076150000}"/>
    <cellStyle name="Normal 4 4 3 2 2 6 2" xfId="6831" xr:uid="{00000000-0005-0000-0000-000077150000}"/>
    <cellStyle name="Normal 4 4 3 2 2 6 2 2" xfId="15260" xr:uid="{99B4BDF8-A91B-4F66-A6F8-E593BB6ADEBB}"/>
    <cellStyle name="Normal 4 4 3 2 2 6 3" xfId="11042" xr:uid="{771426F9-83D9-4E02-BE95-5E9C368FCB08}"/>
    <cellStyle name="Normal 4 4 3 2 2 7" xfId="4766" xr:uid="{00000000-0005-0000-0000-000078150000}"/>
    <cellStyle name="Normal 4 4 3 2 2 7 2" xfId="13195" xr:uid="{34DD3FA6-3175-47E7-A2FC-B2DC79793A4D}"/>
    <cellStyle name="Normal 4 4 3 2 2 8" xfId="8977" xr:uid="{EAE31D3C-B62D-44AA-8DE4-61D860D67CE5}"/>
    <cellStyle name="Normal 4 4 3 2 3" xfId="864" xr:uid="{00000000-0005-0000-0000-000079150000}"/>
    <cellStyle name="Normal 4 4 3 2 3 2" xfId="3099" xr:uid="{00000000-0005-0000-0000-00007A150000}"/>
    <cellStyle name="Normal 4 4 3 2 3 2 2" xfId="7323" xr:uid="{00000000-0005-0000-0000-00007B150000}"/>
    <cellStyle name="Normal 4 4 3 2 3 2 2 2" xfId="15752" xr:uid="{55A494D0-9441-4E75-B1C6-715B4877E5C9}"/>
    <cellStyle name="Normal 4 4 3 2 3 2 3" xfId="11534" xr:uid="{00542539-4260-4F65-AE44-54DF015E64BD}"/>
    <cellStyle name="Normal 4 4 3 2 3 3" xfId="5178" xr:uid="{00000000-0005-0000-0000-00007C150000}"/>
    <cellStyle name="Normal 4 4 3 2 3 3 2" xfId="13607" xr:uid="{4A967F8D-F327-4161-8B7D-3C5B89BBAD58}"/>
    <cellStyle name="Normal 4 4 3 2 3 4" xfId="9389" xr:uid="{9AE0FCFF-2A01-4FE9-9ADF-29F2D219D6DE}"/>
    <cellStyle name="Normal 4 4 3 2 4" xfId="1282" xr:uid="{00000000-0005-0000-0000-00007D150000}"/>
    <cellStyle name="Normal 4 4 3 2 4 2" xfId="3512" xr:uid="{00000000-0005-0000-0000-00007E150000}"/>
    <cellStyle name="Normal 4 4 3 2 4 2 2" xfId="7736" xr:uid="{00000000-0005-0000-0000-00007F150000}"/>
    <cellStyle name="Normal 4 4 3 2 4 2 2 2" xfId="16165" xr:uid="{9AB7F0E1-E904-44AA-89C3-1C6658869FD2}"/>
    <cellStyle name="Normal 4 4 3 2 4 2 3" xfId="11947" xr:uid="{3E15559B-5D08-4794-B239-CD5CF2299770}"/>
    <cellStyle name="Normal 4 4 3 2 4 3" xfId="5591" xr:uid="{00000000-0005-0000-0000-000080150000}"/>
    <cellStyle name="Normal 4 4 3 2 4 3 2" xfId="14020" xr:uid="{61A0BF19-0805-4AAF-8FF0-0FB2F0A9ED29}"/>
    <cellStyle name="Normal 4 4 3 2 4 4" xfId="9802" xr:uid="{D0FDB8C4-3D52-4AE1-BE42-2EFDEF19434D}"/>
    <cellStyle name="Normal 4 4 3 2 5" xfId="1695" xr:uid="{00000000-0005-0000-0000-000081150000}"/>
    <cellStyle name="Normal 4 4 3 2 5 2" xfId="3925" xr:uid="{00000000-0005-0000-0000-000082150000}"/>
    <cellStyle name="Normal 4 4 3 2 5 2 2" xfId="8149" xr:uid="{00000000-0005-0000-0000-000083150000}"/>
    <cellStyle name="Normal 4 4 3 2 5 2 2 2" xfId="16578" xr:uid="{24B029A3-AAF0-4E03-A7F5-1B38CD3CC557}"/>
    <cellStyle name="Normal 4 4 3 2 5 2 3" xfId="12360" xr:uid="{C19F7CB4-EFFD-41CB-9841-602B60E9D801}"/>
    <cellStyle name="Normal 4 4 3 2 5 3" xfId="6004" xr:uid="{00000000-0005-0000-0000-000084150000}"/>
    <cellStyle name="Normal 4 4 3 2 5 3 2" xfId="14433" xr:uid="{A5CBD1FB-66D9-42F8-8BD5-6EBA8947A5B5}"/>
    <cellStyle name="Normal 4 4 3 2 5 4" xfId="10215" xr:uid="{9FC7D408-42E6-48F0-B794-0492AD966BA5}"/>
    <cellStyle name="Normal 4 4 3 2 6" xfId="2109" xr:uid="{00000000-0005-0000-0000-000085150000}"/>
    <cellStyle name="Normal 4 4 3 2 6 2" xfId="4338" xr:uid="{00000000-0005-0000-0000-000086150000}"/>
    <cellStyle name="Normal 4 4 3 2 6 2 2" xfId="8562" xr:uid="{00000000-0005-0000-0000-000087150000}"/>
    <cellStyle name="Normal 4 4 3 2 6 2 2 2" xfId="16991" xr:uid="{B3580B1F-1FD4-4439-8D58-5884E1A17CF6}"/>
    <cellStyle name="Normal 4 4 3 2 6 2 3" xfId="12773" xr:uid="{58D64B12-560E-4B17-8C2C-63C48BAFC242}"/>
    <cellStyle name="Normal 4 4 3 2 6 3" xfId="6417" xr:uid="{00000000-0005-0000-0000-000088150000}"/>
    <cellStyle name="Normal 4 4 3 2 6 3 2" xfId="14846" xr:uid="{C1380A0A-9CAE-4F96-985D-DDA14A7C5E02}"/>
    <cellStyle name="Normal 4 4 3 2 6 4" xfId="10628" xr:uid="{BC380307-CA3D-4A08-B0AF-110630CB97C6}"/>
    <cellStyle name="Normal 4 4 3 2 7" xfId="2545" xr:uid="{00000000-0005-0000-0000-000089150000}"/>
    <cellStyle name="Normal 4 4 3 2 7 2" xfId="6830" xr:uid="{00000000-0005-0000-0000-00008A150000}"/>
    <cellStyle name="Normal 4 4 3 2 7 2 2" xfId="15259" xr:uid="{C8281526-B188-45D3-87A5-1D110E5C4F77}"/>
    <cellStyle name="Normal 4 4 3 2 7 3" xfId="11041" xr:uid="{83E805A8-ED2F-4090-8E66-AB11A6A34CCA}"/>
    <cellStyle name="Normal 4 4 3 2 8" xfId="4765" xr:uid="{00000000-0005-0000-0000-00008B150000}"/>
    <cellStyle name="Normal 4 4 3 2 8 2" xfId="13194" xr:uid="{FFAC3EA8-B526-4720-A099-8D946ACB695C}"/>
    <cellStyle name="Normal 4 4 3 2 9" xfId="8976" xr:uid="{56303CD8-A3FD-4DC3-8857-17F1BEEBAA9D}"/>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2 2" xfId="15754" xr:uid="{D3D063E9-F514-41EB-9185-B39F98768B96}"/>
    <cellStyle name="Normal 4 4 3 3 2 2 3" xfId="11536" xr:uid="{CA65CC1D-ECC7-4757-855C-8CA064638C4C}"/>
    <cellStyle name="Normal 4 4 3 3 2 3" xfId="5180" xr:uid="{00000000-0005-0000-0000-000090150000}"/>
    <cellStyle name="Normal 4 4 3 3 2 3 2" xfId="13609" xr:uid="{77DC68F7-AC7D-41F0-BE5A-E4793CFB6222}"/>
    <cellStyle name="Normal 4 4 3 3 2 4" xfId="9391" xr:uid="{078B71F3-3A71-450C-8013-07B1F760D6D8}"/>
    <cellStyle name="Normal 4 4 3 3 3" xfId="1284" xr:uid="{00000000-0005-0000-0000-000091150000}"/>
    <cellStyle name="Normal 4 4 3 3 3 2" xfId="3514" xr:uid="{00000000-0005-0000-0000-000092150000}"/>
    <cellStyle name="Normal 4 4 3 3 3 2 2" xfId="7738" xr:uid="{00000000-0005-0000-0000-000093150000}"/>
    <cellStyle name="Normal 4 4 3 3 3 2 2 2" xfId="16167" xr:uid="{13BF7691-505A-416F-9EF7-4D2F82221C5B}"/>
    <cellStyle name="Normal 4 4 3 3 3 2 3" xfId="11949" xr:uid="{BE76F459-FF2C-4862-88DA-AABF670B17B0}"/>
    <cellStyle name="Normal 4 4 3 3 3 3" xfId="5593" xr:uid="{00000000-0005-0000-0000-000094150000}"/>
    <cellStyle name="Normal 4 4 3 3 3 3 2" xfId="14022" xr:uid="{2A652C81-64B9-4A7C-8964-6A3CB67EA58E}"/>
    <cellStyle name="Normal 4 4 3 3 3 4" xfId="9804" xr:uid="{72A0F36C-C3E3-49C0-B74B-2E8E2E337CD2}"/>
    <cellStyle name="Normal 4 4 3 3 4" xfId="1697" xr:uid="{00000000-0005-0000-0000-000095150000}"/>
    <cellStyle name="Normal 4 4 3 3 4 2" xfId="3927" xr:uid="{00000000-0005-0000-0000-000096150000}"/>
    <cellStyle name="Normal 4 4 3 3 4 2 2" xfId="8151" xr:uid="{00000000-0005-0000-0000-000097150000}"/>
    <cellStyle name="Normal 4 4 3 3 4 2 2 2" xfId="16580" xr:uid="{59C01790-1ED1-4468-B0C1-5A81D747119D}"/>
    <cellStyle name="Normal 4 4 3 3 4 2 3" xfId="12362" xr:uid="{6E11166D-AFFC-425C-BB51-6FF995CB2123}"/>
    <cellStyle name="Normal 4 4 3 3 4 3" xfId="6006" xr:uid="{00000000-0005-0000-0000-000098150000}"/>
    <cellStyle name="Normal 4 4 3 3 4 3 2" xfId="14435" xr:uid="{3868A847-69D3-4412-9C2A-0D2A2546BD0B}"/>
    <cellStyle name="Normal 4 4 3 3 4 4" xfId="10217" xr:uid="{9BBF1AC9-B0B0-4745-8194-80440FAD7BFE}"/>
    <cellStyle name="Normal 4 4 3 3 5" xfId="2111" xr:uid="{00000000-0005-0000-0000-000099150000}"/>
    <cellStyle name="Normal 4 4 3 3 5 2" xfId="4340" xr:uid="{00000000-0005-0000-0000-00009A150000}"/>
    <cellStyle name="Normal 4 4 3 3 5 2 2" xfId="8564" xr:uid="{00000000-0005-0000-0000-00009B150000}"/>
    <cellStyle name="Normal 4 4 3 3 5 2 2 2" xfId="16993" xr:uid="{4BDB5B17-4068-4251-8FBC-06F7E0DB4C2D}"/>
    <cellStyle name="Normal 4 4 3 3 5 2 3" xfId="12775" xr:uid="{496032D7-6AF8-4393-95B7-03DD9C363FB2}"/>
    <cellStyle name="Normal 4 4 3 3 5 3" xfId="6419" xr:uid="{00000000-0005-0000-0000-00009C150000}"/>
    <cellStyle name="Normal 4 4 3 3 5 3 2" xfId="14848" xr:uid="{DE6B62D7-CE61-40B7-96FF-DEB48B0ECE22}"/>
    <cellStyle name="Normal 4 4 3 3 5 4" xfId="10630" xr:uid="{F5A7035F-AC39-4611-8243-AF83152C6B9F}"/>
    <cellStyle name="Normal 4 4 3 3 6" xfId="2547" xr:uid="{00000000-0005-0000-0000-00009D150000}"/>
    <cellStyle name="Normal 4 4 3 3 6 2" xfId="6832" xr:uid="{00000000-0005-0000-0000-00009E150000}"/>
    <cellStyle name="Normal 4 4 3 3 6 2 2" xfId="15261" xr:uid="{0DC34FCE-558D-43EA-8F46-1BE450738ED8}"/>
    <cellStyle name="Normal 4 4 3 3 6 3" xfId="11043" xr:uid="{3084BF6A-21EC-4405-B53C-DC4893829B03}"/>
    <cellStyle name="Normal 4 4 3 3 7" xfId="4767" xr:uid="{00000000-0005-0000-0000-00009F150000}"/>
    <cellStyle name="Normal 4 4 3 3 7 2" xfId="13196" xr:uid="{46C87AFB-0507-47FE-9D49-0E3117A6332F}"/>
    <cellStyle name="Normal 4 4 3 3 8" xfId="8978" xr:uid="{EFC87988-B422-4FB1-88F4-DCC290D552F0}"/>
    <cellStyle name="Normal 4 4 3 4" xfId="863" xr:uid="{00000000-0005-0000-0000-0000A0150000}"/>
    <cellStyle name="Normal 4 4 3 4 2" xfId="3098" xr:uid="{00000000-0005-0000-0000-0000A1150000}"/>
    <cellStyle name="Normal 4 4 3 4 2 2" xfId="7322" xr:uid="{00000000-0005-0000-0000-0000A2150000}"/>
    <cellStyle name="Normal 4 4 3 4 2 2 2" xfId="15751" xr:uid="{149248BB-4989-4DB3-991C-EA2D12F59342}"/>
    <cellStyle name="Normal 4 4 3 4 2 3" xfId="11533" xr:uid="{C67F3C2A-FC19-4551-ACB6-D23A598EAC5D}"/>
    <cellStyle name="Normal 4 4 3 4 3" xfId="5177" xr:uid="{00000000-0005-0000-0000-0000A3150000}"/>
    <cellStyle name="Normal 4 4 3 4 3 2" xfId="13606" xr:uid="{B67561E8-EF18-4525-8564-54F087869D44}"/>
    <cellStyle name="Normal 4 4 3 4 4" xfId="9388" xr:uid="{1C5494FB-9BF2-47C5-A519-CD77237F9E51}"/>
    <cellStyle name="Normal 4 4 3 5" xfId="1281" xr:uid="{00000000-0005-0000-0000-0000A4150000}"/>
    <cellStyle name="Normal 4 4 3 5 2" xfId="3511" xr:uid="{00000000-0005-0000-0000-0000A5150000}"/>
    <cellStyle name="Normal 4 4 3 5 2 2" xfId="7735" xr:uid="{00000000-0005-0000-0000-0000A6150000}"/>
    <cellStyle name="Normal 4 4 3 5 2 2 2" xfId="16164" xr:uid="{BC511253-650E-4EDE-B58B-7008056F2864}"/>
    <cellStyle name="Normal 4 4 3 5 2 3" xfId="11946" xr:uid="{3AB74C1B-89EE-43F4-8A8A-22593E8341FC}"/>
    <cellStyle name="Normal 4 4 3 5 3" xfId="5590" xr:uid="{00000000-0005-0000-0000-0000A7150000}"/>
    <cellStyle name="Normal 4 4 3 5 3 2" xfId="14019" xr:uid="{D43F767D-8F1B-421C-841F-331474DCF542}"/>
    <cellStyle name="Normal 4 4 3 5 4" xfId="9801" xr:uid="{408478BD-A1B5-4655-BA94-D865A8580C80}"/>
    <cellStyle name="Normal 4 4 3 6" xfId="1694" xr:uid="{00000000-0005-0000-0000-0000A8150000}"/>
    <cellStyle name="Normal 4 4 3 6 2" xfId="3924" xr:uid="{00000000-0005-0000-0000-0000A9150000}"/>
    <cellStyle name="Normal 4 4 3 6 2 2" xfId="8148" xr:uid="{00000000-0005-0000-0000-0000AA150000}"/>
    <cellStyle name="Normal 4 4 3 6 2 2 2" xfId="16577" xr:uid="{723F99C9-6D2C-4E52-9CED-FC1FD8F34204}"/>
    <cellStyle name="Normal 4 4 3 6 2 3" xfId="12359" xr:uid="{3022C62E-17ED-499A-9F2C-579CB813FAC7}"/>
    <cellStyle name="Normal 4 4 3 6 3" xfId="6003" xr:uid="{00000000-0005-0000-0000-0000AB150000}"/>
    <cellStyle name="Normal 4 4 3 6 3 2" xfId="14432" xr:uid="{7033B47F-6409-4DC0-A0B7-B0DDD348F9E8}"/>
    <cellStyle name="Normal 4 4 3 6 4" xfId="10214" xr:uid="{B10EC36D-D2BB-44E2-A2BD-D531A852BE20}"/>
    <cellStyle name="Normal 4 4 3 7" xfId="2108" xr:uid="{00000000-0005-0000-0000-0000AC150000}"/>
    <cellStyle name="Normal 4 4 3 7 2" xfId="4337" xr:uid="{00000000-0005-0000-0000-0000AD150000}"/>
    <cellStyle name="Normal 4 4 3 7 2 2" xfId="8561" xr:uid="{00000000-0005-0000-0000-0000AE150000}"/>
    <cellStyle name="Normal 4 4 3 7 2 2 2" xfId="16990" xr:uid="{BAE8E6B4-AC06-49A2-9CC6-F0E42F42ACD7}"/>
    <cellStyle name="Normal 4 4 3 7 2 3" xfId="12772" xr:uid="{96EDE5EA-4CDD-4D18-8549-349E676631B1}"/>
    <cellStyle name="Normal 4 4 3 7 3" xfId="6416" xr:uid="{00000000-0005-0000-0000-0000AF150000}"/>
    <cellStyle name="Normal 4 4 3 7 3 2" xfId="14845" xr:uid="{88B935CA-73AC-4F75-8776-E1B422CFC6DE}"/>
    <cellStyle name="Normal 4 4 3 7 4" xfId="10627" xr:uid="{D873255E-422C-4BD2-948D-B0BF6D0F920C}"/>
    <cellStyle name="Normal 4 4 3 8" xfId="2544" xr:uid="{00000000-0005-0000-0000-0000B0150000}"/>
    <cellStyle name="Normal 4 4 3 8 2" xfId="6829" xr:uid="{00000000-0005-0000-0000-0000B1150000}"/>
    <cellStyle name="Normal 4 4 3 8 2 2" xfId="15258" xr:uid="{C2E58331-2C8E-4504-8A00-69E4BE186E4E}"/>
    <cellStyle name="Normal 4 4 3 8 3" xfId="11040" xr:uid="{9175B360-1BBF-4C6C-A1E0-24204BABEBFF}"/>
    <cellStyle name="Normal 4 4 3 9" xfId="4764" xr:uid="{00000000-0005-0000-0000-0000B2150000}"/>
    <cellStyle name="Normal 4 4 3 9 2" xfId="13193" xr:uid="{F8DD7E60-CA7D-4AE2-BA05-3AF96BE02D73}"/>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2 2" xfId="15756" xr:uid="{18969AF1-9081-4B0B-BA69-1010A7BCEBA1}"/>
    <cellStyle name="Normal 4 4 4 2 2 2 3" xfId="11538" xr:uid="{7018B3F8-9500-4C75-B0F3-5EE6D643ECD2}"/>
    <cellStyle name="Normal 4 4 4 2 2 3" xfId="5182" xr:uid="{00000000-0005-0000-0000-0000B8150000}"/>
    <cellStyle name="Normal 4 4 4 2 2 3 2" xfId="13611" xr:uid="{8E270619-8BE8-4AE6-BB65-D6E486B5F07C}"/>
    <cellStyle name="Normal 4 4 4 2 2 4" xfId="9393" xr:uid="{2C1FCB7C-476D-4B7A-B570-FB6EAEC30446}"/>
    <cellStyle name="Normal 4 4 4 2 3" xfId="1286" xr:uid="{00000000-0005-0000-0000-0000B9150000}"/>
    <cellStyle name="Normal 4 4 4 2 3 2" xfId="3516" xr:uid="{00000000-0005-0000-0000-0000BA150000}"/>
    <cellStyle name="Normal 4 4 4 2 3 2 2" xfId="7740" xr:uid="{00000000-0005-0000-0000-0000BB150000}"/>
    <cellStyle name="Normal 4 4 4 2 3 2 2 2" xfId="16169" xr:uid="{999A9399-EB9C-4D15-98FA-3836A03D31DE}"/>
    <cellStyle name="Normal 4 4 4 2 3 2 3" xfId="11951" xr:uid="{29501C1D-92AE-43D1-BED6-D51E3C8A2035}"/>
    <cellStyle name="Normal 4 4 4 2 3 3" xfId="5595" xr:uid="{00000000-0005-0000-0000-0000BC150000}"/>
    <cellStyle name="Normal 4 4 4 2 3 3 2" xfId="14024" xr:uid="{1F86122F-4187-4575-B775-2C76832D5E34}"/>
    <cellStyle name="Normal 4 4 4 2 3 4" xfId="9806" xr:uid="{6788E905-9940-4A6A-9D58-23672E1A5B3B}"/>
    <cellStyle name="Normal 4 4 4 2 4" xfId="1699" xr:uid="{00000000-0005-0000-0000-0000BD150000}"/>
    <cellStyle name="Normal 4 4 4 2 4 2" xfId="3929" xr:uid="{00000000-0005-0000-0000-0000BE150000}"/>
    <cellStyle name="Normal 4 4 4 2 4 2 2" xfId="8153" xr:uid="{00000000-0005-0000-0000-0000BF150000}"/>
    <cellStyle name="Normal 4 4 4 2 4 2 2 2" xfId="16582" xr:uid="{01B11A62-919A-4CF9-8810-BFE5F8DBA5B8}"/>
    <cellStyle name="Normal 4 4 4 2 4 2 3" xfId="12364" xr:uid="{004A923D-D90A-41F2-8E51-0403DA7225AB}"/>
    <cellStyle name="Normal 4 4 4 2 4 3" xfId="6008" xr:uid="{00000000-0005-0000-0000-0000C0150000}"/>
    <cellStyle name="Normal 4 4 4 2 4 3 2" xfId="14437" xr:uid="{BAA23BD3-744B-4F18-99A1-D2D1DB08D347}"/>
    <cellStyle name="Normal 4 4 4 2 4 4" xfId="10219" xr:uid="{801D7826-D822-44F2-BA6F-8080AC765338}"/>
    <cellStyle name="Normal 4 4 4 2 5" xfId="2113" xr:uid="{00000000-0005-0000-0000-0000C1150000}"/>
    <cellStyle name="Normal 4 4 4 2 5 2" xfId="4342" xr:uid="{00000000-0005-0000-0000-0000C2150000}"/>
    <cellStyle name="Normal 4 4 4 2 5 2 2" xfId="8566" xr:uid="{00000000-0005-0000-0000-0000C3150000}"/>
    <cellStyle name="Normal 4 4 4 2 5 2 2 2" xfId="16995" xr:uid="{549BCC87-9057-4D50-9860-EB9EE60558B8}"/>
    <cellStyle name="Normal 4 4 4 2 5 2 3" xfId="12777" xr:uid="{B3E91751-964A-4086-998E-4805A649D0F9}"/>
    <cellStyle name="Normal 4 4 4 2 5 3" xfId="6421" xr:uid="{00000000-0005-0000-0000-0000C4150000}"/>
    <cellStyle name="Normal 4 4 4 2 5 3 2" xfId="14850" xr:uid="{8EB767EA-8211-43CE-896A-F72693E92695}"/>
    <cellStyle name="Normal 4 4 4 2 5 4" xfId="10632" xr:uid="{9B09E929-516D-444E-9B23-38E70EF0E77C}"/>
    <cellStyle name="Normal 4 4 4 2 6" xfId="2549" xr:uid="{00000000-0005-0000-0000-0000C5150000}"/>
    <cellStyle name="Normal 4 4 4 2 6 2" xfId="6834" xr:uid="{00000000-0005-0000-0000-0000C6150000}"/>
    <cellStyle name="Normal 4 4 4 2 6 2 2" xfId="15263" xr:uid="{A5AA5F1E-4F5A-4CCC-B154-A9B030C20378}"/>
    <cellStyle name="Normal 4 4 4 2 6 3" xfId="11045" xr:uid="{73B9EF55-F14F-4EF2-852F-CD10694CC8C0}"/>
    <cellStyle name="Normal 4 4 4 2 7" xfId="4769" xr:uid="{00000000-0005-0000-0000-0000C7150000}"/>
    <cellStyle name="Normal 4 4 4 2 7 2" xfId="13198" xr:uid="{63F7AD2C-254B-44B0-A55E-6369D026409A}"/>
    <cellStyle name="Normal 4 4 4 2 8" xfId="8980" xr:uid="{1559B263-2B70-4EFE-8C75-34DC6A9E41B2}"/>
    <cellStyle name="Normal 4 4 4 3" xfId="867" xr:uid="{00000000-0005-0000-0000-0000C8150000}"/>
    <cellStyle name="Normal 4 4 4 3 2" xfId="3102" xr:uid="{00000000-0005-0000-0000-0000C9150000}"/>
    <cellStyle name="Normal 4 4 4 3 2 2" xfId="7326" xr:uid="{00000000-0005-0000-0000-0000CA150000}"/>
    <cellStyle name="Normal 4 4 4 3 2 2 2" xfId="15755" xr:uid="{48B06A24-6FF9-43C9-A297-27A217204B73}"/>
    <cellStyle name="Normal 4 4 4 3 2 3" xfId="11537" xr:uid="{BB2CBA1A-C2BD-4A41-8829-55191A3F0AC8}"/>
    <cellStyle name="Normal 4 4 4 3 3" xfId="5181" xr:uid="{00000000-0005-0000-0000-0000CB150000}"/>
    <cellStyle name="Normal 4 4 4 3 3 2" xfId="13610" xr:uid="{EEABE375-D84A-49DA-AF67-195A3EEB4181}"/>
    <cellStyle name="Normal 4 4 4 3 4" xfId="9392" xr:uid="{09C788D1-269D-48C6-9E6E-FCA9B9966541}"/>
    <cellStyle name="Normal 4 4 4 4" xfId="1285" xr:uid="{00000000-0005-0000-0000-0000CC150000}"/>
    <cellStyle name="Normal 4 4 4 4 2" xfId="3515" xr:uid="{00000000-0005-0000-0000-0000CD150000}"/>
    <cellStyle name="Normal 4 4 4 4 2 2" xfId="7739" xr:uid="{00000000-0005-0000-0000-0000CE150000}"/>
    <cellStyle name="Normal 4 4 4 4 2 2 2" xfId="16168" xr:uid="{80B5A637-4B8A-426F-8A24-E02F49FB33D2}"/>
    <cellStyle name="Normal 4 4 4 4 2 3" xfId="11950" xr:uid="{114CCF56-79E6-4B7B-843E-8FFD75E3844D}"/>
    <cellStyle name="Normal 4 4 4 4 3" xfId="5594" xr:uid="{00000000-0005-0000-0000-0000CF150000}"/>
    <cellStyle name="Normal 4 4 4 4 3 2" xfId="14023" xr:uid="{9175A6AB-4E33-4462-9119-839B59172456}"/>
    <cellStyle name="Normal 4 4 4 4 4" xfId="9805" xr:uid="{8404DF7D-7247-4606-BE07-B1188965FC6D}"/>
    <cellStyle name="Normal 4 4 4 5" xfId="1698" xr:uid="{00000000-0005-0000-0000-0000D0150000}"/>
    <cellStyle name="Normal 4 4 4 5 2" xfId="3928" xr:uid="{00000000-0005-0000-0000-0000D1150000}"/>
    <cellStyle name="Normal 4 4 4 5 2 2" xfId="8152" xr:uid="{00000000-0005-0000-0000-0000D2150000}"/>
    <cellStyle name="Normal 4 4 4 5 2 2 2" xfId="16581" xr:uid="{069B23BE-6C1C-4833-A2B7-2822F87D42DE}"/>
    <cellStyle name="Normal 4 4 4 5 2 3" xfId="12363" xr:uid="{610FFFF2-4617-439D-8173-5BEB05662B22}"/>
    <cellStyle name="Normal 4 4 4 5 3" xfId="6007" xr:uid="{00000000-0005-0000-0000-0000D3150000}"/>
    <cellStyle name="Normal 4 4 4 5 3 2" xfId="14436" xr:uid="{4D034B25-51D0-4263-B7BC-EC6283E46DB8}"/>
    <cellStyle name="Normal 4 4 4 5 4" xfId="10218" xr:uid="{C61B09B1-0EA0-499D-98E0-AF67A563594D}"/>
    <cellStyle name="Normal 4 4 4 6" xfId="2112" xr:uid="{00000000-0005-0000-0000-0000D4150000}"/>
    <cellStyle name="Normal 4 4 4 6 2" xfId="4341" xr:uid="{00000000-0005-0000-0000-0000D5150000}"/>
    <cellStyle name="Normal 4 4 4 6 2 2" xfId="8565" xr:uid="{00000000-0005-0000-0000-0000D6150000}"/>
    <cellStyle name="Normal 4 4 4 6 2 2 2" xfId="16994" xr:uid="{B03065EA-16FB-4B88-A331-3DD16E9427AA}"/>
    <cellStyle name="Normal 4 4 4 6 2 3" xfId="12776" xr:uid="{AD01123A-2548-4666-9697-C9F608B4569F}"/>
    <cellStyle name="Normal 4 4 4 6 3" xfId="6420" xr:uid="{00000000-0005-0000-0000-0000D7150000}"/>
    <cellStyle name="Normal 4 4 4 6 3 2" xfId="14849" xr:uid="{74BD8149-E548-490C-84F0-8969D596268D}"/>
    <cellStyle name="Normal 4 4 4 6 4" xfId="10631" xr:uid="{54B37B3F-0BDB-4FA9-9404-3278EC2ADEB1}"/>
    <cellStyle name="Normal 4 4 4 7" xfId="2548" xr:uid="{00000000-0005-0000-0000-0000D8150000}"/>
    <cellStyle name="Normal 4 4 4 7 2" xfId="6833" xr:uid="{00000000-0005-0000-0000-0000D9150000}"/>
    <cellStyle name="Normal 4 4 4 7 2 2" xfId="15262" xr:uid="{C69E8691-46EF-4E08-AF89-D0C46E33E3A4}"/>
    <cellStyle name="Normal 4 4 4 7 3" xfId="11044" xr:uid="{79BD6A4B-F048-4A6A-8194-37415872D425}"/>
    <cellStyle name="Normal 4 4 4 8" xfId="4768" xr:uid="{00000000-0005-0000-0000-0000DA150000}"/>
    <cellStyle name="Normal 4 4 4 8 2" xfId="13197" xr:uid="{B8A9B84B-C99B-4632-87C1-F24021984679}"/>
    <cellStyle name="Normal 4 4 4 9" xfId="8979" xr:uid="{439C6175-4691-4415-BCE7-1A5AAE889563}"/>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2 2" xfId="15757" xr:uid="{147055C4-B2B2-43DF-B2C0-CEECCDEDD73D}"/>
    <cellStyle name="Normal 4 4 5 2 2 3" xfId="11539" xr:uid="{B6464A3C-8048-4EC1-980F-837FC953CE3A}"/>
    <cellStyle name="Normal 4 4 5 2 3" xfId="5183" xr:uid="{00000000-0005-0000-0000-0000DF150000}"/>
    <cellStyle name="Normal 4 4 5 2 3 2" xfId="13612" xr:uid="{6B952645-AC81-491B-B682-0066500BEBE2}"/>
    <cellStyle name="Normal 4 4 5 2 4" xfId="9394" xr:uid="{2874B32A-591D-4C3C-9C17-6515C2DBAD13}"/>
    <cellStyle name="Normal 4 4 5 3" xfId="1287" xr:uid="{00000000-0005-0000-0000-0000E0150000}"/>
    <cellStyle name="Normal 4 4 5 3 2" xfId="3517" xr:uid="{00000000-0005-0000-0000-0000E1150000}"/>
    <cellStyle name="Normal 4 4 5 3 2 2" xfId="7741" xr:uid="{00000000-0005-0000-0000-0000E2150000}"/>
    <cellStyle name="Normal 4 4 5 3 2 2 2" xfId="16170" xr:uid="{EA4D24AA-1E9C-4964-A726-1C4FD7414CDB}"/>
    <cellStyle name="Normal 4 4 5 3 2 3" xfId="11952" xr:uid="{E86137EE-E065-460F-BDBE-A1650E6BD5AE}"/>
    <cellStyle name="Normal 4 4 5 3 3" xfId="5596" xr:uid="{00000000-0005-0000-0000-0000E3150000}"/>
    <cellStyle name="Normal 4 4 5 3 3 2" xfId="14025" xr:uid="{F2C1B6A7-D0E3-4669-985F-76C9E1FE4CC8}"/>
    <cellStyle name="Normal 4 4 5 3 4" xfId="9807" xr:uid="{819A282F-0CC4-4137-901E-2147CB752964}"/>
    <cellStyle name="Normal 4 4 5 4" xfId="1700" xr:uid="{00000000-0005-0000-0000-0000E4150000}"/>
    <cellStyle name="Normal 4 4 5 4 2" xfId="3930" xr:uid="{00000000-0005-0000-0000-0000E5150000}"/>
    <cellStyle name="Normal 4 4 5 4 2 2" xfId="8154" xr:uid="{00000000-0005-0000-0000-0000E6150000}"/>
    <cellStyle name="Normal 4 4 5 4 2 2 2" xfId="16583" xr:uid="{F6004753-4350-4F0D-A50F-3C3A7FEC6CC3}"/>
    <cellStyle name="Normal 4 4 5 4 2 3" xfId="12365" xr:uid="{B4CB0339-BA32-43F1-8E90-CC2EF3E157A7}"/>
    <cellStyle name="Normal 4 4 5 4 3" xfId="6009" xr:uid="{00000000-0005-0000-0000-0000E7150000}"/>
    <cellStyle name="Normal 4 4 5 4 3 2" xfId="14438" xr:uid="{0FC19153-BEDB-4C48-BDB1-033C663710CD}"/>
    <cellStyle name="Normal 4 4 5 4 4" xfId="10220" xr:uid="{A6CB51BA-45E8-4AFA-88A5-8E739E3ADD0E}"/>
    <cellStyle name="Normal 4 4 5 5" xfId="2114" xr:uid="{00000000-0005-0000-0000-0000E8150000}"/>
    <cellStyle name="Normal 4 4 5 5 2" xfId="4343" xr:uid="{00000000-0005-0000-0000-0000E9150000}"/>
    <cellStyle name="Normal 4 4 5 5 2 2" xfId="8567" xr:uid="{00000000-0005-0000-0000-0000EA150000}"/>
    <cellStyle name="Normal 4 4 5 5 2 2 2" xfId="16996" xr:uid="{4C225005-2AAD-4588-9450-81AC2C156097}"/>
    <cellStyle name="Normal 4 4 5 5 2 3" xfId="12778" xr:uid="{28780928-B223-46AF-B0FA-22A2E92E361F}"/>
    <cellStyle name="Normal 4 4 5 5 3" xfId="6422" xr:uid="{00000000-0005-0000-0000-0000EB150000}"/>
    <cellStyle name="Normal 4 4 5 5 3 2" xfId="14851" xr:uid="{67472ACA-316C-477B-831E-56483A000ADC}"/>
    <cellStyle name="Normal 4 4 5 5 4" xfId="10633" xr:uid="{6CCE0111-426C-406E-9370-8B098160850E}"/>
    <cellStyle name="Normal 4 4 5 6" xfId="2550" xr:uid="{00000000-0005-0000-0000-0000EC150000}"/>
    <cellStyle name="Normal 4 4 5 6 2" xfId="6835" xr:uid="{00000000-0005-0000-0000-0000ED150000}"/>
    <cellStyle name="Normal 4 4 5 6 2 2" xfId="15264" xr:uid="{AA2C4147-D359-4397-8D1D-4F74B76D6BA6}"/>
    <cellStyle name="Normal 4 4 5 6 3" xfId="11046" xr:uid="{4FA361D2-634E-4586-9386-DAABC7E93E22}"/>
    <cellStyle name="Normal 4 4 5 7" xfId="4770" xr:uid="{00000000-0005-0000-0000-0000EE150000}"/>
    <cellStyle name="Normal 4 4 5 7 2" xfId="13199" xr:uid="{43D4AA61-4B81-47D9-9C5A-471ED72A48C3}"/>
    <cellStyle name="Normal 4 4 5 8" xfId="8981" xr:uid="{A55E4C40-6ABF-430A-99FE-3270E65F1658}"/>
    <cellStyle name="Normal 4 4 6" xfId="854" xr:uid="{00000000-0005-0000-0000-0000EF150000}"/>
    <cellStyle name="Normal 4 4 6 2" xfId="3089" xr:uid="{00000000-0005-0000-0000-0000F0150000}"/>
    <cellStyle name="Normal 4 4 6 2 2" xfId="7313" xr:uid="{00000000-0005-0000-0000-0000F1150000}"/>
    <cellStyle name="Normal 4 4 6 2 2 2" xfId="15742" xr:uid="{6756E695-C398-4AD9-87D4-2284B188332B}"/>
    <cellStyle name="Normal 4 4 6 2 3" xfId="11524" xr:uid="{B4890A88-59AA-4023-A075-C668C0A3BF3B}"/>
    <cellStyle name="Normal 4 4 6 3" xfId="5168" xr:uid="{00000000-0005-0000-0000-0000F2150000}"/>
    <cellStyle name="Normal 4 4 6 3 2" xfId="13597" xr:uid="{659CFA8E-2F01-458C-A879-5E4CCDD05C86}"/>
    <cellStyle name="Normal 4 4 6 4" xfId="9379" xr:uid="{BB4E1A7C-09B7-43AD-BCAD-8033DA32BA81}"/>
    <cellStyle name="Normal 4 4 7" xfId="1272" xr:uid="{00000000-0005-0000-0000-0000F3150000}"/>
    <cellStyle name="Normal 4 4 7 2" xfId="3502" xr:uid="{00000000-0005-0000-0000-0000F4150000}"/>
    <cellStyle name="Normal 4 4 7 2 2" xfId="7726" xr:uid="{00000000-0005-0000-0000-0000F5150000}"/>
    <cellStyle name="Normal 4 4 7 2 2 2" xfId="16155" xr:uid="{3C1B857B-7BD2-4EB9-97A2-390B0F3F9F16}"/>
    <cellStyle name="Normal 4 4 7 2 3" xfId="11937" xr:uid="{18BA455C-F8F1-4468-857B-F74D56966D0C}"/>
    <cellStyle name="Normal 4 4 7 3" xfId="5581" xr:uid="{00000000-0005-0000-0000-0000F6150000}"/>
    <cellStyle name="Normal 4 4 7 3 2" xfId="14010" xr:uid="{00BC2DD2-1515-4875-9BF7-3E405070867D}"/>
    <cellStyle name="Normal 4 4 7 4" xfId="9792" xr:uid="{23D6E8F1-F993-4F3A-AA62-4013864B4FD2}"/>
    <cellStyle name="Normal 4 4 8" xfId="1685" xr:uid="{00000000-0005-0000-0000-0000F7150000}"/>
    <cellStyle name="Normal 4 4 8 2" xfId="3915" xr:uid="{00000000-0005-0000-0000-0000F8150000}"/>
    <cellStyle name="Normal 4 4 8 2 2" xfId="8139" xr:uid="{00000000-0005-0000-0000-0000F9150000}"/>
    <cellStyle name="Normal 4 4 8 2 2 2" xfId="16568" xr:uid="{95D73CBC-4C75-4A68-BFA7-517B6D83B215}"/>
    <cellStyle name="Normal 4 4 8 2 3" xfId="12350" xr:uid="{56EE3295-E45E-4FA2-A864-35E92082EDF5}"/>
    <cellStyle name="Normal 4 4 8 3" xfId="5994" xr:uid="{00000000-0005-0000-0000-0000FA150000}"/>
    <cellStyle name="Normal 4 4 8 3 2" xfId="14423" xr:uid="{B7AC23B4-7946-4B08-8E81-CEB0DE5B116B}"/>
    <cellStyle name="Normal 4 4 8 4" xfId="10205" xr:uid="{7CB5BBFC-3057-4524-99EB-86F406D6F8FE}"/>
    <cellStyle name="Normal 4 4 9" xfId="2099" xr:uid="{00000000-0005-0000-0000-0000FB150000}"/>
    <cellStyle name="Normal 4 4 9 2" xfId="4328" xr:uid="{00000000-0005-0000-0000-0000FC150000}"/>
    <cellStyle name="Normal 4 4 9 2 2" xfId="8552" xr:uid="{00000000-0005-0000-0000-0000FD150000}"/>
    <cellStyle name="Normal 4 4 9 2 2 2" xfId="16981" xr:uid="{E1CF92A9-0A93-4550-9E80-9E25A4A26644}"/>
    <cellStyle name="Normal 4 4 9 2 3" xfId="12763" xr:uid="{B940EE5D-53E9-4A94-B0AF-02AD499F4627}"/>
    <cellStyle name="Normal 4 4 9 3" xfId="6407" xr:uid="{00000000-0005-0000-0000-0000FE150000}"/>
    <cellStyle name="Normal 4 4 9 3 2" xfId="14836" xr:uid="{7175F11E-1366-4D66-8607-62323FB7F05E}"/>
    <cellStyle name="Normal 4 4 9 4" xfId="10618" xr:uid="{68831761-2C2C-47D7-8693-A27959550D41}"/>
    <cellStyle name="Normal 4 5" xfId="394" xr:uid="{00000000-0005-0000-0000-0000FF150000}"/>
    <cellStyle name="Normal 4 6" xfId="395" xr:uid="{00000000-0005-0000-0000-000000160000}"/>
    <cellStyle name="Normal 4 6 10" xfId="4771" xr:uid="{00000000-0005-0000-0000-000001160000}"/>
    <cellStyle name="Normal 4 6 10 2" xfId="13200" xr:uid="{45A11A6E-1216-4540-8BCB-76DE07F3BE3E}"/>
    <cellStyle name="Normal 4 6 11" xfId="8982" xr:uid="{59F6727D-B05A-43E5-A19A-44843F925A3D}"/>
    <cellStyle name="Normal 4 6 2" xfId="396" xr:uid="{00000000-0005-0000-0000-000002160000}"/>
    <cellStyle name="Normal 4 6 2 10" xfId="8983" xr:uid="{644E5867-4A90-4CEB-B0DB-CC6AEF92580F}"/>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2 2" xfId="15761" xr:uid="{65F43840-3D68-4994-8E13-6E540EC2905A}"/>
    <cellStyle name="Normal 4 6 2 2 2 2 2 3" xfId="11543" xr:uid="{9789EAD9-DEF5-4FBF-BD25-BC61EF550ADB}"/>
    <cellStyle name="Normal 4 6 2 2 2 2 3" xfId="5187" xr:uid="{00000000-0005-0000-0000-000008160000}"/>
    <cellStyle name="Normal 4 6 2 2 2 2 3 2" xfId="13616" xr:uid="{05DFCEF2-905B-4105-83A3-B29AF8775D6E}"/>
    <cellStyle name="Normal 4 6 2 2 2 2 4" xfId="9398" xr:uid="{6B665741-8B71-40B6-95AF-4880D371DB2A}"/>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2 2" xfId="16174" xr:uid="{F407DF64-F508-411D-86A4-BE6C4CCA9045}"/>
    <cellStyle name="Normal 4 6 2 2 2 3 2 3" xfId="11956" xr:uid="{C12AC28C-C375-45A4-97E8-6DE5150E800D}"/>
    <cellStyle name="Normal 4 6 2 2 2 3 3" xfId="5600" xr:uid="{00000000-0005-0000-0000-00000C160000}"/>
    <cellStyle name="Normal 4 6 2 2 2 3 3 2" xfId="14029" xr:uid="{53EFEB47-8A41-4304-B93A-585DCFB8FC3C}"/>
    <cellStyle name="Normal 4 6 2 2 2 3 4" xfId="9811" xr:uid="{07E86389-BE97-4671-8FCC-0C670F25BB1F}"/>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2 2" xfId="16587" xr:uid="{740887F9-B00B-4C0B-B0D4-70FAC0E9AE00}"/>
    <cellStyle name="Normal 4 6 2 2 2 4 2 3" xfId="12369" xr:uid="{01CA278B-6B0E-4A03-8E54-DB78941C27C7}"/>
    <cellStyle name="Normal 4 6 2 2 2 4 3" xfId="6013" xr:uid="{00000000-0005-0000-0000-000010160000}"/>
    <cellStyle name="Normal 4 6 2 2 2 4 3 2" xfId="14442" xr:uid="{2391A87F-0217-455A-ADC8-F808F8BC23E3}"/>
    <cellStyle name="Normal 4 6 2 2 2 4 4" xfId="10224" xr:uid="{15D1A16A-65DD-4F96-B8F1-99AAB0B7BE6D}"/>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2 2" xfId="17000" xr:uid="{21931534-1378-4A67-AFE3-C1F399497D35}"/>
    <cellStyle name="Normal 4 6 2 2 2 5 2 3" xfId="12782" xr:uid="{71A92614-0CD9-4AB2-89CB-B8C18DB50C4D}"/>
    <cellStyle name="Normal 4 6 2 2 2 5 3" xfId="6426" xr:uid="{00000000-0005-0000-0000-000014160000}"/>
    <cellStyle name="Normal 4 6 2 2 2 5 3 2" xfId="14855" xr:uid="{D9634276-AABF-4741-B712-5AFB893CFB29}"/>
    <cellStyle name="Normal 4 6 2 2 2 5 4" xfId="10637" xr:uid="{FFBD6F9E-3B80-4E64-8B11-6D0B972C4147}"/>
    <cellStyle name="Normal 4 6 2 2 2 6" xfId="2554" xr:uid="{00000000-0005-0000-0000-000015160000}"/>
    <cellStyle name="Normal 4 6 2 2 2 6 2" xfId="6839" xr:uid="{00000000-0005-0000-0000-000016160000}"/>
    <cellStyle name="Normal 4 6 2 2 2 6 2 2" xfId="15268" xr:uid="{FC083F46-91D4-406A-902D-38A3709B73E6}"/>
    <cellStyle name="Normal 4 6 2 2 2 6 3" xfId="11050" xr:uid="{B3EFA253-1B16-4868-9A2B-6E382EA05B31}"/>
    <cellStyle name="Normal 4 6 2 2 2 7" xfId="4774" xr:uid="{00000000-0005-0000-0000-000017160000}"/>
    <cellStyle name="Normal 4 6 2 2 2 7 2" xfId="13203" xr:uid="{FA9F3E13-A496-4409-AC07-541FB3D9E0CD}"/>
    <cellStyle name="Normal 4 6 2 2 2 8" xfId="8985" xr:uid="{95EFD1B5-AC3F-4CED-9D1D-E355C7EC2AA9}"/>
    <cellStyle name="Normal 4 6 2 2 3" xfId="872" xr:uid="{00000000-0005-0000-0000-000018160000}"/>
    <cellStyle name="Normal 4 6 2 2 3 2" xfId="3107" xr:uid="{00000000-0005-0000-0000-000019160000}"/>
    <cellStyle name="Normal 4 6 2 2 3 2 2" xfId="7331" xr:uid="{00000000-0005-0000-0000-00001A160000}"/>
    <cellStyle name="Normal 4 6 2 2 3 2 2 2" xfId="15760" xr:uid="{FA05F1EE-5A08-4C6D-A486-D3764A7AD15A}"/>
    <cellStyle name="Normal 4 6 2 2 3 2 3" xfId="11542" xr:uid="{A1FF5FDA-6C04-476F-A874-A6C5D34B9682}"/>
    <cellStyle name="Normal 4 6 2 2 3 3" xfId="5186" xr:uid="{00000000-0005-0000-0000-00001B160000}"/>
    <cellStyle name="Normal 4 6 2 2 3 3 2" xfId="13615" xr:uid="{98FD21BE-F4A6-4DAC-9C98-0C6BF886022B}"/>
    <cellStyle name="Normal 4 6 2 2 3 4" xfId="9397" xr:uid="{BE07D095-08A4-4CAF-8FBB-E63327B2E5A1}"/>
    <cellStyle name="Normal 4 6 2 2 4" xfId="1290" xr:uid="{00000000-0005-0000-0000-00001C160000}"/>
    <cellStyle name="Normal 4 6 2 2 4 2" xfId="3520" xr:uid="{00000000-0005-0000-0000-00001D160000}"/>
    <cellStyle name="Normal 4 6 2 2 4 2 2" xfId="7744" xr:uid="{00000000-0005-0000-0000-00001E160000}"/>
    <cellStyle name="Normal 4 6 2 2 4 2 2 2" xfId="16173" xr:uid="{694FE00B-66A6-4861-B4A6-5A3C1BD54672}"/>
    <cellStyle name="Normal 4 6 2 2 4 2 3" xfId="11955" xr:uid="{86B5AA38-E42A-4546-983A-140CC8BD0523}"/>
    <cellStyle name="Normal 4 6 2 2 4 3" xfId="5599" xr:uid="{00000000-0005-0000-0000-00001F160000}"/>
    <cellStyle name="Normal 4 6 2 2 4 3 2" xfId="14028" xr:uid="{3E9DBC9D-1EBF-465B-8103-C6057778BFDB}"/>
    <cellStyle name="Normal 4 6 2 2 4 4" xfId="9810" xr:uid="{D1EAD262-E414-42CA-9976-4F3411593BA0}"/>
    <cellStyle name="Normal 4 6 2 2 5" xfId="1703" xr:uid="{00000000-0005-0000-0000-000020160000}"/>
    <cellStyle name="Normal 4 6 2 2 5 2" xfId="3933" xr:uid="{00000000-0005-0000-0000-000021160000}"/>
    <cellStyle name="Normal 4 6 2 2 5 2 2" xfId="8157" xr:uid="{00000000-0005-0000-0000-000022160000}"/>
    <cellStyle name="Normal 4 6 2 2 5 2 2 2" xfId="16586" xr:uid="{EB22B5CA-C3F7-4FCC-8FA8-2C8D5ED4D42C}"/>
    <cellStyle name="Normal 4 6 2 2 5 2 3" xfId="12368" xr:uid="{8A018DEB-7F22-4E1A-B905-5D43B6EBE257}"/>
    <cellStyle name="Normal 4 6 2 2 5 3" xfId="6012" xr:uid="{00000000-0005-0000-0000-000023160000}"/>
    <cellStyle name="Normal 4 6 2 2 5 3 2" xfId="14441" xr:uid="{CAF1A5EE-C02A-49CA-A5B6-8277BC043509}"/>
    <cellStyle name="Normal 4 6 2 2 5 4" xfId="10223" xr:uid="{43C1F881-C0E1-4C7A-A4CD-5BA7D7995901}"/>
    <cellStyle name="Normal 4 6 2 2 6" xfId="2117" xr:uid="{00000000-0005-0000-0000-000024160000}"/>
    <cellStyle name="Normal 4 6 2 2 6 2" xfId="4346" xr:uid="{00000000-0005-0000-0000-000025160000}"/>
    <cellStyle name="Normal 4 6 2 2 6 2 2" xfId="8570" xr:uid="{00000000-0005-0000-0000-000026160000}"/>
    <cellStyle name="Normal 4 6 2 2 6 2 2 2" xfId="16999" xr:uid="{1EE646B0-0602-4F56-AB92-26F271240664}"/>
    <cellStyle name="Normal 4 6 2 2 6 2 3" xfId="12781" xr:uid="{94511246-D996-4857-905D-73074F3BC62B}"/>
    <cellStyle name="Normal 4 6 2 2 6 3" xfId="6425" xr:uid="{00000000-0005-0000-0000-000027160000}"/>
    <cellStyle name="Normal 4 6 2 2 6 3 2" xfId="14854" xr:uid="{E56FAB27-86CF-43E0-9430-B595A208DA4D}"/>
    <cellStyle name="Normal 4 6 2 2 6 4" xfId="10636" xr:uid="{26F9837A-37B3-436A-93E1-5ECD851C3D19}"/>
    <cellStyle name="Normal 4 6 2 2 7" xfId="2553" xr:uid="{00000000-0005-0000-0000-000028160000}"/>
    <cellStyle name="Normal 4 6 2 2 7 2" xfId="6838" xr:uid="{00000000-0005-0000-0000-000029160000}"/>
    <cellStyle name="Normal 4 6 2 2 7 2 2" xfId="15267" xr:uid="{1DE89B24-A1DF-495B-B606-5DA6FF2E1544}"/>
    <cellStyle name="Normal 4 6 2 2 7 3" xfId="11049" xr:uid="{3DA36493-59D3-4FFE-A5D4-DD7BAC9A4C0D}"/>
    <cellStyle name="Normal 4 6 2 2 8" xfId="4773" xr:uid="{00000000-0005-0000-0000-00002A160000}"/>
    <cellStyle name="Normal 4 6 2 2 8 2" xfId="13202" xr:uid="{26436057-CDBB-4902-8CF5-34A971E27E23}"/>
    <cellStyle name="Normal 4 6 2 2 9" xfId="8984" xr:uid="{1FFDFCF7-FAD2-4F8B-AE80-460CECFA8568}"/>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2 2" xfId="15762" xr:uid="{43511CFD-E144-4FA0-A9A6-45BA9D417330}"/>
    <cellStyle name="Normal 4 6 2 3 2 2 3" xfId="11544" xr:uid="{B457947B-16F4-4C1E-9C2D-CDCC7E441F04}"/>
    <cellStyle name="Normal 4 6 2 3 2 3" xfId="5188" xr:uid="{00000000-0005-0000-0000-00002F160000}"/>
    <cellStyle name="Normal 4 6 2 3 2 3 2" xfId="13617" xr:uid="{0E56F067-B060-4009-B1D9-0E29760635CD}"/>
    <cellStyle name="Normal 4 6 2 3 2 4" xfId="9399" xr:uid="{5C5C5DA0-EACE-4FFA-B631-5FE90DF3F856}"/>
    <cellStyle name="Normal 4 6 2 3 3" xfId="1292" xr:uid="{00000000-0005-0000-0000-000030160000}"/>
    <cellStyle name="Normal 4 6 2 3 3 2" xfId="3522" xr:uid="{00000000-0005-0000-0000-000031160000}"/>
    <cellStyle name="Normal 4 6 2 3 3 2 2" xfId="7746" xr:uid="{00000000-0005-0000-0000-000032160000}"/>
    <cellStyle name="Normal 4 6 2 3 3 2 2 2" xfId="16175" xr:uid="{ABBB5F39-BA1F-443E-8D92-DD8E4BA66AFE}"/>
    <cellStyle name="Normal 4 6 2 3 3 2 3" xfId="11957" xr:uid="{34CA16D3-BB4B-484B-A19A-222CAA06A3CC}"/>
    <cellStyle name="Normal 4 6 2 3 3 3" xfId="5601" xr:uid="{00000000-0005-0000-0000-000033160000}"/>
    <cellStyle name="Normal 4 6 2 3 3 3 2" xfId="14030" xr:uid="{7A05A46B-2090-48EB-A256-EDDCC1E8E68F}"/>
    <cellStyle name="Normal 4 6 2 3 3 4" xfId="9812" xr:uid="{A4DBA335-93FC-4DBB-9063-582B4B2A314F}"/>
    <cellStyle name="Normal 4 6 2 3 4" xfId="1705" xr:uid="{00000000-0005-0000-0000-000034160000}"/>
    <cellStyle name="Normal 4 6 2 3 4 2" xfId="3935" xr:uid="{00000000-0005-0000-0000-000035160000}"/>
    <cellStyle name="Normal 4 6 2 3 4 2 2" xfId="8159" xr:uid="{00000000-0005-0000-0000-000036160000}"/>
    <cellStyle name="Normal 4 6 2 3 4 2 2 2" xfId="16588" xr:uid="{6661995D-0D16-47AC-B6B2-F1B21A6F8042}"/>
    <cellStyle name="Normal 4 6 2 3 4 2 3" xfId="12370" xr:uid="{52AA70BC-509A-46FE-8422-2114C10DCBAC}"/>
    <cellStyle name="Normal 4 6 2 3 4 3" xfId="6014" xr:uid="{00000000-0005-0000-0000-000037160000}"/>
    <cellStyle name="Normal 4 6 2 3 4 3 2" xfId="14443" xr:uid="{330329FB-EC1D-4BAD-9F94-24FC5438850C}"/>
    <cellStyle name="Normal 4 6 2 3 4 4" xfId="10225" xr:uid="{0D019A54-8E27-442A-ABB5-0F829D783CD6}"/>
    <cellStyle name="Normal 4 6 2 3 5" xfId="2119" xr:uid="{00000000-0005-0000-0000-000038160000}"/>
    <cellStyle name="Normal 4 6 2 3 5 2" xfId="4348" xr:uid="{00000000-0005-0000-0000-000039160000}"/>
    <cellStyle name="Normal 4 6 2 3 5 2 2" xfId="8572" xr:uid="{00000000-0005-0000-0000-00003A160000}"/>
    <cellStyle name="Normal 4 6 2 3 5 2 2 2" xfId="17001" xr:uid="{644012F0-8643-4A00-A1B3-D6E4B57E72F7}"/>
    <cellStyle name="Normal 4 6 2 3 5 2 3" xfId="12783" xr:uid="{E7339655-42AE-40D0-BBFA-DAD1333FFC19}"/>
    <cellStyle name="Normal 4 6 2 3 5 3" xfId="6427" xr:uid="{00000000-0005-0000-0000-00003B160000}"/>
    <cellStyle name="Normal 4 6 2 3 5 3 2" xfId="14856" xr:uid="{2190A6DC-FCFC-45AE-A4C8-82EF2C04DFE9}"/>
    <cellStyle name="Normal 4 6 2 3 5 4" xfId="10638" xr:uid="{9F2164E6-D106-407D-AC7C-66B33B9E70A0}"/>
    <cellStyle name="Normal 4 6 2 3 6" xfId="2555" xr:uid="{00000000-0005-0000-0000-00003C160000}"/>
    <cellStyle name="Normal 4 6 2 3 6 2" xfId="6840" xr:uid="{00000000-0005-0000-0000-00003D160000}"/>
    <cellStyle name="Normal 4 6 2 3 6 2 2" xfId="15269" xr:uid="{531669C5-72B1-4043-AD3B-E0213B48348F}"/>
    <cellStyle name="Normal 4 6 2 3 6 3" xfId="11051" xr:uid="{34DB5112-2D36-4CB1-A452-8DD38C6F9767}"/>
    <cellStyle name="Normal 4 6 2 3 7" xfId="4775" xr:uid="{00000000-0005-0000-0000-00003E160000}"/>
    <cellStyle name="Normal 4 6 2 3 7 2" xfId="13204" xr:uid="{26E0FA8E-A487-492E-ADBA-E76BB66ABFA7}"/>
    <cellStyle name="Normal 4 6 2 3 8" xfId="8986" xr:uid="{3F0CF2E7-6765-4490-B31B-8875183341F6}"/>
    <cellStyle name="Normal 4 6 2 4" xfId="871" xr:uid="{00000000-0005-0000-0000-00003F160000}"/>
    <cellStyle name="Normal 4 6 2 4 2" xfId="3106" xr:uid="{00000000-0005-0000-0000-000040160000}"/>
    <cellStyle name="Normal 4 6 2 4 2 2" xfId="7330" xr:uid="{00000000-0005-0000-0000-000041160000}"/>
    <cellStyle name="Normal 4 6 2 4 2 2 2" xfId="15759" xr:uid="{4F85DD0C-6106-4EDC-B11A-4A23036DE45A}"/>
    <cellStyle name="Normal 4 6 2 4 2 3" xfId="11541" xr:uid="{757609BF-A115-4F1B-A2EC-44DEC1C82800}"/>
    <cellStyle name="Normal 4 6 2 4 3" xfId="5185" xr:uid="{00000000-0005-0000-0000-000042160000}"/>
    <cellStyle name="Normal 4 6 2 4 3 2" xfId="13614" xr:uid="{B3AF0833-750C-4586-9072-11764229F9AC}"/>
    <cellStyle name="Normal 4 6 2 4 4" xfId="9396" xr:uid="{9F00DAE5-3D38-490D-945B-B97CB3562557}"/>
    <cellStyle name="Normal 4 6 2 5" xfId="1289" xr:uid="{00000000-0005-0000-0000-000043160000}"/>
    <cellStyle name="Normal 4 6 2 5 2" xfId="3519" xr:uid="{00000000-0005-0000-0000-000044160000}"/>
    <cellStyle name="Normal 4 6 2 5 2 2" xfId="7743" xr:uid="{00000000-0005-0000-0000-000045160000}"/>
    <cellStyle name="Normal 4 6 2 5 2 2 2" xfId="16172" xr:uid="{061C4B43-6348-4AEB-8EE5-779465BCBB51}"/>
    <cellStyle name="Normal 4 6 2 5 2 3" xfId="11954" xr:uid="{618E59C5-5DFF-4B95-9B2D-D51573525AA7}"/>
    <cellStyle name="Normal 4 6 2 5 3" xfId="5598" xr:uid="{00000000-0005-0000-0000-000046160000}"/>
    <cellStyle name="Normal 4 6 2 5 3 2" xfId="14027" xr:uid="{29410752-388E-48B5-ACF8-96F3A60E403A}"/>
    <cellStyle name="Normal 4 6 2 5 4" xfId="9809" xr:uid="{5AA5CAD9-6019-4301-A30F-4C1915A243F2}"/>
    <cellStyle name="Normal 4 6 2 6" xfId="1702" xr:uid="{00000000-0005-0000-0000-000047160000}"/>
    <cellStyle name="Normal 4 6 2 6 2" xfId="3932" xr:uid="{00000000-0005-0000-0000-000048160000}"/>
    <cellStyle name="Normal 4 6 2 6 2 2" xfId="8156" xr:uid="{00000000-0005-0000-0000-000049160000}"/>
    <cellStyle name="Normal 4 6 2 6 2 2 2" xfId="16585" xr:uid="{61983C1D-D96A-49EB-A386-A65F8B01F7A1}"/>
    <cellStyle name="Normal 4 6 2 6 2 3" xfId="12367" xr:uid="{D90E47D1-4CA8-4077-B958-9D203D9FDC51}"/>
    <cellStyle name="Normal 4 6 2 6 3" xfId="6011" xr:uid="{00000000-0005-0000-0000-00004A160000}"/>
    <cellStyle name="Normal 4 6 2 6 3 2" xfId="14440" xr:uid="{CEA73DF4-9D16-48D7-BF32-1C51017510C9}"/>
    <cellStyle name="Normal 4 6 2 6 4" xfId="10222" xr:uid="{F08595F3-63C3-42F6-BDAB-B2109209C166}"/>
    <cellStyle name="Normal 4 6 2 7" xfId="2116" xr:uid="{00000000-0005-0000-0000-00004B160000}"/>
    <cellStyle name="Normal 4 6 2 7 2" xfId="4345" xr:uid="{00000000-0005-0000-0000-00004C160000}"/>
    <cellStyle name="Normal 4 6 2 7 2 2" xfId="8569" xr:uid="{00000000-0005-0000-0000-00004D160000}"/>
    <cellStyle name="Normal 4 6 2 7 2 2 2" xfId="16998" xr:uid="{3CFF0C1E-05D5-4AD1-8FED-ABCD84A6771D}"/>
    <cellStyle name="Normal 4 6 2 7 2 3" xfId="12780" xr:uid="{4EAD5C06-13A3-4B27-BACA-DF1945BB30E7}"/>
    <cellStyle name="Normal 4 6 2 7 3" xfId="6424" xr:uid="{00000000-0005-0000-0000-00004E160000}"/>
    <cellStyle name="Normal 4 6 2 7 3 2" xfId="14853" xr:uid="{041778BD-F9D9-43E9-9C95-C208219800B9}"/>
    <cellStyle name="Normal 4 6 2 7 4" xfId="10635" xr:uid="{98D7DDFB-D300-4521-8972-6B6538F8CACB}"/>
    <cellStyle name="Normal 4 6 2 8" xfId="2552" xr:uid="{00000000-0005-0000-0000-00004F160000}"/>
    <cellStyle name="Normal 4 6 2 8 2" xfId="6837" xr:uid="{00000000-0005-0000-0000-000050160000}"/>
    <cellStyle name="Normal 4 6 2 8 2 2" xfId="15266" xr:uid="{2D23FEB7-4B4F-430E-B879-FAE442B38897}"/>
    <cellStyle name="Normal 4 6 2 8 3" xfId="11048" xr:uid="{E00A6A55-74B2-4345-9353-C8C5C8B91369}"/>
    <cellStyle name="Normal 4 6 2 9" xfId="4772" xr:uid="{00000000-0005-0000-0000-000051160000}"/>
    <cellStyle name="Normal 4 6 2 9 2" xfId="13201" xr:uid="{6408DA1C-4AD5-40EC-8A11-796CD45D8B5D}"/>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2 2" xfId="15764" xr:uid="{E14D138A-03A4-4FD8-A782-FECA26A510E4}"/>
    <cellStyle name="Normal 4 6 3 2 2 2 3" xfId="11546" xr:uid="{69664A5A-770A-477A-8A8A-9AFCAE03BBC7}"/>
    <cellStyle name="Normal 4 6 3 2 2 3" xfId="5190" xr:uid="{00000000-0005-0000-0000-000057160000}"/>
    <cellStyle name="Normal 4 6 3 2 2 3 2" xfId="13619" xr:uid="{6547FF6F-17C8-4E91-B428-231B2BDBA790}"/>
    <cellStyle name="Normal 4 6 3 2 2 4" xfId="9401" xr:uid="{8FAE59C4-FB46-46B4-9243-5B64F7316E36}"/>
    <cellStyle name="Normal 4 6 3 2 3" xfId="1294" xr:uid="{00000000-0005-0000-0000-000058160000}"/>
    <cellStyle name="Normal 4 6 3 2 3 2" xfId="3524" xr:uid="{00000000-0005-0000-0000-000059160000}"/>
    <cellStyle name="Normal 4 6 3 2 3 2 2" xfId="7748" xr:uid="{00000000-0005-0000-0000-00005A160000}"/>
    <cellStyle name="Normal 4 6 3 2 3 2 2 2" xfId="16177" xr:uid="{33B85C63-05CC-4EE9-A4CA-48108F216167}"/>
    <cellStyle name="Normal 4 6 3 2 3 2 3" xfId="11959" xr:uid="{3224A307-67B5-4DDB-9F4B-65F123D44539}"/>
    <cellStyle name="Normal 4 6 3 2 3 3" xfId="5603" xr:uid="{00000000-0005-0000-0000-00005B160000}"/>
    <cellStyle name="Normal 4 6 3 2 3 3 2" xfId="14032" xr:uid="{BB2FD56E-0565-467D-8579-41972DCB059D}"/>
    <cellStyle name="Normal 4 6 3 2 3 4" xfId="9814" xr:uid="{FA4629EE-3608-4C2A-8CE7-CB62C83FD505}"/>
    <cellStyle name="Normal 4 6 3 2 4" xfId="1707" xr:uid="{00000000-0005-0000-0000-00005C160000}"/>
    <cellStyle name="Normal 4 6 3 2 4 2" xfId="3937" xr:uid="{00000000-0005-0000-0000-00005D160000}"/>
    <cellStyle name="Normal 4 6 3 2 4 2 2" xfId="8161" xr:uid="{00000000-0005-0000-0000-00005E160000}"/>
    <cellStyle name="Normal 4 6 3 2 4 2 2 2" xfId="16590" xr:uid="{4BC3BC09-DEBE-484A-A6E4-4F0E6546875A}"/>
    <cellStyle name="Normal 4 6 3 2 4 2 3" xfId="12372" xr:uid="{28E02EEB-3A5E-4E77-A9A8-07FDF174A72C}"/>
    <cellStyle name="Normal 4 6 3 2 4 3" xfId="6016" xr:uid="{00000000-0005-0000-0000-00005F160000}"/>
    <cellStyle name="Normal 4 6 3 2 4 3 2" xfId="14445" xr:uid="{63C7FE83-C7F1-44F6-9764-41F33CA466DF}"/>
    <cellStyle name="Normal 4 6 3 2 4 4" xfId="10227" xr:uid="{4A81317B-4575-4D42-9044-AF7D98CC2BF3}"/>
    <cellStyle name="Normal 4 6 3 2 5" xfId="2121" xr:uid="{00000000-0005-0000-0000-000060160000}"/>
    <cellStyle name="Normal 4 6 3 2 5 2" xfId="4350" xr:uid="{00000000-0005-0000-0000-000061160000}"/>
    <cellStyle name="Normal 4 6 3 2 5 2 2" xfId="8574" xr:uid="{00000000-0005-0000-0000-000062160000}"/>
    <cellStyle name="Normal 4 6 3 2 5 2 2 2" xfId="17003" xr:uid="{1493E33A-1634-46FA-84B2-37C68A1F765F}"/>
    <cellStyle name="Normal 4 6 3 2 5 2 3" xfId="12785" xr:uid="{29F05221-003B-445F-8E18-1C27FFECC022}"/>
    <cellStyle name="Normal 4 6 3 2 5 3" xfId="6429" xr:uid="{00000000-0005-0000-0000-000063160000}"/>
    <cellStyle name="Normal 4 6 3 2 5 3 2" xfId="14858" xr:uid="{709CE38D-94E3-4262-8A2B-E9A6300FAABC}"/>
    <cellStyle name="Normal 4 6 3 2 5 4" xfId="10640" xr:uid="{47CF0A85-CB8B-4E76-981D-EB3B84C5ED50}"/>
    <cellStyle name="Normal 4 6 3 2 6" xfId="2557" xr:uid="{00000000-0005-0000-0000-000064160000}"/>
    <cellStyle name="Normal 4 6 3 2 6 2" xfId="6842" xr:uid="{00000000-0005-0000-0000-000065160000}"/>
    <cellStyle name="Normal 4 6 3 2 6 2 2" xfId="15271" xr:uid="{94407BC9-F644-445E-A689-43C9AC3134F8}"/>
    <cellStyle name="Normal 4 6 3 2 6 3" xfId="11053" xr:uid="{524903CC-DEB7-4F1E-8012-BDAF637E5AD6}"/>
    <cellStyle name="Normal 4 6 3 2 7" xfId="4777" xr:uid="{00000000-0005-0000-0000-000066160000}"/>
    <cellStyle name="Normal 4 6 3 2 7 2" xfId="13206" xr:uid="{F2CABF5A-BBC4-4D2E-8877-47689D84251C}"/>
    <cellStyle name="Normal 4 6 3 2 8" xfId="8988" xr:uid="{8906B0E0-B579-42D8-8F50-9F99A733421E}"/>
    <cellStyle name="Normal 4 6 3 3" xfId="875" xr:uid="{00000000-0005-0000-0000-000067160000}"/>
    <cellStyle name="Normal 4 6 3 3 2" xfId="3110" xr:uid="{00000000-0005-0000-0000-000068160000}"/>
    <cellStyle name="Normal 4 6 3 3 2 2" xfId="7334" xr:uid="{00000000-0005-0000-0000-000069160000}"/>
    <cellStyle name="Normal 4 6 3 3 2 2 2" xfId="15763" xr:uid="{54DE9AED-48FE-45C3-9EBA-6AF7CCA60FE3}"/>
    <cellStyle name="Normal 4 6 3 3 2 3" xfId="11545" xr:uid="{28E0F914-5D6F-4021-B5CB-B422CC52B1DC}"/>
    <cellStyle name="Normal 4 6 3 3 3" xfId="5189" xr:uid="{00000000-0005-0000-0000-00006A160000}"/>
    <cellStyle name="Normal 4 6 3 3 3 2" xfId="13618" xr:uid="{6FAEE3B0-61F4-4CC8-8141-83D05D333C9E}"/>
    <cellStyle name="Normal 4 6 3 3 4" xfId="9400" xr:uid="{56822DAA-8068-40BD-9AF2-D3BBEEDC6897}"/>
    <cellStyle name="Normal 4 6 3 4" xfId="1293" xr:uid="{00000000-0005-0000-0000-00006B160000}"/>
    <cellStyle name="Normal 4 6 3 4 2" xfId="3523" xr:uid="{00000000-0005-0000-0000-00006C160000}"/>
    <cellStyle name="Normal 4 6 3 4 2 2" xfId="7747" xr:uid="{00000000-0005-0000-0000-00006D160000}"/>
    <cellStyle name="Normal 4 6 3 4 2 2 2" xfId="16176" xr:uid="{ED17221E-B3FD-4B46-BC8D-310320CD5B92}"/>
    <cellStyle name="Normal 4 6 3 4 2 3" xfId="11958" xr:uid="{F47A81D4-B100-445C-91EA-B8D63E54E298}"/>
    <cellStyle name="Normal 4 6 3 4 3" xfId="5602" xr:uid="{00000000-0005-0000-0000-00006E160000}"/>
    <cellStyle name="Normal 4 6 3 4 3 2" xfId="14031" xr:uid="{414E3A47-19AB-498E-9CEE-02F71ADCA9CF}"/>
    <cellStyle name="Normal 4 6 3 4 4" xfId="9813" xr:uid="{FD37AC2D-F146-4A0D-AC4E-89F1D1EE406F}"/>
    <cellStyle name="Normal 4 6 3 5" xfId="1706" xr:uid="{00000000-0005-0000-0000-00006F160000}"/>
    <cellStyle name="Normal 4 6 3 5 2" xfId="3936" xr:uid="{00000000-0005-0000-0000-000070160000}"/>
    <cellStyle name="Normal 4 6 3 5 2 2" xfId="8160" xr:uid="{00000000-0005-0000-0000-000071160000}"/>
    <cellStyle name="Normal 4 6 3 5 2 2 2" xfId="16589" xr:uid="{25D860BB-1B7B-4F02-ACE8-E479CE31EA29}"/>
    <cellStyle name="Normal 4 6 3 5 2 3" xfId="12371" xr:uid="{27EC2BEE-9D4E-4CE0-8E94-D4394E3D2CD3}"/>
    <cellStyle name="Normal 4 6 3 5 3" xfId="6015" xr:uid="{00000000-0005-0000-0000-000072160000}"/>
    <cellStyle name="Normal 4 6 3 5 3 2" xfId="14444" xr:uid="{C91A9CA9-7259-4420-AD8C-CC0FFDABE53B}"/>
    <cellStyle name="Normal 4 6 3 5 4" xfId="10226" xr:uid="{EB9EECE4-E3AC-4DA5-9F9C-F461523AC2BC}"/>
    <cellStyle name="Normal 4 6 3 6" xfId="2120" xr:uid="{00000000-0005-0000-0000-000073160000}"/>
    <cellStyle name="Normal 4 6 3 6 2" xfId="4349" xr:uid="{00000000-0005-0000-0000-000074160000}"/>
    <cellStyle name="Normal 4 6 3 6 2 2" xfId="8573" xr:uid="{00000000-0005-0000-0000-000075160000}"/>
    <cellStyle name="Normal 4 6 3 6 2 2 2" xfId="17002" xr:uid="{5FF687F4-1A7D-4F14-BA59-C8AAB448B63D}"/>
    <cellStyle name="Normal 4 6 3 6 2 3" xfId="12784" xr:uid="{C012E80B-FA36-4792-A84F-DE4221D64DF8}"/>
    <cellStyle name="Normal 4 6 3 6 3" xfId="6428" xr:uid="{00000000-0005-0000-0000-000076160000}"/>
    <cellStyle name="Normal 4 6 3 6 3 2" xfId="14857" xr:uid="{1C7D5B78-F8A6-439C-A469-D87CA6AADA3C}"/>
    <cellStyle name="Normal 4 6 3 6 4" xfId="10639" xr:uid="{62E06892-1C01-459D-B65A-FBBB52334BE0}"/>
    <cellStyle name="Normal 4 6 3 7" xfId="2556" xr:uid="{00000000-0005-0000-0000-000077160000}"/>
    <cellStyle name="Normal 4 6 3 7 2" xfId="6841" xr:uid="{00000000-0005-0000-0000-000078160000}"/>
    <cellStyle name="Normal 4 6 3 7 2 2" xfId="15270" xr:uid="{64FB5B8F-45B9-48B6-9866-7042DAB00DA1}"/>
    <cellStyle name="Normal 4 6 3 7 3" xfId="11052" xr:uid="{1AF13B2D-937A-462C-81BC-AD1425D04710}"/>
    <cellStyle name="Normal 4 6 3 8" xfId="4776" xr:uid="{00000000-0005-0000-0000-000079160000}"/>
    <cellStyle name="Normal 4 6 3 8 2" xfId="13205" xr:uid="{178743B9-5EFD-4C06-8E4E-F7B0C68BF3EA}"/>
    <cellStyle name="Normal 4 6 3 9" xfId="8987" xr:uid="{5453F6AB-BE3A-4ABE-8DD0-5EEC645E0CF2}"/>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2 2" xfId="15765" xr:uid="{142EBF24-4EAB-4ABB-A9EA-06D10F73DB35}"/>
    <cellStyle name="Normal 4 6 4 2 2 3" xfId="11547" xr:uid="{A9FB5BAD-9EE3-4B45-9714-974A39FE4733}"/>
    <cellStyle name="Normal 4 6 4 2 3" xfId="5191" xr:uid="{00000000-0005-0000-0000-00007E160000}"/>
    <cellStyle name="Normal 4 6 4 2 3 2" xfId="13620" xr:uid="{556BBE71-9758-48CD-A282-BA8FF014382C}"/>
    <cellStyle name="Normal 4 6 4 2 4" xfId="9402" xr:uid="{748C0746-C31E-4D0B-A5CD-46C5DBCD40EE}"/>
    <cellStyle name="Normal 4 6 4 3" xfId="1295" xr:uid="{00000000-0005-0000-0000-00007F160000}"/>
    <cellStyle name="Normal 4 6 4 3 2" xfId="3525" xr:uid="{00000000-0005-0000-0000-000080160000}"/>
    <cellStyle name="Normal 4 6 4 3 2 2" xfId="7749" xr:uid="{00000000-0005-0000-0000-000081160000}"/>
    <cellStyle name="Normal 4 6 4 3 2 2 2" xfId="16178" xr:uid="{11F1511A-633E-47B4-AE2E-412C122C6454}"/>
    <cellStyle name="Normal 4 6 4 3 2 3" xfId="11960" xr:uid="{0ADE6AB5-92A7-46CB-910B-39E0D4C8564D}"/>
    <cellStyle name="Normal 4 6 4 3 3" xfId="5604" xr:uid="{00000000-0005-0000-0000-000082160000}"/>
    <cellStyle name="Normal 4 6 4 3 3 2" xfId="14033" xr:uid="{D4C39809-1B86-403F-870B-19602A785D7B}"/>
    <cellStyle name="Normal 4 6 4 3 4" xfId="9815" xr:uid="{AE0D68C4-B7D3-49E0-AB1F-BD19F42D5E48}"/>
    <cellStyle name="Normal 4 6 4 4" xfId="1708" xr:uid="{00000000-0005-0000-0000-000083160000}"/>
    <cellStyle name="Normal 4 6 4 4 2" xfId="3938" xr:uid="{00000000-0005-0000-0000-000084160000}"/>
    <cellStyle name="Normal 4 6 4 4 2 2" xfId="8162" xr:uid="{00000000-0005-0000-0000-000085160000}"/>
    <cellStyle name="Normal 4 6 4 4 2 2 2" xfId="16591" xr:uid="{4E5DCBDD-00C6-4760-949F-1B625975402C}"/>
    <cellStyle name="Normal 4 6 4 4 2 3" xfId="12373" xr:uid="{BFC96097-34B4-488A-BA9A-970853841F72}"/>
    <cellStyle name="Normal 4 6 4 4 3" xfId="6017" xr:uid="{00000000-0005-0000-0000-000086160000}"/>
    <cellStyle name="Normal 4 6 4 4 3 2" xfId="14446" xr:uid="{D05B4157-7962-4D33-95F1-C1658119B69B}"/>
    <cellStyle name="Normal 4 6 4 4 4" xfId="10228" xr:uid="{3452A6E6-DF17-4568-807E-F2F23DC7DA7C}"/>
    <cellStyle name="Normal 4 6 4 5" xfId="2122" xr:uid="{00000000-0005-0000-0000-000087160000}"/>
    <cellStyle name="Normal 4 6 4 5 2" xfId="4351" xr:uid="{00000000-0005-0000-0000-000088160000}"/>
    <cellStyle name="Normal 4 6 4 5 2 2" xfId="8575" xr:uid="{00000000-0005-0000-0000-000089160000}"/>
    <cellStyle name="Normal 4 6 4 5 2 2 2" xfId="17004" xr:uid="{D9B82DA9-4253-422F-BADB-67439CAC2DB8}"/>
    <cellStyle name="Normal 4 6 4 5 2 3" xfId="12786" xr:uid="{F0F69245-A01D-4C76-AE55-587EA36B4C3A}"/>
    <cellStyle name="Normal 4 6 4 5 3" xfId="6430" xr:uid="{00000000-0005-0000-0000-00008A160000}"/>
    <cellStyle name="Normal 4 6 4 5 3 2" xfId="14859" xr:uid="{8B65C44D-20DD-444A-89B1-99B5CAE0F9CA}"/>
    <cellStyle name="Normal 4 6 4 5 4" xfId="10641" xr:uid="{6A1D6AF8-A78E-4376-91B3-C1F9CB32625F}"/>
    <cellStyle name="Normal 4 6 4 6" xfId="2558" xr:uid="{00000000-0005-0000-0000-00008B160000}"/>
    <cellStyle name="Normal 4 6 4 6 2" xfId="6843" xr:uid="{00000000-0005-0000-0000-00008C160000}"/>
    <cellStyle name="Normal 4 6 4 6 2 2" xfId="15272" xr:uid="{37A9D9DE-13C1-4578-AD3D-7DDA5AF776AD}"/>
    <cellStyle name="Normal 4 6 4 6 3" xfId="11054" xr:uid="{7E72DFB3-EF34-4BF7-B027-53E91AF83800}"/>
    <cellStyle name="Normal 4 6 4 7" xfId="4778" xr:uid="{00000000-0005-0000-0000-00008D160000}"/>
    <cellStyle name="Normal 4 6 4 7 2" xfId="13207" xr:uid="{2547AE57-24FB-48FC-AAFA-8DC20A6916ED}"/>
    <cellStyle name="Normal 4 6 4 8" xfId="8989" xr:uid="{FEDC7847-0BC4-4FD5-B879-9989AD019519}"/>
    <cellStyle name="Normal 4 6 5" xfId="870" xr:uid="{00000000-0005-0000-0000-00008E160000}"/>
    <cellStyle name="Normal 4 6 5 2" xfId="3105" xr:uid="{00000000-0005-0000-0000-00008F160000}"/>
    <cellStyle name="Normal 4 6 5 2 2" xfId="7329" xr:uid="{00000000-0005-0000-0000-000090160000}"/>
    <cellStyle name="Normal 4 6 5 2 2 2" xfId="15758" xr:uid="{782CF7A6-C738-4940-A21F-440F7AFB7FD1}"/>
    <cellStyle name="Normal 4 6 5 2 3" xfId="11540" xr:uid="{8831F4B8-F324-4B96-9D39-F5C92779E24F}"/>
    <cellStyle name="Normal 4 6 5 3" xfId="5184" xr:uid="{00000000-0005-0000-0000-000091160000}"/>
    <cellStyle name="Normal 4 6 5 3 2" xfId="13613" xr:uid="{0B625AD2-85FB-4BBD-9DD7-B73722785D98}"/>
    <cellStyle name="Normal 4 6 5 4" xfId="9395" xr:uid="{B36E656F-1838-48E8-AD1C-69E57A91BAA9}"/>
    <cellStyle name="Normal 4 6 6" xfId="1288" xr:uid="{00000000-0005-0000-0000-000092160000}"/>
    <cellStyle name="Normal 4 6 6 2" xfId="3518" xr:uid="{00000000-0005-0000-0000-000093160000}"/>
    <cellStyle name="Normal 4 6 6 2 2" xfId="7742" xr:uid="{00000000-0005-0000-0000-000094160000}"/>
    <cellStyle name="Normal 4 6 6 2 2 2" xfId="16171" xr:uid="{FC9991DA-25AA-40D3-BF8B-EBC97945F9ED}"/>
    <cellStyle name="Normal 4 6 6 2 3" xfId="11953" xr:uid="{6A3620BB-AC68-473F-B5E2-386207087DF3}"/>
    <cellStyle name="Normal 4 6 6 3" xfId="5597" xr:uid="{00000000-0005-0000-0000-000095160000}"/>
    <cellStyle name="Normal 4 6 6 3 2" xfId="14026" xr:uid="{9140B0D1-42B9-4F19-AE98-F938E79B99FB}"/>
    <cellStyle name="Normal 4 6 6 4" xfId="9808" xr:uid="{A874F882-0582-4C97-865D-002CC60A87B8}"/>
    <cellStyle name="Normal 4 6 7" xfId="1701" xr:uid="{00000000-0005-0000-0000-000096160000}"/>
    <cellStyle name="Normal 4 6 7 2" xfId="3931" xr:uid="{00000000-0005-0000-0000-000097160000}"/>
    <cellStyle name="Normal 4 6 7 2 2" xfId="8155" xr:uid="{00000000-0005-0000-0000-000098160000}"/>
    <cellStyle name="Normal 4 6 7 2 2 2" xfId="16584" xr:uid="{CC3DD936-8A8B-4256-98ED-257833DE7597}"/>
    <cellStyle name="Normal 4 6 7 2 3" xfId="12366" xr:uid="{5C2B293E-B4C0-4D7C-84E7-B46BB319F388}"/>
    <cellStyle name="Normal 4 6 7 3" xfId="6010" xr:uid="{00000000-0005-0000-0000-000099160000}"/>
    <cellStyle name="Normal 4 6 7 3 2" xfId="14439" xr:uid="{610F67C3-A4BD-4120-B752-208E537B4236}"/>
    <cellStyle name="Normal 4 6 7 4" xfId="10221" xr:uid="{192DCAE7-B604-4BDB-806A-B802953C7F8D}"/>
    <cellStyle name="Normal 4 6 8" xfId="2115" xr:uid="{00000000-0005-0000-0000-00009A160000}"/>
    <cellStyle name="Normal 4 6 8 2" xfId="4344" xr:uid="{00000000-0005-0000-0000-00009B160000}"/>
    <cellStyle name="Normal 4 6 8 2 2" xfId="8568" xr:uid="{00000000-0005-0000-0000-00009C160000}"/>
    <cellStyle name="Normal 4 6 8 2 2 2" xfId="16997" xr:uid="{4CA329DB-FEF7-45AB-9DEB-7D1E0FE99404}"/>
    <cellStyle name="Normal 4 6 8 2 3" xfId="12779" xr:uid="{80FA97E8-22D6-45DF-9B51-AB0CC888892C}"/>
    <cellStyle name="Normal 4 6 8 3" xfId="6423" xr:uid="{00000000-0005-0000-0000-00009D160000}"/>
    <cellStyle name="Normal 4 6 8 3 2" xfId="14852" xr:uid="{3401B40C-4D8A-4D7B-8D40-C5D524A86EE6}"/>
    <cellStyle name="Normal 4 6 8 4" xfId="10634" xr:uid="{7E923412-9BE2-4F50-87A7-054C8A726EA7}"/>
    <cellStyle name="Normal 4 6 9" xfId="2551" xr:uid="{00000000-0005-0000-0000-00009E160000}"/>
    <cellStyle name="Normal 4 6 9 2" xfId="6836" xr:uid="{00000000-0005-0000-0000-00009F160000}"/>
    <cellStyle name="Normal 4 6 9 2 2" xfId="15265" xr:uid="{8F137E40-C80E-4154-BAF9-41EEACCAFFE0}"/>
    <cellStyle name="Normal 4 6 9 3" xfId="11047" xr:uid="{165396B5-3F24-45CA-A27A-0D9C1E190DA8}"/>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2 2" xfId="15767" xr:uid="{CF8F0F4F-5936-46B8-871B-D18A20F50DB1}"/>
    <cellStyle name="Normal 4 7 2 2 2 3" xfId="11549" xr:uid="{6B74425B-F728-43F6-9DAF-D847E489A875}"/>
    <cellStyle name="Normal 4 7 2 2 3" xfId="5193" xr:uid="{00000000-0005-0000-0000-0000A5160000}"/>
    <cellStyle name="Normal 4 7 2 2 3 2" xfId="13622" xr:uid="{E638A261-3AE4-4DB1-9374-5C20D5192015}"/>
    <cellStyle name="Normal 4 7 2 2 4" xfId="9404" xr:uid="{A980719D-ED7E-4729-981D-5A26BB908473}"/>
    <cellStyle name="Normal 4 7 2 3" xfId="1297" xr:uid="{00000000-0005-0000-0000-0000A6160000}"/>
    <cellStyle name="Normal 4 7 2 3 2" xfId="3527" xr:uid="{00000000-0005-0000-0000-0000A7160000}"/>
    <cellStyle name="Normal 4 7 2 3 2 2" xfId="7751" xr:uid="{00000000-0005-0000-0000-0000A8160000}"/>
    <cellStyle name="Normal 4 7 2 3 2 2 2" xfId="16180" xr:uid="{F72F33F9-2348-4C0E-B6D4-9D76D7981D36}"/>
    <cellStyle name="Normal 4 7 2 3 2 3" xfId="11962" xr:uid="{0E48C00F-C9E4-4BC7-84C0-0D0A94DD72D4}"/>
    <cellStyle name="Normal 4 7 2 3 3" xfId="5606" xr:uid="{00000000-0005-0000-0000-0000A9160000}"/>
    <cellStyle name="Normal 4 7 2 3 3 2" xfId="14035" xr:uid="{21DC5F37-4EE6-456E-A5C4-33C0B2FE4E8D}"/>
    <cellStyle name="Normal 4 7 2 3 4" xfId="9817" xr:uid="{DFB40909-2E0B-48CC-B25B-C7CDB16105C8}"/>
    <cellStyle name="Normal 4 7 2 4" xfId="1710" xr:uid="{00000000-0005-0000-0000-0000AA160000}"/>
    <cellStyle name="Normal 4 7 2 4 2" xfId="3940" xr:uid="{00000000-0005-0000-0000-0000AB160000}"/>
    <cellStyle name="Normal 4 7 2 4 2 2" xfId="8164" xr:uid="{00000000-0005-0000-0000-0000AC160000}"/>
    <cellStyle name="Normal 4 7 2 4 2 2 2" xfId="16593" xr:uid="{CDEC474B-E53F-48D1-8EDE-F63A4C13E557}"/>
    <cellStyle name="Normal 4 7 2 4 2 3" xfId="12375" xr:uid="{DA4F0FAC-5A52-4FF1-9513-E47FDCBE17D9}"/>
    <cellStyle name="Normal 4 7 2 4 3" xfId="6019" xr:uid="{00000000-0005-0000-0000-0000AD160000}"/>
    <cellStyle name="Normal 4 7 2 4 3 2" xfId="14448" xr:uid="{0965A9D9-9408-4FF2-8BDF-FA6F1912279F}"/>
    <cellStyle name="Normal 4 7 2 4 4" xfId="10230" xr:uid="{DD1CE448-522A-44FD-8688-D4D0295F6B90}"/>
    <cellStyle name="Normal 4 7 2 5" xfId="2124" xr:uid="{00000000-0005-0000-0000-0000AE160000}"/>
    <cellStyle name="Normal 4 7 2 5 2" xfId="4353" xr:uid="{00000000-0005-0000-0000-0000AF160000}"/>
    <cellStyle name="Normal 4 7 2 5 2 2" xfId="8577" xr:uid="{00000000-0005-0000-0000-0000B0160000}"/>
    <cellStyle name="Normal 4 7 2 5 2 2 2" xfId="17006" xr:uid="{D3BB2CD8-A10B-48C2-B093-9C4761037AB5}"/>
    <cellStyle name="Normal 4 7 2 5 2 3" xfId="12788" xr:uid="{218A6A34-2741-4B04-AF88-B29232F22BA8}"/>
    <cellStyle name="Normal 4 7 2 5 3" xfId="6432" xr:uid="{00000000-0005-0000-0000-0000B1160000}"/>
    <cellStyle name="Normal 4 7 2 5 3 2" xfId="14861" xr:uid="{025C237B-D7B6-4E73-A7C7-7E9C4A09A32C}"/>
    <cellStyle name="Normal 4 7 2 5 4" xfId="10643" xr:uid="{934FD972-B72D-444C-916A-5736631E47E9}"/>
    <cellStyle name="Normal 4 7 2 6" xfId="2560" xr:uid="{00000000-0005-0000-0000-0000B2160000}"/>
    <cellStyle name="Normal 4 7 2 6 2" xfId="6845" xr:uid="{00000000-0005-0000-0000-0000B3160000}"/>
    <cellStyle name="Normal 4 7 2 6 2 2" xfId="15274" xr:uid="{41D22D2C-FB92-4642-A03C-193D7B37C011}"/>
    <cellStyle name="Normal 4 7 2 6 3" xfId="11056" xr:uid="{0E4271F5-C3BB-47CE-9B87-8CBAAA1BC66F}"/>
    <cellStyle name="Normal 4 7 2 7" xfId="4780" xr:uid="{00000000-0005-0000-0000-0000B4160000}"/>
    <cellStyle name="Normal 4 7 2 7 2" xfId="13209" xr:uid="{046D9F6C-92F6-4C06-A74D-5D573910B3CC}"/>
    <cellStyle name="Normal 4 7 2 8" xfId="8991" xr:uid="{D190B661-0140-487C-983B-3D9151C34D81}"/>
    <cellStyle name="Normal 4 7 3" xfId="878" xr:uid="{00000000-0005-0000-0000-0000B5160000}"/>
    <cellStyle name="Normal 4 7 3 2" xfId="3113" xr:uid="{00000000-0005-0000-0000-0000B6160000}"/>
    <cellStyle name="Normal 4 7 3 2 2" xfId="7337" xr:uid="{00000000-0005-0000-0000-0000B7160000}"/>
    <cellStyle name="Normal 4 7 3 2 2 2" xfId="15766" xr:uid="{80C738F8-9313-4BEB-B362-F90E8D3BF89C}"/>
    <cellStyle name="Normal 4 7 3 2 3" xfId="11548" xr:uid="{1E3A6FE5-05C2-4A42-8795-177E78F30B05}"/>
    <cellStyle name="Normal 4 7 3 3" xfId="5192" xr:uid="{00000000-0005-0000-0000-0000B8160000}"/>
    <cellStyle name="Normal 4 7 3 3 2" xfId="13621" xr:uid="{40BFAAA7-930C-4577-8E8C-794010229022}"/>
    <cellStyle name="Normal 4 7 3 4" xfId="9403" xr:uid="{541B46FC-AA10-4DA8-8F10-CA73A97A45F2}"/>
    <cellStyle name="Normal 4 7 4" xfId="1296" xr:uid="{00000000-0005-0000-0000-0000B9160000}"/>
    <cellStyle name="Normal 4 7 4 2" xfId="3526" xr:uid="{00000000-0005-0000-0000-0000BA160000}"/>
    <cellStyle name="Normal 4 7 4 2 2" xfId="7750" xr:uid="{00000000-0005-0000-0000-0000BB160000}"/>
    <cellStyle name="Normal 4 7 4 2 2 2" xfId="16179" xr:uid="{8EF67EB9-EA39-44C1-A6BB-056A615560FE}"/>
    <cellStyle name="Normal 4 7 4 2 3" xfId="11961" xr:uid="{C98F54CB-B391-412F-8E42-DBFC7AE15F66}"/>
    <cellStyle name="Normal 4 7 4 3" xfId="5605" xr:uid="{00000000-0005-0000-0000-0000BC160000}"/>
    <cellStyle name="Normal 4 7 4 3 2" xfId="14034" xr:uid="{6EF686E2-5583-4139-8C11-6D13DD26204B}"/>
    <cellStyle name="Normal 4 7 4 4" xfId="9816" xr:uid="{51A02338-CDBA-4D28-96D2-A042F23B6601}"/>
    <cellStyle name="Normal 4 7 5" xfId="1709" xr:uid="{00000000-0005-0000-0000-0000BD160000}"/>
    <cellStyle name="Normal 4 7 5 2" xfId="3939" xr:uid="{00000000-0005-0000-0000-0000BE160000}"/>
    <cellStyle name="Normal 4 7 5 2 2" xfId="8163" xr:uid="{00000000-0005-0000-0000-0000BF160000}"/>
    <cellStyle name="Normal 4 7 5 2 2 2" xfId="16592" xr:uid="{33595DAA-C3FA-45E9-BB90-45E4B6D7DB26}"/>
    <cellStyle name="Normal 4 7 5 2 3" xfId="12374" xr:uid="{49F27DA3-4689-4AB9-9B7F-FAFCE0988960}"/>
    <cellStyle name="Normal 4 7 5 3" xfId="6018" xr:uid="{00000000-0005-0000-0000-0000C0160000}"/>
    <cellStyle name="Normal 4 7 5 3 2" xfId="14447" xr:uid="{D16E13AE-2477-467B-88AD-19DD05F9C36F}"/>
    <cellStyle name="Normal 4 7 5 4" xfId="10229" xr:uid="{60F4F41C-B83F-4F3E-A096-7CEC4FCBA955}"/>
    <cellStyle name="Normal 4 7 6" xfId="2123" xr:uid="{00000000-0005-0000-0000-0000C1160000}"/>
    <cellStyle name="Normal 4 7 6 2" xfId="4352" xr:uid="{00000000-0005-0000-0000-0000C2160000}"/>
    <cellStyle name="Normal 4 7 6 2 2" xfId="8576" xr:uid="{00000000-0005-0000-0000-0000C3160000}"/>
    <cellStyle name="Normal 4 7 6 2 2 2" xfId="17005" xr:uid="{D53DBF0A-032A-472F-B027-859C2E665F50}"/>
    <cellStyle name="Normal 4 7 6 2 3" xfId="12787" xr:uid="{3AE4217A-CD5B-4EE4-967E-1FCDC4E8C37B}"/>
    <cellStyle name="Normal 4 7 6 3" xfId="6431" xr:uid="{00000000-0005-0000-0000-0000C4160000}"/>
    <cellStyle name="Normal 4 7 6 3 2" xfId="14860" xr:uid="{E1AABEA9-49DA-43DE-B2BC-8473037939B5}"/>
    <cellStyle name="Normal 4 7 6 4" xfId="10642" xr:uid="{2ABFE4FF-F8C2-49AB-BFD9-F4E38FFBF1B5}"/>
    <cellStyle name="Normal 4 7 7" xfId="2559" xr:uid="{00000000-0005-0000-0000-0000C5160000}"/>
    <cellStyle name="Normal 4 7 7 2" xfId="6844" xr:uid="{00000000-0005-0000-0000-0000C6160000}"/>
    <cellStyle name="Normal 4 7 7 2 2" xfId="15273" xr:uid="{1B9F99FB-8AC7-4480-A6A8-5E72B25B4AA8}"/>
    <cellStyle name="Normal 4 7 7 3" xfId="11055" xr:uid="{79AAEA3A-42E7-43FA-898D-FF814048DC05}"/>
    <cellStyle name="Normal 4 7 8" xfId="4779" xr:uid="{00000000-0005-0000-0000-0000C7160000}"/>
    <cellStyle name="Normal 4 7 8 2" xfId="13208" xr:uid="{C1C783AC-57DB-4A3D-B429-2827E83DCDE6}"/>
    <cellStyle name="Normal 4 7 9" xfId="8990" xr:uid="{243020BD-8257-41BD-8DAD-C9D022FC922F}"/>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2 2" xfId="15768" xr:uid="{7361DA44-BE8F-49D6-A44A-745B4D2640C5}"/>
    <cellStyle name="Normal 4 8 2 2 3" xfId="11550" xr:uid="{1F26AEA0-11F6-467D-BA56-AD38487F83BD}"/>
    <cellStyle name="Normal 4 8 2 3" xfId="5194" xr:uid="{00000000-0005-0000-0000-0000CC160000}"/>
    <cellStyle name="Normal 4 8 2 3 2" xfId="13623" xr:uid="{547C9F89-D6D4-4E8D-8C54-6069A7965FD2}"/>
    <cellStyle name="Normal 4 8 2 4" xfId="9405" xr:uid="{8A3E3A1C-5868-456C-BBE7-616E6730B63C}"/>
    <cellStyle name="Normal 4 8 3" xfId="1298" xr:uid="{00000000-0005-0000-0000-0000CD160000}"/>
    <cellStyle name="Normal 4 8 3 2" xfId="3528" xr:uid="{00000000-0005-0000-0000-0000CE160000}"/>
    <cellStyle name="Normal 4 8 3 2 2" xfId="7752" xr:uid="{00000000-0005-0000-0000-0000CF160000}"/>
    <cellStyle name="Normal 4 8 3 2 2 2" xfId="16181" xr:uid="{2B15D357-3A26-418B-A52A-A8CDBB871B67}"/>
    <cellStyle name="Normal 4 8 3 2 3" xfId="11963" xr:uid="{BEA98D15-4A18-4858-A42B-DECDA8730F1B}"/>
    <cellStyle name="Normal 4 8 3 3" xfId="5607" xr:uid="{00000000-0005-0000-0000-0000D0160000}"/>
    <cellStyle name="Normal 4 8 3 3 2" xfId="14036" xr:uid="{0672CD44-4C99-48D7-A718-14263F11F5C1}"/>
    <cellStyle name="Normal 4 8 3 4" xfId="9818" xr:uid="{71B320A1-8701-4553-BD9F-B705E22FC4A7}"/>
    <cellStyle name="Normal 4 8 4" xfId="1711" xr:uid="{00000000-0005-0000-0000-0000D1160000}"/>
    <cellStyle name="Normal 4 8 4 2" xfId="3941" xr:uid="{00000000-0005-0000-0000-0000D2160000}"/>
    <cellStyle name="Normal 4 8 4 2 2" xfId="8165" xr:uid="{00000000-0005-0000-0000-0000D3160000}"/>
    <cellStyle name="Normal 4 8 4 2 2 2" xfId="16594" xr:uid="{6A6322EF-67A7-40AE-B2DE-D9A120A7A5A6}"/>
    <cellStyle name="Normal 4 8 4 2 3" xfId="12376" xr:uid="{7FD06555-9326-4D7C-A6F5-C4D0DCD90B04}"/>
    <cellStyle name="Normal 4 8 4 3" xfId="6020" xr:uid="{00000000-0005-0000-0000-0000D4160000}"/>
    <cellStyle name="Normal 4 8 4 3 2" xfId="14449" xr:uid="{931CC38B-6AD7-44BD-9C0E-7D16FAA91889}"/>
    <cellStyle name="Normal 4 8 4 4" xfId="10231" xr:uid="{90C79CA1-489C-4EF9-B45D-B34F4FC237A6}"/>
    <cellStyle name="Normal 4 8 5" xfId="2125" xr:uid="{00000000-0005-0000-0000-0000D5160000}"/>
    <cellStyle name="Normal 4 8 5 2" xfId="4354" xr:uid="{00000000-0005-0000-0000-0000D6160000}"/>
    <cellStyle name="Normal 4 8 5 2 2" xfId="8578" xr:uid="{00000000-0005-0000-0000-0000D7160000}"/>
    <cellStyle name="Normal 4 8 5 2 2 2" xfId="17007" xr:uid="{E7F2C6B9-A0C1-4F8F-8629-C7373B79F760}"/>
    <cellStyle name="Normal 4 8 5 2 3" xfId="12789" xr:uid="{AC176168-A961-4463-855E-A6C45F0C39F8}"/>
    <cellStyle name="Normal 4 8 5 3" xfId="6433" xr:uid="{00000000-0005-0000-0000-0000D8160000}"/>
    <cellStyle name="Normal 4 8 5 3 2" xfId="14862" xr:uid="{0BFE0333-24C4-4A4A-851B-0BA7F6D89432}"/>
    <cellStyle name="Normal 4 8 5 4" xfId="10644" xr:uid="{4C333C02-A861-4A5C-ACBE-6A0F7F429B9A}"/>
    <cellStyle name="Normal 4 8 6" xfId="2561" xr:uid="{00000000-0005-0000-0000-0000D9160000}"/>
    <cellStyle name="Normal 4 8 6 2" xfId="6846" xr:uid="{00000000-0005-0000-0000-0000DA160000}"/>
    <cellStyle name="Normal 4 8 6 2 2" xfId="15275" xr:uid="{2CA9869B-6E6F-43A0-B5D6-001D13641552}"/>
    <cellStyle name="Normal 4 8 6 3" xfId="11057" xr:uid="{5F03BFE8-30B1-4ACA-A2E5-DCA29153E9B0}"/>
    <cellStyle name="Normal 4 8 7" xfId="4781" xr:uid="{00000000-0005-0000-0000-0000DB160000}"/>
    <cellStyle name="Normal 4 8 7 2" xfId="13210" xr:uid="{73CA598E-9A86-4305-9A0E-334ABF961267}"/>
    <cellStyle name="Normal 4 8 8" xfId="8992" xr:uid="{01A4EF1E-8A59-4651-881C-1F92F623C175}"/>
    <cellStyle name="Normal 4 9" xfId="4718" xr:uid="{00000000-0005-0000-0000-0000DC160000}"/>
    <cellStyle name="Normal 4 9 2" xfId="13147" xr:uid="{6AE0CB72-74CB-4857-9A6C-8A198A1820C4}"/>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2 2" xfId="16595" xr:uid="{60C57610-1BB5-4BFB-8206-7F3D961842C4}"/>
    <cellStyle name="Normal 5 10 2 3" xfId="12377" xr:uid="{789E423A-CD2C-47F1-AB25-8410A72E291D}"/>
    <cellStyle name="Normal 5 10 3" xfId="6021" xr:uid="{00000000-0005-0000-0000-0000E1160000}"/>
    <cellStyle name="Normal 5 10 3 2" xfId="14450" xr:uid="{05963591-F9F2-49FA-8BF3-6E82B12F0CBA}"/>
    <cellStyle name="Normal 5 10 4" xfId="10232" xr:uid="{2DBE0325-D5C5-41D4-8280-27028E085C9E}"/>
    <cellStyle name="Normal 5 11" xfId="2126" xr:uid="{00000000-0005-0000-0000-0000E2160000}"/>
    <cellStyle name="Normal 5 11 2" xfId="4355" xr:uid="{00000000-0005-0000-0000-0000E3160000}"/>
    <cellStyle name="Normal 5 11 2 2" xfId="8579" xr:uid="{00000000-0005-0000-0000-0000E4160000}"/>
    <cellStyle name="Normal 5 11 2 2 2" xfId="17008" xr:uid="{955D5C1F-803E-42B1-BDF2-AD7A9C9D60B9}"/>
    <cellStyle name="Normal 5 11 2 3" xfId="12790" xr:uid="{BFF36A00-20FC-4C7E-AF6F-D7CA79A87BCC}"/>
    <cellStyle name="Normal 5 11 3" xfId="6434" xr:uid="{00000000-0005-0000-0000-0000E5160000}"/>
    <cellStyle name="Normal 5 11 3 2" xfId="14863" xr:uid="{28134B43-270E-4118-AA23-16AC61BF40AF}"/>
    <cellStyle name="Normal 5 11 4" xfId="10645" xr:uid="{108051C8-A7C9-43F4-A1D7-35550DEB7A35}"/>
    <cellStyle name="Normal 5 12" xfId="2562" xr:uid="{00000000-0005-0000-0000-0000E6160000}"/>
    <cellStyle name="Normal 5 12 2" xfId="6847" xr:uid="{00000000-0005-0000-0000-0000E7160000}"/>
    <cellStyle name="Normal 5 12 2 2" xfId="15276" xr:uid="{D70AA39C-16A1-466F-97F1-AEFE66C906C8}"/>
    <cellStyle name="Normal 5 12 3" xfId="11058" xr:uid="{FB174FC7-7878-4492-BB3C-ED0056CD341F}"/>
    <cellStyle name="Normal 5 13" xfId="4782" xr:uid="{00000000-0005-0000-0000-0000E8160000}"/>
    <cellStyle name="Normal 5 13 2" xfId="13211" xr:uid="{5D53E545-920A-43BE-AB9C-433D0EC9C0D2}"/>
    <cellStyle name="Normal 5 14" xfId="8993" xr:uid="{C0EDB8A7-D019-473A-BB94-38D8086BF6D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2 2" xfId="17009" xr:uid="{6B25F4C8-1CDC-450D-BC84-85A0CEA07E9F}"/>
    <cellStyle name="Normal 5 2 10 2 3" xfId="12791" xr:uid="{5F8052F6-9738-48B3-955F-EC4470F9367F}"/>
    <cellStyle name="Normal 5 2 10 3" xfId="6435" xr:uid="{00000000-0005-0000-0000-0000ED160000}"/>
    <cellStyle name="Normal 5 2 10 3 2" xfId="14864" xr:uid="{72CC4665-0680-4618-9236-8460824E279E}"/>
    <cellStyle name="Normal 5 2 10 4" xfId="10646" xr:uid="{51224A64-30D6-40AA-9698-7A539CD709A2}"/>
    <cellStyle name="Normal 5 2 11" xfId="2563" xr:uid="{00000000-0005-0000-0000-0000EE160000}"/>
    <cellStyle name="Normal 5 2 11 2" xfId="6848" xr:uid="{00000000-0005-0000-0000-0000EF160000}"/>
    <cellStyle name="Normal 5 2 11 2 2" xfId="15277" xr:uid="{AD74B72C-E059-4C27-8280-48ACD8E9E30A}"/>
    <cellStyle name="Normal 5 2 11 3" xfId="11059" xr:uid="{7493537A-A8BC-47DC-9A79-8D13786262CF}"/>
    <cellStyle name="Normal 5 2 12" xfId="4783" xr:uid="{00000000-0005-0000-0000-0000F0160000}"/>
    <cellStyle name="Normal 5 2 12 2" xfId="13212" xr:uid="{8FD6BCF3-1BDB-4C8A-B324-E5FCA0074A16}"/>
    <cellStyle name="Normal 5 2 13" xfId="8994" xr:uid="{12A779D9-6607-47FA-AB22-C2ACFE76F9CC}"/>
    <cellStyle name="Normal 5 2 2" xfId="408" xr:uid="{00000000-0005-0000-0000-0000F1160000}"/>
    <cellStyle name="Normal 5 2 2 10" xfId="2564" xr:uid="{00000000-0005-0000-0000-0000F2160000}"/>
    <cellStyle name="Normal 5 2 2 10 2" xfId="6849" xr:uid="{00000000-0005-0000-0000-0000F3160000}"/>
    <cellStyle name="Normal 5 2 2 10 2 2" xfId="15278" xr:uid="{407A30F8-E713-4066-AA3C-C26701F8ED5D}"/>
    <cellStyle name="Normal 5 2 2 10 3" xfId="11060" xr:uid="{6D4E77A1-0914-4EF0-A0E1-BF080EF28CA0}"/>
    <cellStyle name="Normal 5 2 2 11" xfId="4784" xr:uid="{00000000-0005-0000-0000-0000F4160000}"/>
    <cellStyle name="Normal 5 2 2 11 2" xfId="13213" xr:uid="{FE1F3C87-26D1-4CDC-A10E-E792ED05CD70}"/>
    <cellStyle name="Normal 5 2 2 12" xfId="8995" xr:uid="{CA4B31BC-4792-4CB9-8BB1-D5C258EE704E}"/>
    <cellStyle name="Normal 5 2 2 2" xfId="409" xr:uid="{00000000-0005-0000-0000-0000F5160000}"/>
    <cellStyle name="Normal 5 2 2 2 10" xfId="4785" xr:uid="{00000000-0005-0000-0000-0000F6160000}"/>
    <cellStyle name="Normal 5 2 2 2 10 2" xfId="13214" xr:uid="{D67B47FD-BDA3-4CC5-B3D2-4CD95E066670}"/>
    <cellStyle name="Normal 5 2 2 2 11" xfId="8996" xr:uid="{FE397EFF-4E4B-49C2-807C-123F5C400AF5}"/>
    <cellStyle name="Normal 5 2 2 2 2" xfId="410" xr:uid="{00000000-0005-0000-0000-0000F7160000}"/>
    <cellStyle name="Normal 5 2 2 2 2 10" xfId="8997" xr:uid="{87D11DB5-9847-4D20-B245-1DC0F661D303}"/>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2 2" xfId="15775" xr:uid="{C2CB3958-B937-4209-9A1F-3E99B8DFDBC5}"/>
    <cellStyle name="Normal 5 2 2 2 2 2 2 2 2 3" xfId="11557" xr:uid="{F904582A-226D-42C7-897B-688989A7BA1D}"/>
    <cellStyle name="Normal 5 2 2 2 2 2 2 2 3" xfId="5201" xr:uid="{00000000-0005-0000-0000-0000FD160000}"/>
    <cellStyle name="Normal 5 2 2 2 2 2 2 2 3 2" xfId="13630" xr:uid="{61BBD60F-218E-4AC4-AE5F-3502D159EAAE}"/>
    <cellStyle name="Normal 5 2 2 2 2 2 2 2 4" xfId="9412" xr:uid="{E9E4CB33-A3B4-462F-8D98-549D5DC66E78}"/>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2 2" xfId="16188" xr:uid="{7021C003-F055-44A1-973C-57D7C15C916F}"/>
    <cellStyle name="Normal 5 2 2 2 2 2 2 3 2 3" xfId="11970" xr:uid="{02CFE236-3AAF-4444-9E86-877743AD8C64}"/>
    <cellStyle name="Normal 5 2 2 2 2 2 2 3 3" xfId="5614" xr:uid="{00000000-0005-0000-0000-000001170000}"/>
    <cellStyle name="Normal 5 2 2 2 2 2 2 3 3 2" xfId="14043" xr:uid="{DD914262-20DE-41C6-8A55-3929354DF677}"/>
    <cellStyle name="Normal 5 2 2 2 2 2 2 3 4" xfId="9825" xr:uid="{9083B865-82C5-43DC-ABFA-5FC25C08C81F}"/>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2 2" xfId="16601" xr:uid="{83483B00-38C8-4253-8BFC-61B874EDF8DC}"/>
    <cellStyle name="Normal 5 2 2 2 2 2 2 4 2 3" xfId="12383" xr:uid="{76A3AC74-9712-4930-8358-EBFC8E01BD82}"/>
    <cellStyle name="Normal 5 2 2 2 2 2 2 4 3" xfId="6027" xr:uid="{00000000-0005-0000-0000-000005170000}"/>
    <cellStyle name="Normal 5 2 2 2 2 2 2 4 3 2" xfId="14456" xr:uid="{B8BA096A-F88E-41E9-888D-A9A1F87486F6}"/>
    <cellStyle name="Normal 5 2 2 2 2 2 2 4 4" xfId="10238" xr:uid="{359DE51D-CB68-45B5-943B-D9453ECD4058}"/>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2 2" xfId="17014" xr:uid="{80CC79B1-F243-48F3-B40A-AA291111FC9C}"/>
    <cellStyle name="Normal 5 2 2 2 2 2 2 5 2 3" xfId="12796" xr:uid="{3F31E6B3-1E64-481B-BDD5-B72E27EF949E}"/>
    <cellStyle name="Normal 5 2 2 2 2 2 2 5 3" xfId="6440" xr:uid="{00000000-0005-0000-0000-000009170000}"/>
    <cellStyle name="Normal 5 2 2 2 2 2 2 5 3 2" xfId="14869" xr:uid="{C0910EAB-5B0B-44E0-8B3B-6CC39AD594C6}"/>
    <cellStyle name="Normal 5 2 2 2 2 2 2 5 4" xfId="10651" xr:uid="{A383A8F2-1AF4-469D-95C2-F9B79A961CD7}"/>
    <cellStyle name="Normal 5 2 2 2 2 2 2 6" xfId="2568" xr:uid="{00000000-0005-0000-0000-00000A170000}"/>
    <cellStyle name="Normal 5 2 2 2 2 2 2 6 2" xfId="6853" xr:uid="{00000000-0005-0000-0000-00000B170000}"/>
    <cellStyle name="Normal 5 2 2 2 2 2 2 6 2 2" xfId="15282" xr:uid="{6E3E79F7-C859-4067-97A8-067EDF5024F1}"/>
    <cellStyle name="Normal 5 2 2 2 2 2 2 6 3" xfId="11064" xr:uid="{382F7960-54CD-4990-B63F-51E5510A7490}"/>
    <cellStyle name="Normal 5 2 2 2 2 2 2 7" xfId="4788" xr:uid="{00000000-0005-0000-0000-00000C170000}"/>
    <cellStyle name="Normal 5 2 2 2 2 2 2 7 2" xfId="13217" xr:uid="{D2E9CF5E-0F9F-486D-8B88-1E140E2E7C64}"/>
    <cellStyle name="Normal 5 2 2 2 2 2 2 8" xfId="8999" xr:uid="{505FF575-C027-4BD8-992F-5ACA373FA74A}"/>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2 2" xfId="15774" xr:uid="{8738895D-2DC7-401B-8A57-41A5A79AFC83}"/>
    <cellStyle name="Normal 5 2 2 2 2 2 3 2 3" xfId="11556" xr:uid="{ADEF7FB5-2308-4E43-B9B9-6BE67BF7EA9C}"/>
    <cellStyle name="Normal 5 2 2 2 2 2 3 3" xfId="5200" xr:uid="{00000000-0005-0000-0000-000010170000}"/>
    <cellStyle name="Normal 5 2 2 2 2 2 3 3 2" xfId="13629" xr:uid="{49DBF6FA-6738-41D1-9D07-44B464A19357}"/>
    <cellStyle name="Normal 5 2 2 2 2 2 3 4" xfId="9411" xr:uid="{2F6DF473-09F4-4715-98D6-41C18D7DCC22}"/>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2 2" xfId="16187" xr:uid="{4C795EF9-0068-4C12-B9BC-EA28BBBAE4BF}"/>
    <cellStyle name="Normal 5 2 2 2 2 2 4 2 3" xfId="11969" xr:uid="{29FB345E-F998-432B-8EFF-02B968E0C0DA}"/>
    <cellStyle name="Normal 5 2 2 2 2 2 4 3" xfId="5613" xr:uid="{00000000-0005-0000-0000-000014170000}"/>
    <cellStyle name="Normal 5 2 2 2 2 2 4 3 2" xfId="14042" xr:uid="{2150D94F-77B3-4DD4-A72B-57F21864F1EF}"/>
    <cellStyle name="Normal 5 2 2 2 2 2 4 4" xfId="9824" xr:uid="{31FE821F-99F1-4B5A-8C2F-1B338823875D}"/>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2 2" xfId="16600" xr:uid="{DEDD9BA4-A320-4070-8F92-D6EBEDF0BB3D}"/>
    <cellStyle name="Normal 5 2 2 2 2 2 5 2 3" xfId="12382" xr:uid="{D5735217-C018-4639-9C46-9317E974F503}"/>
    <cellStyle name="Normal 5 2 2 2 2 2 5 3" xfId="6026" xr:uid="{00000000-0005-0000-0000-000018170000}"/>
    <cellStyle name="Normal 5 2 2 2 2 2 5 3 2" xfId="14455" xr:uid="{45AFB741-7A3D-4BB8-A06A-39D06DAAEA82}"/>
    <cellStyle name="Normal 5 2 2 2 2 2 5 4" xfId="10237" xr:uid="{77610625-6BF7-4E1D-BA25-943F18FF664C}"/>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2 2" xfId="17013" xr:uid="{9E6415C3-BAC9-495B-A2C3-D38051B9076C}"/>
    <cellStyle name="Normal 5 2 2 2 2 2 6 2 3" xfId="12795" xr:uid="{9E1DDC91-1779-416B-B68D-6A5738B3536D}"/>
    <cellStyle name="Normal 5 2 2 2 2 2 6 3" xfId="6439" xr:uid="{00000000-0005-0000-0000-00001C170000}"/>
    <cellStyle name="Normal 5 2 2 2 2 2 6 3 2" xfId="14868" xr:uid="{B3744A51-BE26-4ABD-AF3B-8E07894926E5}"/>
    <cellStyle name="Normal 5 2 2 2 2 2 6 4" xfId="10650" xr:uid="{B61287E3-937F-4755-A83F-54F394B8F5C9}"/>
    <cellStyle name="Normal 5 2 2 2 2 2 7" xfId="2567" xr:uid="{00000000-0005-0000-0000-00001D170000}"/>
    <cellStyle name="Normal 5 2 2 2 2 2 7 2" xfId="6852" xr:uid="{00000000-0005-0000-0000-00001E170000}"/>
    <cellStyle name="Normal 5 2 2 2 2 2 7 2 2" xfId="15281" xr:uid="{03B44AC1-A36C-4176-BF97-EB67A4408E9B}"/>
    <cellStyle name="Normal 5 2 2 2 2 2 7 3" xfId="11063" xr:uid="{0152769C-DADD-48D9-8A44-AF0CAFC39223}"/>
    <cellStyle name="Normal 5 2 2 2 2 2 8" xfId="4787" xr:uid="{00000000-0005-0000-0000-00001F170000}"/>
    <cellStyle name="Normal 5 2 2 2 2 2 8 2" xfId="13216" xr:uid="{D075958F-CC49-45DD-AC78-58568642BE53}"/>
    <cellStyle name="Normal 5 2 2 2 2 2 9" xfId="8998" xr:uid="{E9547787-0A93-4E46-97BC-150D5B6E1CB2}"/>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2 2" xfId="15776" xr:uid="{E41A442F-9C08-4662-B4D5-F92C50F48A83}"/>
    <cellStyle name="Normal 5 2 2 2 2 3 2 2 3" xfId="11558" xr:uid="{3A567453-31C4-4682-A093-A95A3DB15A6E}"/>
    <cellStyle name="Normal 5 2 2 2 2 3 2 3" xfId="5202" xr:uid="{00000000-0005-0000-0000-000024170000}"/>
    <cellStyle name="Normal 5 2 2 2 2 3 2 3 2" xfId="13631" xr:uid="{04323D57-7361-4BA3-8D6F-433CCC620D8A}"/>
    <cellStyle name="Normal 5 2 2 2 2 3 2 4" xfId="9413" xr:uid="{03BC76E7-0533-46C3-87AC-E33AE2A0B424}"/>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2 2" xfId="16189" xr:uid="{1E662807-C9E8-44F4-8CE7-FC29C35D679F}"/>
    <cellStyle name="Normal 5 2 2 2 2 3 3 2 3" xfId="11971" xr:uid="{994EBAA3-FCB3-402C-930B-4C7B1C8A4543}"/>
    <cellStyle name="Normal 5 2 2 2 2 3 3 3" xfId="5615" xr:uid="{00000000-0005-0000-0000-000028170000}"/>
    <cellStyle name="Normal 5 2 2 2 2 3 3 3 2" xfId="14044" xr:uid="{E7597E5F-BDBD-4C5E-A2D3-5DDBAF3A3147}"/>
    <cellStyle name="Normal 5 2 2 2 2 3 3 4" xfId="9826" xr:uid="{A8A73B9B-32F3-4913-A1AD-378448ACD4A5}"/>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2 2" xfId="16602" xr:uid="{5C5228CC-9972-4E2A-A9FE-3186F225335C}"/>
    <cellStyle name="Normal 5 2 2 2 2 3 4 2 3" xfId="12384" xr:uid="{16471D46-1FA9-4BDB-B9B9-6D57BDED1D42}"/>
    <cellStyle name="Normal 5 2 2 2 2 3 4 3" xfId="6028" xr:uid="{00000000-0005-0000-0000-00002C170000}"/>
    <cellStyle name="Normal 5 2 2 2 2 3 4 3 2" xfId="14457" xr:uid="{00F78588-E542-44F2-A7EE-3D83B3104342}"/>
    <cellStyle name="Normal 5 2 2 2 2 3 4 4" xfId="10239" xr:uid="{0EF71475-199D-4A24-A9FF-C05CDF4A4936}"/>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2 2" xfId="17015" xr:uid="{1C118538-38E0-4CE0-B9F5-2A2D086805C5}"/>
    <cellStyle name="Normal 5 2 2 2 2 3 5 2 3" xfId="12797" xr:uid="{6D9E5D7A-E0F9-43C8-BC6B-208CCBFF69F8}"/>
    <cellStyle name="Normal 5 2 2 2 2 3 5 3" xfId="6441" xr:uid="{00000000-0005-0000-0000-000030170000}"/>
    <cellStyle name="Normal 5 2 2 2 2 3 5 3 2" xfId="14870" xr:uid="{2D4E4E19-730D-4D00-B130-4309E39B14A2}"/>
    <cellStyle name="Normal 5 2 2 2 2 3 5 4" xfId="10652" xr:uid="{963698D0-CCA1-4FEF-B438-F82A981DBFB7}"/>
    <cellStyle name="Normal 5 2 2 2 2 3 6" xfId="2569" xr:uid="{00000000-0005-0000-0000-000031170000}"/>
    <cellStyle name="Normal 5 2 2 2 2 3 6 2" xfId="6854" xr:uid="{00000000-0005-0000-0000-000032170000}"/>
    <cellStyle name="Normal 5 2 2 2 2 3 6 2 2" xfId="15283" xr:uid="{6C85CA85-4D0D-4EED-A5A4-78DE47987E50}"/>
    <cellStyle name="Normal 5 2 2 2 2 3 6 3" xfId="11065" xr:uid="{A0E23509-5FEA-4DF5-889D-F13E235C73B6}"/>
    <cellStyle name="Normal 5 2 2 2 2 3 7" xfId="4789" xr:uid="{00000000-0005-0000-0000-000033170000}"/>
    <cellStyle name="Normal 5 2 2 2 2 3 7 2" xfId="13218" xr:uid="{35740874-E0A3-428D-8DFE-1C9CF021A375}"/>
    <cellStyle name="Normal 5 2 2 2 2 3 8" xfId="9000" xr:uid="{D70DEB23-DE4C-43D8-BA23-EA13178B7F53}"/>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2 2" xfId="15773" xr:uid="{95EDF72F-CF1B-4507-9035-25FEAC804EFD}"/>
    <cellStyle name="Normal 5 2 2 2 2 4 2 3" xfId="11555" xr:uid="{517CCD78-A336-4083-A698-F3C1C03A6101}"/>
    <cellStyle name="Normal 5 2 2 2 2 4 3" xfId="5199" xr:uid="{00000000-0005-0000-0000-000037170000}"/>
    <cellStyle name="Normal 5 2 2 2 2 4 3 2" xfId="13628" xr:uid="{9B9A5494-4B12-406C-857F-7F0D76B0DB67}"/>
    <cellStyle name="Normal 5 2 2 2 2 4 4" xfId="9410" xr:uid="{371121C9-D1C7-4FDB-921A-4201E6C61912}"/>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2 2" xfId="16186" xr:uid="{470A30E5-FCB7-4100-B9DA-24A21FF9AA07}"/>
    <cellStyle name="Normal 5 2 2 2 2 5 2 3" xfId="11968" xr:uid="{057D531D-CE84-453B-8FC5-4516E1D94768}"/>
    <cellStyle name="Normal 5 2 2 2 2 5 3" xfId="5612" xr:uid="{00000000-0005-0000-0000-00003B170000}"/>
    <cellStyle name="Normal 5 2 2 2 2 5 3 2" xfId="14041" xr:uid="{EE1CD78B-0AD8-45A3-8038-CCDD62B7922F}"/>
    <cellStyle name="Normal 5 2 2 2 2 5 4" xfId="9823" xr:uid="{0D8EB782-11AA-4461-8F07-8C949E048D41}"/>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2 2" xfId="16599" xr:uid="{63E2DE17-C2BA-442D-AE04-7D279CEDDA58}"/>
    <cellStyle name="Normal 5 2 2 2 2 6 2 3" xfId="12381" xr:uid="{6774DFCF-B37F-47CD-890F-F00330D9CB52}"/>
    <cellStyle name="Normal 5 2 2 2 2 6 3" xfId="6025" xr:uid="{00000000-0005-0000-0000-00003F170000}"/>
    <cellStyle name="Normal 5 2 2 2 2 6 3 2" xfId="14454" xr:uid="{D3C06D64-3EBE-4766-A8F5-2407C02474B9}"/>
    <cellStyle name="Normal 5 2 2 2 2 6 4" xfId="10236" xr:uid="{420A4BE2-0311-48B1-9320-616DD9CE8F9C}"/>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2 2" xfId="17012" xr:uid="{F12172F4-1888-435D-8739-D127179AC038}"/>
    <cellStyle name="Normal 5 2 2 2 2 7 2 3" xfId="12794" xr:uid="{C5FDBDCC-D425-4B05-97AC-E399674DA475}"/>
    <cellStyle name="Normal 5 2 2 2 2 7 3" xfId="6438" xr:uid="{00000000-0005-0000-0000-000043170000}"/>
    <cellStyle name="Normal 5 2 2 2 2 7 3 2" xfId="14867" xr:uid="{5742BA02-6803-48C3-B44B-76FA5E5AAC6C}"/>
    <cellStyle name="Normal 5 2 2 2 2 7 4" xfId="10649" xr:uid="{4CB274AF-867E-4390-A99B-F652510319A1}"/>
    <cellStyle name="Normal 5 2 2 2 2 8" xfId="2566" xr:uid="{00000000-0005-0000-0000-000044170000}"/>
    <cellStyle name="Normal 5 2 2 2 2 8 2" xfId="6851" xr:uid="{00000000-0005-0000-0000-000045170000}"/>
    <cellStyle name="Normal 5 2 2 2 2 8 2 2" xfId="15280" xr:uid="{9AF333F7-BC5A-4241-8220-47152CE045FA}"/>
    <cellStyle name="Normal 5 2 2 2 2 8 3" xfId="11062" xr:uid="{E66774FE-0697-43B8-B6BB-C3FAA67878E9}"/>
    <cellStyle name="Normal 5 2 2 2 2 9" xfId="4786" xr:uid="{00000000-0005-0000-0000-000046170000}"/>
    <cellStyle name="Normal 5 2 2 2 2 9 2" xfId="13215" xr:uid="{C76453CF-B248-4767-8AD7-3DD0E8741489}"/>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2 2" xfId="15778" xr:uid="{224565C3-A47D-429A-8FFD-A4F6CF9D956F}"/>
    <cellStyle name="Normal 5 2 2 2 3 2 2 2 3" xfId="11560" xr:uid="{3ACF2AAC-44C4-4B5B-BD5D-D848CB5ADDF5}"/>
    <cellStyle name="Normal 5 2 2 2 3 2 2 3" xfId="5204" xr:uid="{00000000-0005-0000-0000-00004C170000}"/>
    <cellStyle name="Normal 5 2 2 2 3 2 2 3 2" xfId="13633" xr:uid="{9D95D4CF-948F-46D5-A302-F7564ABC999C}"/>
    <cellStyle name="Normal 5 2 2 2 3 2 2 4" xfId="9415" xr:uid="{FFDD0EF3-C332-4371-8633-510E618921C3}"/>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2 2" xfId="16191" xr:uid="{E04324B5-EC99-40DC-9636-80CD58A8B580}"/>
    <cellStyle name="Normal 5 2 2 2 3 2 3 2 3" xfId="11973" xr:uid="{9C9669B3-6F0F-49B3-A3B6-626824AF6C05}"/>
    <cellStyle name="Normal 5 2 2 2 3 2 3 3" xfId="5617" xr:uid="{00000000-0005-0000-0000-000050170000}"/>
    <cellStyle name="Normal 5 2 2 2 3 2 3 3 2" xfId="14046" xr:uid="{0DA2B1B1-FC77-4840-8253-8B769152414C}"/>
    <cellStyle name="Normal 5 2 2 2 3 2 3 4" xfId="9828" xr:uid="{04684292-BF2F-4B61-BEF3-B569B144CE9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2 2" xfId="16604" xr:uid="{9771EC85-0FA7-47A6-95D0-EF5B65509E17}"/>
    <cellStyle name="Normal 5 2 2 2 3 2 4 2 3" xfId="12386" xr:uid="{A302F918-6849-436D-BF39-C0B4A428B6E9}"/>
    <cellStyle name="Normal 5 2 2 2 3 2 4 3" xfId="6030" xr:uid="{00000000-0005-0000-0000-000054170000}"/>
    <cellStyle name="Normal 5 2 2 2 3 2 4 3 2" xfId="14459" xr:uid="{0784A4E3-7C1E-47E4-8995-E095A419AABA}"/>
    <cellStyle name="Normal 5 2 2 2 3 2 4 4" xfId="10241" xr:uid="{50D06CBC-DBA6-4575-99C8-27C6C4F84F3F}"/>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2 2" xfId="17017" xr:uid="{55BDA6A8-B514-40E6-A360-A869158A906D}"/>
    <cellStyle name="Normal 5 2 2 2 3 2 5 2 3" xfId="12799" xr:uid="{12F5F6CB-8B8B-4ACA-87E7-85AD97CDFD8A}"/>
    <cellStyle name="Normal 5 2 2 2 3 2 5 3" xfId="6443" xr:uid="{00000000-0005-0000-0000-000058170000}"/>
    <cellStyle name="Normal 5 2 2 2 3 2 5 3 2" xfId="14872" xr:uid="{F472586E-649C-4E9A-A31F-6071A5BAD469}"/>
    <cellStyle name="Normal 5 2 2 2 3 2 5 4" xfId="10654" xr:uid="{56C6F421-80C4-4498-BCB6-65DF6B72B71F}"/>
    <cellStyle name="Normal 5 2 2 2 3 2 6" xfId="2571" xr:uid="{00000000-0005-0000-0000-000059170000}"/>
    <cellStyle name="Normal 5 2 2 2 3 2 6 2" xfId="6856" xr:uid="{00000000-0005-0000-0000-00005A170000}"/>
    <cellStyle name="Normal 5 2 2 2 3 2 6 2 2" xfId="15285" xr:uid="{CC3AAA55-B4B0-461F-B0C9-E2298FF43621}"/>
    <cellStyle name="Normal 5 2 2 2 3 2 6 3" xfId="11067" xr:uid="{D0800789-4CD1-4289-99F5-3492D972F518}"/>
    <cellStyle name="Normal 5 2 2 2 3 2 7" xfId="4791" xr:uid="{00000000-0005-0000-0000-00005B170000}"/>
    <cellStyle name="Normal 5 2 2 2 3 2 7 2" xfId="13220" xr:uid="{E2B713E5-6852-4645-AAF1-0F455A07D43E}"/>
    <cellStyle name="Normal 5 2 2 2 3 2 8" xfId="9002" xr:uid="{BEEDE19C-7176-4461-ABED-50C1DC3A2578}"/>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2 2" xfId="15777" xr:uid="{FA1AC797-8340-4614-B621-2A41C4EE48B2}"/>
    <cellStyle name="Normal 5 2 2 2 3 3 2 3" xfId="11559" xr:uid="{EB6B8046-B50D-42B7-89CF-5E128D7A0E13}"/>
    <cellStyle name="Normal 5 2 2 2 3 3 3" xfId="5203" xr:uid="{00000000-0005-0000-0000-00005F170000}"/>
    <cellStyle name="Normal 5 2 2 2 3 3 3 2" xfId="13632" xr:uid="{9BA7C31B-1651-495C-9E07-CB899F9FD71D}"/>
    <cellStyle name="Normal 5 2 2 2 3 3 4" xfId="9414" xr:uid="{8791AC0A-4B58-4443-9E87-555DDDF6C09A}"/>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2 2" xfId="16190" xr:uid="{700C7E0A-33CA-4D03-B744-96DDA63CDF1F}"/>
    <cellStyle name="Normal 5 2 2 2 3 4 2 3" xfId="11972" xr:uid="{1E237403-E0E8-4F92-9948-4AB3B95507CF}"/>
    <cellStyle name="Normal 5 2 2 2 3 4 3" xfId="5616" xr:uid="{00000000-0005-0000-0000-000063170000}"/>
    <cellStyle name="Normal 5 2 2 2 3 4 3 2" xfId="14045" xr:uid="{3CD9E702-E4F0-4119-9485-D6C19CAF6459}"/>
    <cellStyle name="Normal 5 2 2 2 3 4 4" xfId="9827" xr:uid="{87F96B88-7B4D-472E-8306-BDAB9858A3DF}"/>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2 2" xfId="16603" xr:uid="{E0E74C58-9D48-4378-AFB2-B65A467B4A9D}"/>
    <cellStyle name="Normal 5 2 2 2 3 5 2 3" xfId="12385" xr:uid="{40A3D0F1-F4E0-4A0A-9BB5-1B79519CA17E}"/>
    <cellStyle name="Normal 5 2 2 2 3 5 3" xfId="6029" xr:uid="{00000000-0005-0000-0000-000067170000}"/>
    <cellStyle name="Normal 5 2 2 2 3 5 3 2" xfId="14458" xr:uid="{21D49312-5E65-4C76-9150-67E4AF2A6098}"/>
    <cellStyle name="Normal 5 2 2 2 3 5 4" xfId="10240" xr:uid="{0A312F96-92D4-4AFD-BBC0-56A3D0F53C3F}"/>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2 2" xfId="17016" xr:uid="{A280DF26-BF3F-42FD-8E87-CF6057FCD0FE}"/>
    <cellStyle name="Normal 5 2 2 2 3 6 2 3" xfId="12798" xr:uid="{732EEF0A-33DC-4D64-92C2-664A9CE003F9}"/>
    <cellStyle name="Normal 5 2 2 2 3 6 3" xfId="6442" xr:uid="{00000000-0005-0000-0000-00006B170000}"/>
    <cellStyle name="Normal 5 2 2 2 3 6 3 2" xfId="14871" xr:uid="{2A9E52CC-6361-4111-A555-AA091DE3420C}"/>
    <cellStyle name="Normal 5 2 2 2 3 6 4" xfId="10653" xr:uid="{6601F6CC-0D55-4BBE-A524-40358B7C8378}"/>
    <cellStyle name="Normal 5 2 2 2 3 7" xfId="2570" xr:uid="{00000000-0005-0000-0000-00006C170000}"/>
    <cellStyle name="Normal 5 2 2 2 3 7 2" xfId="6855" xr:uid="{00000000-0005-0000-0000-00006D170000}"/>
    <cellStyle name="Normal 5 2 2 2 3 7 2 2" xfId="15284" xr:uid="{CD123311-0357-4CF4-88AE-8FAED133207D}"/>
    <cellStyle name="Normal 5 2 2 2 3 7 3" xfId="11066" xr:uid="{493FC71C-27E1-4DA4-B09E-854672CC25F2}"/>
    <cellStyle name="Normal 5 2 2 2 3 8" xfId="4790" xr:uid="{00000000-0005-0000-0000-00006E170000}"/>
    <cellStyle name="Normal 5 2 2 2 3 8 2" xfId="13219" xr:uid="{BCC3F08F-E3CE-4D39-8B5E-157F79E5CA34}"/>
    <cellStyle name="Normal 5 2 2 2 3 9" xfId="9001" xr:uid="{7AE75104-4CF7-4196-ABF2-FDA75F64618C}"/>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2 2" xfId="15779" xr:uid="{EA4855E4-46BA-42A5-9B10-3F2A76E7930B}"/>
    <cellStyle name="Normal 5 2 2 2 4 2 2 3" xfId="11561" xr:uid="{9510813C-AA8E-4FB8-8640-102ED0F3539F}"/>
    <cellStyle name="Normal 5 2 2 2 4 2 3" xfId="5205" xr:uid="{00000000-0005-0000-0000-000073170000}"/>
    <cellStyle name="Normal 5 2 2 2 4 2 3 2" xfId="13634" xr:uid="{280BCBBF-C4A7-4141-B32B-6469EC9E75C1}"/>
    <cellStyle name="Normal 5 2 2 2 4 2 4" xfId="9416" xr:uid="{E2583641-AA41-4CFD-B5FF-EEF10A805CDD}"/>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2 2" xfId="16192" xr:uid="{7CBF0D5D-9C66-4F27-9352-A009130A047A}"/>
    <cellStyle name="Normal 5 2 2 2 4 3 2 3" xfId="11974" xr:uid="{06A81CE7-08E9-4660-857F-0A5F1A72FDDF}"/>
    <cellStyle name="Normal 5 2 2 2 4 3 3" xfId="5618" xr:uid="{00000000-0005-0000-0000-000077170000}"/>
    <cellStyle name="Normal 5 2 2 2 4 3 3 2" xfId="14047" xr:uid="{84C6E419-C98B-46EA-AEC2-869287EC54CD}"/>
    <cellStyle name="Normal 5 2 2 2 4 3 4" xfId="9829" xr:uid="{EFFF5169-BAFD-4838-BBEB-2F6082FA2C77}"/>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2 2" xfId="16605" xr:uid="{4FE5344F-B39F-4295-A8DA-61E40CABE45E}"/>
    <cellStyle name="Normal 5 2 2 2 4 4 2 3" xfId="12387" xr:uid="{32FB670F-45C9-4F16-843C-4B27D227B7F1}"/>
    <cellStyle name="Normal 5 2 2 2 4 4 3" xfId="6031" xr:uid="{00000000-0005-0000-0000-00007B170000}"/>
    <cellStyle name="Normal 5 2 2 2 4 4 3 2" xfId="14460" xr:uid="{12434508-03F3-4421-AD62-F2D342703580}"/>
    <cellStyle name="Normal 5 2 2 2 4 4 4" xfId="10242" xr:uid="{E6ED4B10-0D44-4476-9182-ACE107240BF3}"/>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2 2" xfId="17018" xr:uid="{6D183F06-8465-46D8-8101-DAA7ED4FA6AA}"/>
    <cellStyle name="Normal 5 2 2 2 4 5 2 3" xfId="12800" xr:uid="{4A7D6C29-E3D4-44C6-A189-0371E376C85A}"/>
    <cellStyle name="Normal 5 2 2 2 4 5 3" xfId="6444" xr:uid="{00000000-0005-0000-0000-00007F170000}"/>
    <cellStyle name="Normal 5 2 2 2 4 5 3 2" xfId="14873" xr:uid="{42BB5CCC-DC5B-426B-9024-C635B78A486B}"/>
    <cellStyle name="Normal 5 2 2 2 4 5 4" xfId="10655" xr:uid="{AAC1A366-0387-41F0-A44D-7F322D38C056}"/>
    <cellStyle name="Normal 5 2 2 2 4 6" xfId="2572" xr:uid="{00000000-0005-0000-0000-000080170000}"/>
    <cellStyle name="Normal 5 2 2 2 4 6 2" xfId="6857" xr:uid="{00000000-0005-0000-0000-000081170000}"/>
    <cellStyle name="Normal 5 2 2 2 4 6 2 2" xfId="15286" xr:uid="{ECA23F0C-F1E6-4701-BFC1-F129A46C63B4}"/>
    <cellStyle name="Normal 5 2 2 2 4 6 3" xfId="11068" xr:uid="{A2E5772C-57D9-4535-9BE7-7B4F350F5580}"/>
    <cellStyle name="Normal 5 2 2 2 4 7" xfId="4792" xr:uid="{00000000-0005-0000-0000-000082170000}"/>
    <cellStyle name="Normal 5 2 2 2 4 7 2" xfId="13221" xr:uid="{860EE37E-ED47-4B81-9487-35847A09E15D}"/>
    <cellStyle name="Normal 5 2 2 2 4 8" xfId="9003" xr:uid="{B4CD50A2-0D29-444A-AFE6-D64BD848E736}"/>
    <cellStyle name="Normal 5 2 2 2 5" xfId="884" xr:uid="{00000000-0005-0000-0000-000083170000}"/>
    <cellStyle name="Normal 5 2 2 2 5 2" xfId="3119" xr:uid="{00000000-0005-0000-0000-000084170000}"/>
    <cellStyle name="Normal 5 2 2 2 5 2 2" xfId="7343" xr:uid="{00000000-0005-0000-0000-000085170000}"/>
    <cellStyle name="Normal 5 2 2 2 5 2 2 2" xfId="15772" xr:uid="{1D297B48-D28D-49DF-AF69-104D069F2664}"/>
    <cellStyle name="Normal 5 2 2 2 5 2 3" xfId="11554" xr:uid="{A5731A1D-75BC-4FDF-99C4-A1D7DC7D9087}"/>
    <cellStyle name="Normal 5 2 2 2 5 3" xfId="5198" xr:uid="{00000000-0005-0000-0000-000086170000}"/>
    <cellStyle name="Normal 5 2 2 2 5 3 2" xfId="13627" xr:uid="{7BB9F3AE-2851-4E7D-8874-AA8F12E9D559}"/>
    <cellStyle name="Normal 5 2 2 2 5 4" xfId="9409" xr:uid="{524249DD-FF13-449D-AF5E-1377290BC998}"/>
    <cellStyle name="Normal 5 2 2 2 6" xfId="1302" xr:uid="{00000000-0005-0000-0000-000087170000}"/>
    <cellStyle name="Normal 5 2 2 2 6 2" xfId="3532" xr:uid="{00000000-0005-0000-0000-000088170000}"/>
    <cellStyle name="Normal 5 2 2 2 6 2 2" xfId="7756" xr:uid="{00000000-0005-0000-0000-000089170000}"/>
    <cellStyle name="Normal 5 2 2 2 6 2 2 2" xfId="16185" xr:uid="{DCC7855A-D84B-447A-AF2F-E442532B3C22}"/>
    <cellStyle name="Normal 5 2 2 2 6 2 3" xfId="11967" xr:uid="{578C3AFE-FA1B-4085-9604-9FE1D8838DCC}"/>
    <cellStyle name="Normal 5 2 2 2 6 3" xfId="5611" xr:uid="{00000000-0005-0000-0000-00008A170000}"/>
    <cellStyle name="Normal 5 2 2 2 6 3 2" xfId="14040" xr:uid="{C8A02B79-8DD9-400B-901C-F4C86F89D4B4}"/>
    <cellStyle name="Normal 5 2 2 2 6 4" xfId="9822" xr:uid="{B5CB9F90-9E4E-4861-AF6A-FDB56219529A}"/>
    <cellStyle name="Normal 5 2 2 2 7" xfId="1715" xr:uid="{00000000-0005-0000-0000-00008B170000}"/>
    <cellStyle name="Normal 5 2 2 2 7 2" xfId="3945" xr:uid="{00000000-0005-0000-0000-00008C170000}"/>
    <cellStyle name="Normal 5 2 2 2 7 2 2" xfId="8169" xr:uid="{00000000-0005-0000-0000-00008D170000}"/>
    <cellStyle name="Normal 5 2 2 2 7 2 2 2" xfId="16598" xr:uid="{95C05324-9929-46B5-A2D7-99AD17CF929D}"/>
    <cellStyle name="Normal 5 2 2 2 7 2 3" xfId="12380" xr:uid="{E097C793-253E-4F51-B262-2591E175DA4D}"/>
    <cellStyle name="Normal 5 2 2 2 7 3" xfId="6024" xr:uid="{00000000-0005-0000-0000-00008E170000}"/>
    <cellStyle name="Normal 5 2 2 2 7 3 2" xfId="14453" xr:uid="{64333B0C-142E-4C89-A43C-C0D7D903D0B8}"/>
    <cellStyle name="Normal 5 2 2 2 7 4" xfId="10235" xr:uid="{BE166A8D-87EE-45F5-883B-82430C8EAC6D}"/>
    <cellStyle name="Normal 5 2 2 2 8" xfId="2129" xr:uid="{00000000-0005-0000-0000-00008F170000}"/>
    <cellStyle name="Normal 5 2 2 2 8 2" xfId="4358" xr:uid="{00000000-0005-0000-0000-000090170000}"/>
    <cellStyle name="Normal 5 2 2 2 8 2 2" xfId="8582" xr:uid="{00000000-0005-0000-0000-000091170000}"/>
    <cellStyle name="Normal 5 2 2 2 8 2 2 2" xfId="17011" xr:uid="{C7F067C3-3758-401D-8282-278CADC2222C}"/>
    <cellStyle name="Normal 5 2 2 2 8 2 3" xfId="12793" xr:uid="{239385D2-6862-4713-9D72-D8D0D1A2B125}"/>
    <cellStyle name="Normal 5 2 2 2 8 3" xfId="6437" xr:uid="{00000000-0005-0000-0000-000092170000}"/>
    <cellStyle name="Normal 5 2 2 2 8 3 2" xfId="14866" xr:uid="{9EA16FEA-9320-4B41-8EF6-D41126A02084}"/>
    <cellStyle name="Normal 5 2 2 2 8 4" xfId="10648" xr:uid="{3C3B1DBC-E70E-454B-A17B-4445E9A8826F}"/>
    <cellStyle name="Normal 5 2 2 2 9" xfId="2565" xr:uid="{00000000-0005-0000-0000-000093170000}"/>
    <cellStyle name="Normal 5 2 2 2 9 2" xfId="6850" xr:uid="{00000000-0005-0000-0000-000094170000}"/>
    <cellStyle name="Normal 5 2 2 2 9 2 2" xfId="15279" xr:uid="{07971174-B0FC-41C5-B554-E153412B4551}"/>
    <cellStyle name="Normal 5 2 2 2 9 3" xfId="11061" xr:uid="{2D28EDBD-EB7E-45E9-B6FC-08D94F603EC2}"/>
    <cellStyle name="Normal 5 2 2 3" xfId="417" xr:uid="{00000000-0005-0000-0000-000095170000}"/>
    <cellStyle name="Normal 5 2 2 3 10" xfId="9004" xr:uid="{9A36DDFC-3AE3-4E46-9072-A0114B560CDE}"/>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2 2" xfId="15782" xr:uid="{1B5D8942-7A87-44FE-8877-EE8D17053D1E}"/>
    <cellStyle name="Normal 5 2 2 3 2 2 2 2 3" xfId="11564" xr:uid="{FA855C56-0658-4F06-9681-BCC5CBDE7D03}"/>
    <cellStyle name="Normal 5 2 2 3 2 2 2 3" xfId="5208" xr:uid="{00000000-0005-0000-0000-00009B170000}"/>
    <cellStyle name="Normal 5 2 2 3 2 2 2 3 2" xfId="13637" xr:uid="{7209A92D-BF1B-416B-89B2-CE12BC0579EF}"/>
    <cellStyle name="Normal 5 2 2 3 2 2 2 4" xfId="9419" xr:uid="{0EB5A386-F47C-44EA-916C-477EB987BDD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2 2" xfId="16195" xr:uid="{CFC2B5C8-D276-4F2C-8083-F683F501075C}"/>
    <cellStyle name="Normal 5 2 2 3 2 2 3 2 3" xfId="11977" xr:uid="{E4881B00-7768-4FEA-B4F5-345B9640D33D}"/>
    <cellStyle name="Normal 5 2 2 3 2 2 3 3" xfId="5621" xr:uid="{00000000-0005-0000-0000-00009F170000}"/>
    <cellStyle name="Normal 5 2 2 3 2 2 3 3 2" xfId="14050" xr:uid="{03DB3D47-F5D6-4E15-8688-D94863D96531}"/>
    <cellStyle name="Normal 5 2 2 3 2 2 3 4" xfId="9832" xr:uid="{275F1F70-CD4E-40D9-91D5-FBA47A56D1CF}"/>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2 2" xfId="16608" xr:uid="{00BD52A2-2595-4393-A853-9133EE464E9E}"/>
    <cellStyle name="Normal 5 2 2 3 2 2 4 2 3" xfId="12390" xr:uid="{7238BC28-4B8A-4B13-B5D9-208C0E9910F1}"/>
    <cellStyle name="Normal 5 2 2 3 2 2 4 3" xfId="6034" xr:uid="{00000000-0005-0000-0000-0000A3170000}"/>
    <cellStyle name="Normal 5 2 2 3 2 2 4 3 2" xfId="14463" xr:uid="{666A3FD3-AE5C-4A44-8AA7-EBA4AF645579}"/>
    <cellStyle name="Normal 5 2 2 3 2 2 4 4" xfId="10245" xr:uid="{672CDA4B-481C-4297-8FE6-7C8396BF72E9}"/>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2 2" xfId="17021" xr:uid="{68E77159-DF48-4B02-9661-96F1629F6D4F}"/>
    <cellStyle name="Normal 5 2 2 3 2 2 5 2 3" xfId="12803" xr:uid="{B68CFCEB-9F1C-4261-88E9-3A6E26F22C85}"/>
    <cellStyle name="Normal 5 2 2 3 2 2 5 3" xfId="6447" xr:uid="{00000000-0005-0000-0000-0000A7170000}"/>
    <cellStyle name="Normal 5 2 2 3 2 2 5 3 2" xfId="14876" xr:uid="{DD1CA924-7C24-47B9-A897-040B59EA92D3}"/>
    <cellStyle name="Normal 5 2 2 3 2 2 5 4" xfId="10658" xr:uid="{9E868FAB-69F0-4264-A51F-BD7D1A339C44}"/>
    <cellStyle name="Normal 5 2 2 3 2 2 6" xfId="2575" xr:uid="{00000000-0005-0000-0000-0000A8170000}"/>
    <cellStyle name="Normal 5 2 2 3 2 2 6 2" xfId="6860" xr:uid="{00000000-0005-0000-0000-0000A9170000}"/>
    <cellStyle name="Normal 5 2 2 3 2 2 6 2 2" xfId="15289" xr:uid="{55A46009-1227-4024-A06D-70BD515CBEFC}"/>
    <cellStyle name="Normal 5 2 2 3 2 2 6 3" xfId="11071" xr:uid="{41551367-1E25-4745-BAB7-2E1F1455CC95}"/>
    <cellStyle name="Normal 5 2 2 3 2 2 7" xfId="4795" xr:uid="{00000000-0005-0000-0000-0000AA170000}"/>
    <cellStyle name="Normal 5 2 2 3 2 2 7 2" xfId="13224" xr:uid="{C8D32666-4348-4682-972D-928015B5A55B}"/>
    <cellStyle name="Normal 5 2 2 3 2 2 8" xfId="9006" xr:uid="{E6A833DE-EC35-429C-A673-2E5E01F1C225}"/>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2 2" xfId="15781" xr:uid="{085EE110-FCAD-462F-AE63-F407D9427E34}"/>
    <cellStyle name="Normal 5 2 2 3 2 3 2 3" xfId="11563" xr:uid="{9A64AB2F-8E03-45E8-B60C-8B0570E05849}"/>
    <cellStyle name="Normal 5 2 2 3 2 3 3" xfId="5207" xr:uid="{00000000-0005-0000-0000-0000AE170000}"/>
    <cellStyle name="Normal 5 2 2 3 2 3 3 2" xfId="13636" xr:uid="{74F0B0AA-523F-4AE1-A26C-F6058F0C660E}"/>
    <cellStyle name="Normal 5 2 2 3 2 3 4" xfId="9418" xr:uid="{5A786C30-D662-4161-B110-CE7A88F5F7AE}"/>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2 2" xfId="16194" xr:uid="{70E45EA2-57BA-4F3E-90B9-BC3B76CBEBED}"/>
    <cellStyle name="Normal 5 2 2 3 2 4 2 3" xfId="11976" xr:uid="{DEE9EB45-6C70-4032-952F-CB48FFFA3926}"/>
    <cellStyle name="Normal 5 2 2 3 2 4 3" xfId="5620" xr:uid="{00000000-0005-0000-0000-0000B2170000}"/>
    <cellStyle name="Normal 5 2 2 3 2 4 3 2" xfId="14049" xr:uid="{A0D45710-8AE0-48A9-87E7-8DB4A2F34A28}"/>
    <cellStyle name="Normal 5 2 2 3 2 4 4" xfId="9831" xr:uid="{68992C56-D208-400B-9588-FBAAAEA9E3C6}"/>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2 2" xfId="16607" xr:uid="{2A49C122-E433-4B9E-B5EB-0FB4611CF8F6}"/>
    <cellStyle name="Normal 5 2 2 3 2 5 2 3" xfId="12389" xr:uid="{92E0E9D8-002E-4155-859B-1348BEF21E95}"/>
    <cellStyle name="Normal 5 2 2 3 2 5 3" xfId="6033" xr:uid="{00000000-0005-0000-0000-0000B6170000}"/>
    <cellStyle name="Normal 5 2 2 3 2 5 3 2" xfId="14462" xr:uid="{F2CA3006-C2D1-4BD5-A5C2-E96D9A2B622F}"/>
    <cellStyle name="Normal 5 2 2 3 2 5 4" xfId="10244" xr:uid="{DE4789CC-D17B-47F0-92BE-F0D63D25C16B}"/>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2 2" xfId="17020" xr:uid="{D53A0106-9521-4299-AD68-B63D468F3733}"/>
    <cellStyle name="Normal 5 2 2 3 2 6 2 3" xfId="12802" xr:uid="{E6EADA66-2207-4FC8-9455-9B6E08C24228}"/>
    <cellStyle name="Normal 5 2 2 3 2 6 3" xfId="6446" xr:uid="{00000000-0005-0000-0000-0000BA170000}"/>
    <cellStyle name="Normal 5 2 2 3 2 6 3 2" xfId="14875" xr:uid="{1B3B5F45-2CC4-4553-926E-68BE2F18C907}"/>
    <cellStyle name="Normal 5 2 2 3 2 6 4" xfId="10657" xr:uid="{47C55CA0-A17A-4C7D-BD03-4BB76A8396F8}"/>
    <cellStyle name="Normal 5 2 2 3 2 7" xfId="2574" xr:uid="{00000000-0005-0000-0000-0000BB170000}"/>
    <cellStyle name="Normal 5 2 2 3 2 7 2" xfId="6859" xr:uid="{00000000-0005-0000-0000-0000BC170000}"/>
    <cellStyle name="Normal 5 2 2 3 2 7 2 2" xfId="15288" xr:uid="{5D1174AB-AD13-4888-B436-4FD23B89179E}"/>
    <cellStyle name="Normal 5 2 2 3 2 7 3" xfId="11070" xr:uid="{C3667651-7788-44D5-B1D3-F160916B5CE9}"/>
    <cellStyle name="Normal 5 2 2 3 2 8" xfId="4794" xr:uid="{00000000-0005-0000-0000-0000BD170000}"/>
    <cellStyle name="Normal 5 2 2 3 2 8 2" xfId="13223" xr:uid="{291A8FA6-A842-4805-8D7C-4647C9F6D90A}"/>
    <cellStyle name="Normal 5 2 2 3 2 9" xfId="9005" xr:uid="{6E0EA64B-0F50-403B-849E-C30D7251562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2 2" xfId="15783" xr:uid="{D9784135-AC79-4E22-BFA1-99DBB672061A}"/>
    <cellStyle name="Normal 5 2 2 3 3 2 2 3" xfId="11565" xr:uid="{7F2351E3-8451-40D3-A954-ACE18713EF80}"/>
    <cellStyle name="Normal 5 2 2 3 3 2 3" xfId="5209" xr:uid="{00000000-0005-0000-0000-0000C2170000}"/>
    <cellStyle name="Normal 5 2 2 3 3 2 3 2" xfId="13638" xr:uid="{61B245C0-0CA6-4605-860C-95631B8D44EA}"/>
    <cellStyle name="Normal 5 2 2 3 3 2 4" xfId="9420" xr:uid="{3239143D-BF70-4269-AC23-C6F9F9D970F4}"/>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2 2" xfId="16196" xr:uid="{28D6751F-E2AF-49A6-92DB-55168B9EB866}"/>
    <cellStyle name="Normal 5 2 2 3 3 3 2 3" xfId="11978" xr:uid="{95CB96D8-E8A2-4518-9EC8-164050681A2A}"/>
    <cellStyle name="Normal 5 2 2 3 3 3 3" xfId="5622" xr:uid="{00000000-0005-0000-0000-0000C6170000}"/>
    <cellStyle name="Normal 5 2 2 3 3 3 3 2" xfId="14051" xr:uid="{0ABE47B9-27B3-486E-B7FD-C7E02AFCB338}"/>
    <cellStyle name="Normal 5 2 2 3 3 3 4" xfId="9833" xr:uid="{744020D2-C22F-4F3E-8787-B6E02744B068}"/>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2 2" xfId="16609" xr:uid="{BCF9E47B-12B2-4703-A25B-619770637B49}"/>
    <cellStyle name="Normal 5 2 2 3 3 4 2 3" xfId="12391" xr:uid="{3CFF31A0-C0B6-4231-9A6A-D38E2AD9EFE5}"/>
    <cellStyle name="Normal 5 2 2 3 3 4 3" xfId="6035" xr:uid="{00000000-0005-0000-0000-0000CA170000}"/>
    <cellStyle name="Normal 5 2 2 3 3 4 3 2" xfId="14464" xr:uid="{E408DC33-A1A7-4053-9521-BA013DAB179C}"/>
    <cellStyle name="Normal 5 2 2 3 3 4 4" xfId="10246" xr:uid="{2B1582D7-5018-42C0-8F8C-D3BDC95C08F1}"/>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2 2" xfId="17022" xr:uid="{DA5CAC5D-04E0-46F3-BD49-83D9D349F1A7}"/>
    <cellStyle name="Normal 5 2 2 3 3 5 2 3" xfId="12804" xr:uid="{DE57F8A1-4281-4FD3-A7FB-19D1FE95CE6F}"/>
    <cellStyle name="Normal 5 2 2 3 3 5 3" xfId="6448" xr:uid="{00000000-0005-0000-0000-0000CE170000}"/>
    <cellStyle name="Normal 5 2 2 3 3 5 3 2" xfId="14877" xr:uid="{FD1F8742-9794-4A86-96A5-00D8686C4728}"/>
    <cellStyle name="Normal 5 2 2 3 3 5 4" xfId="10659" xr:uid="{35818443-70BE-42F7-A6C4-66DC6721550D}"/>
    <cellStyle name="Normal 5 2 2 3 3 6" xfId="2576" xr:uid="{00000000-0005-0000-0000-0000CF170000}"/>
    <cellStyle name="Normal 5 2 2 3 3 6 2" xfId="6861" xr:uid="{00000000-0005-0000-0000-0000D0170000}"/>
    <cellStyle name="Normal 5 2 2 3 3 6 2 2" xfId="15290" xr:uid="{054DAB4A-5200-4D85-9C6C-56E82EF1E27E}"/>
    <cellStyle name="Normal 5 2 2 3 3 6 3" xfId="11072" xr:uid="{7611B69D-E555-4E84-8E58-F751BADE978E}"/>
    <cellStyle name="Normal 5 2 2 3 3 7" xfId="4796" xr:uid="{00000000-0005-0000-0000-0000D1170000}"/>
    <cellStyle name="Normal 5 2 2 3 3 7 2" xfId="13225" xr:uid="{5AAC0442-2C72-438F-8FCA-1B2CF00B17E9}"/>
    <cellStyle name="Normal 5 2 2 3 3 8" xfId="9007" xr:uid="{AF33E232-4B4D-415D-8EBC-7CD46B454CFB}"/>
    <cellStyle name="Normal 5 2 2 3 4" xfId="892" xr:uid="{00000000-0005-0000-0000-0000D2170000}"/>
    <cellStyle name="Normal 5 2 2 3 4 2" xfId="3127" xr:uid="{00000000-0005-0000-0000-0000D3170000}"/>
    <cellStyle name="Normal 5 2 2 3 4 2 2" xfId="7351" xr:uid="{00000000-0005-0000-0000-0000D4170000}"/>
    <cellStyle name="Normal 5 2 2 3 4 2 2 2" xfId="15780" xr:uid="{E82BF60E-8AED-4529-BD28-15BD38D6AEB4}"/>
    <cellStyle name="Normal 5 2 2 3 4 2 3" xfId="11562" xr:uid="{4212C749-AB67-4E4F-BC57-3A4535C440E8}"/>
    <cellStyle name="Normal 5 2 2 3 4 3" xfId="5206" xr:uid="{00000000-0005-0000-0000-0000D5170000}"/>
    <cellStyle name="Normal 5 2 2 3 4 3 2" xfId="13635" xr:uid="{4C8587AA-7698-4095-9F79-AAE0C6C5014E}"/>
    <cellStyle name="Normal 5 2 2 3 4 4" xfId="9417" xr:uid="{EA972E0F-62B9-44DD-A44D-B202814F8A83}"/>
    <cellStyle name="Normal 5 2 2 3 5" xfId="1310" xr:uid="{00000000-0005-0000-0000-0000D6170000}"/>
    <cellStyle name="Normal 5 2 2 3 5 2" xfId="3540" xr:uid="{00000000-0005-0000-0000-0000D7170000}"/>
    <cellStyle name="Normal 5 2 2 3 5 2 2" xfId="7764" xr:uid="{00000000-0005-0000-0000-0000D8170000}"/>
    <cellStyle name="Normal 5 2 2 3 5 2 2 2" xfId="16193" xr:uid="{6A43A182-4BE3-4114-9722-5F3B6F4CC105}"/>
    <cellStyle name="Normal 5 2 2 3 5 2 3" xfId="11975" xr:uid="{9329C43D-0FD1-4965-9E04-5E4D286B7425}"/>
    <cellStyle name="Normal 5 2 2 3 5 3" xfId="5619" xr:uid="{00000000-0005-0000-0000-0000D9170000}"/>
    <cellStyle name="Normal 5 2 2 3 5 3 2" xfId="14048" xr:uid="{65FA2564-7B22-48CB-A840-D1114B4EDB3C}"/>
    <cellStyle name="Normal 5 2 2 3 5 4" xfId="9830" xr:uid="{B755E95F-9793-480C-90E6-CC84BCEDAF7F}"/>
    <cellStyle name="Normal 5 2 2 3 6" xfId="1723" xr:uid="{00000000-0005-0000-0000-0000DA170000}"/>
    <cellStyle name="Normal 5 2 2 3 6 2" xfId="3953" xr:uid="{00000000-0005-0000-0000-0000DB170000}"/>
    <cellStyle name="Normal 5 2 2 3 6 2 2" xfId="8177" xr:uid="{00000000-0005-0000-0000-0000DC170000}"/>
    <cellStyle name="Normal 5 2 2 3 6 2 2 2" xfId="16606" xr:uid="{43437E61-9C08-4D8F-9C37-185ED44FCD36}"/>
    <cellStyle name="Normal 5 2 2 3 6 2 3" xfId="12388" xr:uid="{FAE2BF7D-FCFD-4000-AE24-0B6B44BA1DBD}"/>
    <cellStyle name="Normal 5 2 2 3 6 3" xfId="6032" xr:uid="{00000000-0005-0000-0000-0000DD170000}"/>
    <cellStyle name="Normal 5 2 2 3 6 3 2" xfId="14461" xr:uid="{ACD1A73E-2C95-4271-8AFC-37DBA6DC3DD2}"/>
    <cellStyle name="Normal 5 2 2 3 6 4" xfId="10243" xr:uid="{77A9275F-E1EB-4D4B-A98F-699E3C927D3A}"/>
    <cellStyle name="Normal 5 2 2 3 7" xfId="2137" xr:uid="{00000000-0005-0000-0000-0000DE170000}"/>
    <cellStyle name="Normal 5 2 2 3 7 2" xfId="4366" xr:uid="{00000000-0005-0000-0000-0000DF170000}"/>
    <cellStyle name="Normal 5 2 2 3 7 2 2" xfId="8590" xr:uid="{00000000-0005-0000-0000-0000E0170000}"/>
    <cellStyle name="Normal 5 2 2 3 7 2 2 2" xfId="17019" xr:uid="{7BD58AEC-FB59-4569-A4F5-D321DD662037}"/>
    <cellStyle name="Normal 5 2 2 3 7 2 3" xfId="12801" xr:uid="{BD254541-32C0-4633-A022-D7D9135E063A}"/>
    <cellStyle name="Normal 5 2 2 3 7 3" xfId="6445" xr:uid="{00000000-0005-0000-0000-0000E1170000}"/>
    <cellStyle name="Normal 5 2 2 3 7 3 2" xfId="14874" xr:uid="{4D61941D-1B68-4287-B26B-A84C7C305480}"/>
    <cellStyle name="Normal 5 2 2 3 7 4" xfId="10656" xr:uid="{8FC2771B-73CE-450B-A292-96CEFA0C0262}"/>
    <cellStyle name="Normal 5 2 2 3 8" xfId="2573" xr:uid="{00000000-0005-0000-0000-0000E2170000}"/>
    <cellStyle name="Normal 5 2 2 3 8 2" xfId="6858" xr:uid="{00000000-0005-0000-0000-0000E3170000}"/>
    <cellStyle name="Normal 5 2 2 3 8 2 2" xfId="15287" xr:uid="{23E85477-97DD-4122-9FC1-7F1AFEF4EE4F}"/>
    <cellStyle name="Normal 5 2 2 3 8 3" xfId="11069" xr:uid="{15722E46-8680-4120-A191-01B8EC34A8EC}"/>
    <cellStyle name="Normal 5 2 2 3 9" xfId="4793" xr:uid="{00000000-0005-0000-0000-0000E4170000}"/>
    <cellStyle name="Normal 5 2 2 3 9 2" xfId="13222" xr:uid="{58C625D2-9517-4197-AFD2-2D8D7246513B}"/>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2 2" xfId="15785" xr:uid="{E3E85792-3E17-4A0E-961C-08BB2FBD1D5C}"/>
    <cellStyle name="Normal 5 2 2 4 2 2 2 3" xfId="11567" xr:uid="{2E359CD3-A6F4-4637-8A24-4FEC430FC44A}"/>
    <cellStyle name="Normal 5 2 2 4 2 2 3" xfId="5211" xr:uid="{00000000-0005-0000-0000-0000EA170000}"/>
    <cellStyle name="Normal 5 2 2 4 2 2 3 2" xfId="13640" xr:uid="{83ED0DE7-865F-4B2C-A132-C513E5D3C691}"/>
    <cellStyle name="Normal 5 2 2 4 2 2 4" xfId="9422" xr:uid="{1C58D8F6-79E7-43EB-9B89-C8CC3675EA9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2 2" xfId="16198" xr:uid="{0B3263A3-431E-4743-8385-5B61EA41C9F0}"/>
    <cellStyle name="Normal 5 2 2 4 2 3 2 3" xfId="11980" xr:uid="{A2073E81-D278-4DB1-808B-36F181B17EB0}"/>
    <cellStyle name="Normal 5 2 2 4 2 3 3" xfId="5624" xr:uid="{00000000-0005-0000-0000-0000EE170000}"/>
    <cellStyle name="Normal 5 2 2 4 2 3 3 2" xfId="14053" xr:uid="{CA170BC7-EB41-458A-BE83-0C32916E63BE}"/>
    <cellStyle name="Normal 5 2 2 4 2 3 4" xfId="9835" xr:uid="{4A013263-ADF5-432B-96DB-53FF2BE175FB}"/>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2 2" xfId="16611" xr:uid="{ED476A7E-2013-4DA1-ADA1-83B5026A27D7}"/>
    <cellStyle name="Normal 5 2 2 4 2 4 2 3" xfId="12393" xr:uid="{18F7B0F5-D693-477A-935D-11CCBBEB3F0B}"/>
    <cellStyle name="Normal 5 2 2 4 2 4 3" xfId="6037" xr:uid="{00000000-0005-0000-0000-0000F2170000}"/>
    <cellStyle name="Normal 5 2 2 4 2 4 3 2" xfId="14466" xr:uid="{3691DB53-284A-4223-8105-28C7C0A9B15E}"/>
    <cellStyle name="Normal 5 2 2 4 2 4 4" xfId="10248" xr:uid="{9AF03837-8695-4C66-BD05-354F9DF4D5E6}"/>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2 2" xfId="17024" xr:uid="{1982E2EA-D565-485E-933A-3079EE7C149C}"/>
    <cellStyle name="Normal 5 2 2 4 2 5 2 3" xfId="12806" xr:uid="{4B7C6253-46B3-420B-BCDA-718512B315F3}"/>
    <cellStyle name="Normal 5 2 2 4 2 5 3" xfId="6450" xr:uid="{00000000-0005-0000-0000-0000F6170000}"/>
    <cellStyle name="Normal 5 2 2 4 2 5 3 2" xfId="14879" xr:uid="{61BF63C9-BD5A-43E6-AD91-1F75E94FF0EA}"/>
    <cellStyle name="Normal 5 2 2 4 2 5 4" xfId="10661" xr:uid="{B8F2CAEF-BCBE-4EF9-AFD1-2F2F9D407756}"/>
    <cellStyle name="Normal 5 2 2 4 2 6" xfId="2578" xr:uid="{00000000-0005-0000-0000-0000F7170000}"/>
    <cellStyle name="Normal 5 2 2 4 2 6 2" xfId="6863" xr:uid="{00000000-0005-0000-0000-0000F8170000}"/>
    <cellStyle name="Normal 5 2 2 4 2 6 2 2" xfId="15292" xr:uid="{C36ECDD6-A2F5-4F6C-AA38-5004F98BCB6A}"/>
    <cellStyle name="Normal 5 2 2 4 2 6 3" xfId="11074" xr:uid="{696246CA-7ED9-4FBD-A111-F968F6D87E27}"/>
    <cellStyle name="Normal 5 2 2 4 2 7" xfId="4798" xr:uid="{00000000-0005-0000-0000-0000F9170000}"/>
    <cellStyle name="Normal 5 2 2 4 2 7 2" xfId="13227" xr:uid="{10BABF48-77DA-4BCB-9EEE-60DDC8E1E38D}"/>
    <cellStyle name="Normal 5 2 2 4 2 8" xfId="9009" xr:uid="{0F023815-4786-4D0E-BF3C-0C5D9B3A7162}"/>
    <cellStyle name="Normal 5 2 2 4 3" xfId="896" xr:uid="{00000000-0005-0000-0000-0000FA170000}"/>
    <cellStyle name="Normal 5 2 2 4 3 2" xfId="3131" xr:uid="{00000000-0005-0000-0000-0000FB170000}"/>
    <cellStyle name="Normal 5 2 2 4 3 2 2" xfId="7355" xr:uid="{00000000-0005-0000-0000-0000FC170000}"/>
    <cellStyle name="Normal 5 2 2 4 3 2 2 2" xfId="15784" xr:uid="{ECB3448D-0289-4F14-AA8F-00FB619E2825}"/>
    <cellStyle name="Normal 5 2 2 4 3 2 3" xfId="11566" xr:uid="{F9DFD06A-70B0-4894-AFA9-D069351621E6}"/>
    <cellStyle name="Normal 5 2 2 4 3 3" xfId="5210" xr:uid="{00000000-0005-0000-0000-0000FD170000}"/>
    <cellStyle name="Normal 5 2 2 4 3 3 2" xfId="13639" xr:uid="{BF48776A-5A75-4B63-BF0E-DF097EED0502}"/>
    <cellStyle name="Normal 5 2 2 4 3 4" xfId="9421" xr:uid="{8F44DD90-4836-459F-9A84-F434112A0069}"/>
    <cellStyle name="Normal 5 2 2 4 4" xfId="1314" xr:uid="{00000000-0005-0000-0000-0000FE170000}"/>
    <cellStyle name="Normal 5 2 2 4 4 2" xfId="3544" xr:uid="{00000000-0005-0000-0000-0000FF170000}"/>
    <cellStyle name="Normal 5 2 2 4 4 2 2" xfId="7768" xr:uid="{00000000-0005-0000-0000-000000180000}"/>
    <cellStyle name="Normal 5 2 2 4 4 2 2 2" xfId="16197" xr:uid="{F1634CC3-3969-4011-A3FE-9F1835806DB0}"/>
    <cellStyle name="Normal 5 2 2 4 4 2 3" xfId="11979" xr:uid="{E2B4D70C-4F44-46C1-B470-37EFED7E168C}"/>
    <cellStyle name="Normal 5 2 2 4 4 3" xfId="5623" xr:uid="{00000000-0005-0000-0000-000001180000}"/>
    <cellStyle name="Normal 5 2 2 4 4 3 2" xfId="14052" xr:uid="{290671CC-AED8-4368-B703-8994BC46F520}"/>
    <cellStyle name="Normal 5 2 2 4 4 4" xfId="9834" xr:uid="{B034ABE2-632D-4A59-9AD5-FB29145D6CAF}"/>
    <cellStyle name="Normal 5 2 2 4 5" xfId="1727" xr:uid="{00000000-0005-0000-0000-000002180000}"/>
    <cellStyle name="Normal 5 2 2 4 5 2" xfId="3957" xr:uid="{00000000-0005-0000-0000-000003180000}"/>
    <cellStyle name="Normal 5 2 2 4 5 2 2" xfId="8181" xr:uid="{00000000-0005-0000-0000-000004180000}"/>
    <cellStyle name="Normal 5 2 2 4 5 2 2 2" xfId="16610" xr:uid="{B7CE8963-CD8E-4393-A71F-3CF8048F961F}"/>
    <cellStyle name="Normal 5 2 2 4 5 2 3" xfId="12392" xr:uid="{88306E2B-C9D0-4D70-82DB-3A33F3048EC2}"/>
    <cellStyle name="Normal 5 2 2 4 5 3" xfId="6036" xr:uid="{00000000-0005-0000-0000-000005180000}"/>
    <cellStyle name="Normal 5 2 2 4 5 3 2" xfId="14465" xr:uid="{4E946EC0-E2F9-479B-B553-910E8FA6371A}"/>
    <cellStyle name="Normal 5 2 2 4 5 4" xfId="10247" xr:uid="{5C155796-C5E6-4055-9E46-68F2983D8F85}"/>
    <cellStyle name="Normal 5 2 2 4 6" xfId="2141" xr:uid="{00000000-0005-0000-0000-000006180000}"/>
    <cellStyle name="Normal 5 2 2 4 6 2" xfId="4370" xr:uid="{00000000-0005-0000-0000-000007180000}"/>
    <cellStyle name="Normal 5 2 2 4 6 2 2" xfId="8594" xr:uid="{00000000-0005-0000-0000-000008180000}"/>
    <cellStyle name="Normal 5 2 2 4 6 2 2 2" xfId="17023" xr:uid="{75436689-0FF8-44F2-A16A-9DA36CBBD39F}"/>
    <cellStyle name="Normal 5 2 2 4 6 2 3" xfId="12805" xr:uid="{FB05F8E0-054E-48E0-B779-DA8835013A1B}"/>
    <cellStyle name="Normal 5 2 2 4 6 3" xfId="6449" xr:uid="{00000000-0005-0000-0000-000009180000}"/>
    <cellStyle name="Normal 5 2 2 4 6 3 2" xfId="14878" xr:uid="{43DC1C66-D0AB-4424-B534-02B98A596A16}"/>
    <cellStyle name="Normal 5 2 2 4 6 4" xfId="10660" xr:uid="{C690AB6D-B3E5-479D-B5AE-62C1602D531C}"/>
    <cellStyle name="Normal 5 2 2 4 7" xfId="2577" xr:uid="{00000000-0005-0000-0000-00000A180000}"/>
    <cellStyle name="Normal 5 2 2 4 7 2" xfId="6862" xr:uid="{00000000-0005-0000-0000-00000B180000}"/>
    <cellStyle name="Normal 5 2 2 4 7 2 2" xfId="15291" xr:uid="{A743BD57-797B-4C89-AE17-AEACCC3E1702}"/>
    <cellStyle name="Normal 5 2 2 4 7 3" xfId="11073" xr:uid="{6F8DB7C7-A6A7-4DD7-BA35-EA3B2CAC03ED}"/>
    <cellStyle name="Normal 5 2 2 4 8" xfId="4797" xr:uid="{00000000-0005-0000-0000-00000C180000}"/>
    <cellStyle name="Normal 5 2 2 4 8 2" xfId="13226" xr:uid="{5C94F71D-3EB0-4532-AF78-61164EEE99C7}"/>
    <cellStyle name="Normal 5 2 2 4 9" xfId="9008" xr:uid="{478163E3-CE72-4F90-9098-64904B3EECB3}"/>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2 2" xfId="15786" xr:uid="{FBA9996C-D21C-46D1-B923-5925084D535D}"/>
    <cellStyle name="Normal 5 2 2 5 2 2 3" xfId="11568" xr:uid="{B6C011C4-7C0F-4F43-90BC-4F2FC2F122FC}"/>
    <cellStyle name="Normal 5 2 2 5 2 3" xfId="5212" xr:uid="{00000000-0005-0000-0000-000011180000}"/>
    <cellStyle name="Normal 5 2 2 5 2 3 2" xfId="13641" xr:uid="{12F1D272-D146-4673-9A7B-D7D7867D1908}"/>
    <cellStyle name="Normal 5 2 2 5 2 4" xfId="9423" xr:uid="{356C3703-2F05-4996-A5EF-E8FD12CDE846}"/>
    <cellStyle name="Normal 5 2 2 5 3" xfId="1316" xr:uid="{00000000-0005-0000-0000-000012180000}"/>
    <cellStyle name="Normal 5 2 2 5 3 2" xfId="3546" xr:uid="{00000000-0005-0000-0000-000013180000}"/>
    <cellStyle name="Normal 5 2 2 5 3 2 2" xfId="7770" xr:uid="{00000000-0005-0000-0000-000014180000}"/>
    <cellStyle name="Normal 5 2 2 5 3 2 2 2" xfId="16199" xr:uid="{A357A95E-A4FE-4258-BD86-8B417D8338AE}"/>
    <cellStyle name="Normal 5 2 2 5 3 2 3" xfId="11981" xr:uid="{01D5BD45-8601-4CBE-A794-2FD3E4358096}"/>
    <cellStyle name="Normal 5 2 2 5 3 3" xfId="5625" xr:uid="{00000000-0005-0000-0000-000015180000}"/>
    <cellStyle name="Normal 5 2 2 5 3 3 2" xfId="14054" xr:uid="{1F1FF7BC-6739-418D-AC09-57806956C42D}"/>
    <cellStyle name="Normal 5 2 2 5 3 4" xfId="9836" xr:uid="{A1922A35-D4DF-44CA-B427-CC12B7B1109E}"/>
    <cellStyle name="Normal 5 2 2 5 4" xfId="1729" xr:uid="{00000000-0005-0000-0000-000016180000}"/>
    <cellStyle name="Normal 5 2 2 5 4 2" xfId="3959" xr:uid="{00000000-0005-0000-0000-000017180000}"/>
    <cellStyle name="Normal 5 2 2 5 4 2 2" xfId="8183" xr:uid="{00000000-0005-0000-0000-000018180000}"/>
    <cellStyle name="Normal 5 2 2 5 4 2 2 2" xfId="16612" xr:uid="{E6EF3469-82CC-4F8F-BE8A-D47BA0661D6A}"/>
    <cellStyle name="Normal 5 2 2 5 4 2 3" xfId="12394" xr:uid="{EB74E5CB-163B-435C-A84B-4E5CB038C547}"/>
    <cellStyle name="Normal 5 2 2 5 4 3" xfId="6038" xr:uid="{00000000-0005-0000-0000-000019180000}"/>
    <cellStyle name="Normal 5 2 2 5 4 3 2" xfId="14467" xr:uid="{425B6CB5-0893-4F8A-BB52-7C15A07A0B99}"/>
    <cellStyle name="Normal 5 2 2 5 4 4" xfId="10249" xr:uid="{7F4CCD44-5753-406B-9522-7ADE052A59FF}"/>
    <cellStyle name="Normal 5 2 2 5 5" xfId="2143" xr:uid="{00000000-0005-0000-0000-00001A180000}"/>
    <cellStyle name="Normal 5 2 2 5 5 2" xfId="4372" xr:uid="{00000000-0005-0000-0000-00001B180000}"/>
    <cellStyle name="Normal 5 2 2 5 5 2 2" xfId="8596" xr:uid="{00000000-0005-0000-0000-00001C180000}"/>
    <cellStyle name="Normal 5 2 2 5 5 2 2 2" xfId="17025" xr:uid="{1554D1E8-9FB2-42BE-A113-023FF32B1CE7}"/>
    <cellStyle name="Normal 5 2 2 5 5 2 3" xfId="12807" xr:uid="{3429F860-8A1B-4E58-B96F-6459EB24DD18}"/>
    <cellStyle name="Normal 5 2 2 5 5 3" xfId="6451" xr:uid="{00000000-0005-0000-0000-00001D180000}"/>
    <cellStyle name="Normal 5 2 2 5 5 3 2" xfId="14880" xr:uid="{E1B25C7A-A992-45A9-9425-9574DB5BE350}"/>
    <cellStyle name="Normal 5 2 2 5 5 4" xfId="10662" xr:uid="{014DAC73-005E-4774-9D6E-D66662BEF61F}"/>
    <cellStyle name="Normal 5 2 2 5 6" xfId="2579" xr:uid="{00000000-0005-0000-0000-00001E180000}"/>
    <cellStyle name="Normal 5 2 2 5 6 2" xfId="6864" xr:uid="{00000000-0005-0000-0000-00001F180000}"/>
    <cellStyle name="Normal 5 2 2 5 6 2 2" xfId="15293" xr:uid="{39440F79-1D24-4A54-8760-964CD0DA23B0}"/>
    <cellStyle name="Normal 5 2 2 5 6 3" xfId="11075" xr:uid="{411EDC5B-2147-4AF2-B16D-50E69863C377}"/>
    <cellStyle name="Normal 5 2 2 5 7" xfId="4799" xr:uid="{00000000-0005-0000-0000-000020180000}"/>
    <cellStyle name="Normal 5 2 2 5 7 2" xfId="13228" xr:uid="{94F036A0-8380-4495-AC58-907F96DFF0E5}"/>
    <cellStyle name="Normal 5 2 2 5 8" xfId="9010" xr:uid="{FE1BB92D-6263-45C7-B130-80EE73695BF3}"/>
    <cellStyle name="Normal 5 2 2 6" xfId="883" xr:uid="{00000000-0005-0000-0000-000021180000}"/>
    <cellStyle name="Normal 5 2 2 6 2" xfId="3118" xr:uid="{00000000-0005-0000-0000-000022180000}"/>
    <cellStyle name="Normal 5 2 2 6 2 2" xfId="7342" xr:uid="{00000000-0005-0000-0000-000023180000}"/>
    <cellStyle name="Normal 5 2 2 6 2 2 2" xfId="15771" xr:uid="{B50D40EB-52CB-4BE2-8712-ACC8F56970BB}"/>
    <cellStyle name="Normal 5 2 2 6 2 3" xfId="11553" xr:uid="{52AC2051-15E4-4989-83B1-9751AD6FE2C8}"/>
    <cellStyle name="Normal 5 2 2 6 3" xfId="5197" xr:uid="{00000000-0005-0000-0000-000024180000}"/>
    <cellStyle name="Normal 5 2 2 6 3 2" xfId="13626" xr:uid="{FE02AB60-9252-474E-926B-5B54ED718959}"/>
    <cellStyle name="Normal 5 2 2 6 4" xfId="9408" xr:uid="{F5AC08ED-D585-494C-95B5-51C94A334603}"/>
    <cellStyle name="Normal 5 2 2 7" xfId="1301" xr:uid="{00000000-0005-0000-0000-000025180000}"/>
    <cellStyle name="Normal 5 2 2 7 2" xfId="3531" xr:uid="{00000000-0005-0000-0000-000026180000}"/>
    <cellStyle name="Normal 5 2 2 7 2 2" xfId="7755" xr:uid="{00000000-0005-0000-0000-000027180000}"/>
    <cellStyle name="Normal 5 2 2 7 2 2 2" xfId="16184" xr:uid="{B2521FC8-59D6-4B07-B8FE-2D7AA5041B2A}"/>
    <cellStyle name="Normal 5 2 2 7 2 3" xfId="11966" xr:uid="{A399A838-7602-4860-B2FA-D3773F9DA739}"/>
    <cellStyle name="Normal 5 2 2 7 3" xfId="5610" xr:uid="{00000000-0005-0000-0000-000028180000}"/>
    <cellStyle name="Normal 5 2 2 7 3 2" xfId="14039" xr:uid="{B049878D-3402-4629-AA7A-E9F0BE22915D}"/>
    <cellStyle name="Normal 5 2 2 7 4" xfId="9821" xr:uid="{CCB98A70-97CA-4579-800A-8B9174881AAF}"/>
    <cellStyle name="Normal 5 2 2 8" xfId="1714" xr:uid="{00000000-0005-0000-0000-000029180000}"/>
    <cellStyle name="Normal 5 2 2 8 2" xfId="3944" xr:uid="{00000000-0005-0000-0000-00002A180000}"/>
    <cellStyle name="Normal 5 2 2 8 2 2" xfId="8168" xr:uid="{00000000-0005-0000-0000-00002B180000}"/>
    <cellStyle name="Normal 5 2 2 8 2 2 2" xfId="16597" xr:uid="{16FF6012-462D-42FE-B0CC-65E86CC500DC}"/>
    <cellStyle name="Normal 5 2 2 8 2 3" xfId="12379" xr:uid="{E0AEA91F-5945-4A2D-BB02-18CDC68F8067}"/>
    <cellStyle name="Normal 5 2 2 8 3" xfId="6023" xr:uid="{00000000-0005-0000-0000-00002C180000}"/>
    <cellStyle name="Normal 5 2 2 8 3 2" xfId="14452" xr:uid="{951B885E-A08C-4AD6-8920-7A442E0D0947}"/>
    <cellStyle name="Normal 5 2 2 8 4" xfId="10234" xr:uid="{58B982BE-D0F0-43B8-B1AE-F09F5FE482D9}"/>
    <cellStyle name="Normal 5 2 2 9" xfId="2128" xr:uid="{00000000-0005-0000-0000-00002D180000}"/>
    <cellStyle name="Normal 5 2 2 9 2" xfId="4357" xr:uid="{00000000-0005-0000-0000-00002E180000}"/>
    <cellStyle name="Normal 5 2 2 9 2 2" xfId="8581" xr:uid="{00000000-0005-0000-0000-00002F180000}"/>
    <cellStyle name="Normal 5 2 2 9 2 2 2" xfId="17010" xr:uid="{9210E22B-8355-466E-B928-FE2FBE788BC7}"/>
    <cellStyle name="Normal 5 2 2 9 2 3" xfId="12792" xr:uid="{7D5472D4-5D19-4F58-A268-25752B627A35}"/>
    <cellStyle name="Normal 5 2 2 9 3" xfId="6436" xr:uid="{00000000-0005-0000-0000-000030180000}"/>
    <cellStyle name="Normal 5 2 2 9 3 2" xfId="14865" xr:uid="{154E8A15-F82C-4991-8947-1B752C22D6CF}"/>
    <cellStyle name="Normal 5 2 2 9 4" xfId="10647" xr:uid="{D8B5B992-5366-4038-B740-28CF425069A7}"/>
    <cellStyle name="Normal 5 2 3" xfId="424" xr:uid="{00000000-0005-0000-0000-000031180000}"/>
    <cellStyle name="Normal 5 2 3 10" xfId="4800" xr:uid="{00000000-0005-0000-0000-000032180000}"/>
    <cellStyle name="Normal 5 2 3 10 2" xfId="13229" xr:uid="{2D44B576-024A-4CF5-AB2C-BECF505123D4}"/>
    <cellStyle name="Normal 5 2 3 11" xfId="9011" xr:uid="{407A2968-2F7A-4219-91BE-8965CE897EB1}"/>
    <cellStyle name="Normal 5 2 3 2" xfId="425" xr:uid="{00000000-0005-0000-0000-000033180000}"/>
    <cellStyle name="Normal 5 2 3 2 10" xfId="9012" xr:uid="{758C85F0-A380-4FFE-8EF1-8D2033218A51}"/>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2 2" xfId="15790" xr:uid="{DB93030E-3124-4E14-A620-99122F2D2886}"/>
    <cellStyle name="Normal 5 2 3 2 2 2 2 2 3" xfId="11572" xr:uid="{CF24EA1E-4601-403A-9385-5B7457576107}"/>
    <cellStyle name="Normal 5 2 3 2 2 2 2 3" xfId="5216" xr:uid="{00000000-0005-0000-0000-000039180000}"/>
    <cellStyle name="Normal 5 2 3 2 2 2 2 3 2" xfId="13645" xr:uid="{BE071041-6D95-49D3-9F60-6124FFADB6B2}"/>
    <cellStyle name="Normal 5 2 3 2 2 2 2 4" xfId="9427" xr:uid="{BCB6D419-5A47-4824-8EE1-DCA222372F8A}"/>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2 2" xfId="16203" xr:uid="{BD9D9813-5575-4237-BA25-E54701CD3905}"/>
    <cellStyle name="Normal 5 2 3 2 2 2 3 2 3" xfId="11985" xr:uid="{78663B80-7099-4A03-A368-1A6718DF07BD}"/>
    <cellStyle name="Normal 5 2 3 2 2 2 3 3" xfId="5629" xr:uid="{00000000-0005-0000-0000-00003D180000}"/>
    <cellStyle name="Normal 5 2 3 2 2 2 3 3 2" xfId="14058" xr:uid="{FB1D37E5-99B9-4D5E-9111-889C781DE9FB}"/>
    <cellStyle name="Normal 5 2 3 2 2 2 3 4" xfId="9840" xr:uid="{32412ECD-F00F-41C8-AD9E-7D1086647362}"/>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2 2" xfId="16616" xr:uid="{67B4A9ED-08A8-40E2-A2DE-79DFB36DFAA3}"/>
    <cellStyle name="Normal 5 2 3 2 2 2 4 2 3" xfId="12398" xr:uid="{D41B59A3-DAEA-49BA-9B09-1E592A09EAF8}"/>
    <cellStyle name="Normal 5 2 3 2 2 2 4 3" xfId="6042" xr:uid="{00000000-0005-0000-0000-000041180000}"/>
    <cellStyle name="Normal 5 2 3 2 2 2 4 3 2" xfId="14471" xr:uid="{6AB87095-F76B-4BFA-912C-9EB7B3776FC4}"/>
    <cellStyle name="Normal 5 2 3 2 2 2 4 4" xfId="10253" xr:uid="{B53ED58C-DE46-4FE8-9DDB-8D307157555F}"/>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2 2" xfId="17029" xr:uid="{0085870B-3C02-4AC6-954B-CFCD126E716F}"/>
    <cellStyle name="Normal 5 2 3 2 2 2 5 2 3" xfId="12811" xr:uid="{5D4C6448-FE5A-4C19-BA42-98C46E60176A}"/>
    <cellStyle name="Normal 5 2 3 2 2 2 5 3" xfId="6455" xr:uid="{00000000-0005-0000-0000-000045180000}"/>
    <cellStyle name="Normal 5 2 3 2 2 2 5 3 2" xfId="14884" xr:uid="{BB1867E9-0299-4ACF-9BE2-89F1C3FCDFEC}"/>
    <cellStyle name="Normal 5 2 3 2 2 2 5 4" xfId="10666" xr:uid="{84A7A379-2901-47F8-A7DA-AC88D99649BB}"/>
    <cellStyle name="Normal 5 2 3 2 2 2 6" xfId="2583" xr:uid="{00000000-0005-0000-0000-000046180000}"/>
    <cellStyle name="Normal 5 2 3 2 2 2 6 2" xfId="6868" xr:uid="{00000000-0005-0000-0000-000047180000}"/>
    <cellStyle name="Normal 5 2 3 2 2 2 6 2 2" xfId="15297" xr:uid="{AE9CE949-C5FD-4DDE-ABD4-B5FF93629A79}"/>
    <cellStyle name="Normal 5 2 3 2 2 2 6 3" xfId="11079" xr:uid="{4AB8B36B-86EB-411E-B518-2B8EE5728FCD}"/>
    <cellStyle name="Normal 5 2 3 2 2 2 7" xfId="4803" xr:uid="{00000000-0005-0000-0000-000048180000}"/>
    <cellStyle name="Normal 5 2 3 2 2 2 7 2" xfId="13232" xr:uid="{14D523CA-C858-4E36-9414-55EC06992BD6}"/>
    <cellStyle name="Normal 5 2 3 2 2 2 8" xfId="9014" xr:uid="{F3BE9AD2-7443-4C1C-8599-BB30A8993163}"/>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2 2" xfId="15789" xr:uid="{67DE8D3A-AF57-4415-8B71-F93F66B2F66A}"/>
    <cellStyle name="Normal 5 2 3 2 2 3 2 3" xfId="11571" xr:uid="{3313F786-9EDE-42D3-A199-0CA378B6FA04}"/>
    <cellStyle name="Normal 5 2 3 2 2 3 3" xfId="5215" xr:uid="{00000000-0005-0000-0000-00004C180000}"/>
    <cellStyle name="Normal 5 2 3 2 2 3 3 2" xfId="13644" xr:uid="{A874407E-C4CC-41E6-9610-605212EAB8CA}"/>
    <cellStyle name="Normal 5 2 3 2 2 3 4" xfId="9426" xr:uid="{D9174F32-7727-422B-864D-77A96D87F603}"/>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2 2" xfId="16202" xr:uid="{976314D3-2D21-4DF3-AB90-4DC96791AA03}"/>
    <cellStyle name="Normal 5 2 3 2 2 4 2 3" xfId="11984" xr:uid="{E77EB82F-298D-48CF-AD84-D6EB21F04C1E}"/>
    <cellStyle name="Normal 5 2 3 2 2 4 3" xfId="5628" xr:uid="{00000000-0005-0000-0000-000050180000}"/>
    <cellStyle name="Normal 5 2 3 2 2 4 3 2" xfId="14057" xr:uid="{251D5DE4-6FE9-408B-8620-DA24F7101DFD}"/>
    <cellStyle name="Normal 5 2 3 2 2 4 4" xfId="9839" xr:uid="{48F48B97-02C9-41EB-BC91-4BC6DBC78081}"/>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2 2" xfId="16615" xr:uid="{0D07DFE8-EB47-4289-BB4A-5732061B1FEE}"/>
    <cellStyle name="Normal 5 2 3 2 2 5 2 3" xfId="12397" xr:uid="{C48E1618-C5CA-4381-BD93-7AC77ACA40F4}"/>
    <cellStyle name="Normal 5 2 3 2 2 5 3" xfId="6041" xr:uid="{00000000-0005-0000-0000-000054180000}"/>
    <cellStyle name="Normal 5 2 3 2 2 5 3 2" xfId="14470" xr:uid="{4938686C-86C6-4697-9FF9-2C6D36D9B7D8}"/>
    <cellStyle name="Normal 5 2 3 2 2 5 4" xfId="10252" xr:uid="{4FB2BAD6-C26C-43B4-A8A5-A8B8AFE4F6DC}"/>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2 2" xfId="17028" xr:uid="{5C2E81F0-32D4-4E6B-84C8-8FE98AD69992}"/>
    <cellStyle name="Normal 5 2 3 2 2 6 2 3" xfId="12810" xr:uid="{6E51DD73-4E3C-4FE4-95C9-140CB5EEC453}"/>
    <cellStyle name="Normal 5 2 3 2 2 6 3" xfId="6454" xr:uid="{00000000-0005-0000-0000-000058180000}"/>
    <cellStyle name="Normal 5 2 3 2 2 6 3 2" xfId="14883" xr:uid="{B66922BF-8B51-4B91-830D-C23951B08E98}"/>
    <cellStyle name="Normal 5 2 3 2 2 6 4" xfId="10665" xr:uid="{86A75222-8738-484E-9A36-C80F967FD58F}"/>
    <cellStyle name="Normal 5 2 3 2 2 7" xfId="2582" xr:uid="{00000000-0005-0000-0000-000059180000}"/>
    <cellStyle name="Normal 5 2 3 2 2 7 2" xfId="6867" xr:uid="{00000000-0005-0000-0000-00005A180000}"/>
    <cellStyle name="Normal 5 2 3 2 2 7 2 2" xfId="15296" xr:uid="{0EC5A1AA-E475-4B8D-AFD4-59161ADE1418}"/>
    <cellStyle name="Normal 5 2 3 2 2 7 3" xfId="11078" xr:uid="{538B2E5A-9A7B-4FD7-BBD8-FD112E1C36D3}"/>
    <cellStyle name="Normal 5 2 3 2 2 8" xfId="4802" xr:uid="{00000000-0005-0000-0000-00005B180000}"/>
    <cellStyle name="Normal 5 2 3 2 2 8 2" xfId="13231" xr:uid="{C17EBBCC-37D6-4757-BF5E-A8AE1773C75F}"/>
    <cellStyle name="Normal 5 2 3 2 2 9" xfId="9013" xr:uid="{F0A06BCA-8415-4EBD-B521-9BAC492340BF}"/>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2 2" xfId="15791" xr:uid="{397AD2AA-C63E-4884-A554-02267D590742}"/>
    <cellStyle name="Normal 5 2 3 2 3 2 2 3" xfId="11573" xr:uid="{9AD60C84-4C03-4405-991A-362A35573EA9}"/>
    <cellStyle name="Normal 5 2 3 2 3 2 3" xfId="5217" xr:uid="{00000000-0005-0000-0000-000060180000}"/>
    <cellStyle name="Normal 5 2 3 2 3 2 3 2" xfId="13646" xr:uid="{484DD66B-2C10-4874-8910-7147D841FF72}"/>
    <cellStyle name="Normal 5 2 3 2 3 2 4" xfId="9428" xr:uid="{28B9ADCF-A60F-404F-9BB8-11BB3D65FB86}"/>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2 2" xfId="16204" xr:uid="{A4FD864E-A34A-476A-9F4D-08BF58395C06}"/>
    <cellStyle name="Normal 5 2 3 2 3 3 2 3" xfId="11986" xr:uid="{C50A5CB7-C6A3-473E-8488-D6DFF4309E06}"/>
    <cellStyle name="Normal 5 2 3 2 3 3 3" xfId="5630" xr:uid="{00000000-0005-0000-0000-000064180000}"/>
    <cellStyle name="Normal 5 2 3 2 3 3 3 2" xfId="14059" xr:uid="{45D150FD-775E-447C-8CB2-F3AC38FCAEEB}"/>
    <cellStyle name="Normal 5 2 3 2 3 3 4" xfId="9841" xr:uid="{9562B905-3CBC-49A7-95D9-9E0C4565A986}"/>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2 2" xfId="16617" xr:uid="{4B08377D-C6FC-4DAC-A88A-1887CA9B9A3D}"/>
    <cellStyle name="Normal 5 2 3 2 3 4 2 3" xfId="12399" xr:uid="{0F769CE1-A4D7-43C4-96E6-B3E3F013D00F}"/>
    <cellStyle name="Normal 5 2 3 2 3 4 3" xfId="6043" xr:uid="{00000000-0005-0000-0000-000068180000}"/>
    <cellStyle name="Normal 5 2 3 2 3 4 3 2" xfId="14472" xr:uid="{5634BA11-AC4B-47FF-A23F-9CD37978BBC2}"/>
    <cellStyle name="Normal 5 2 3 2 3 4 4" xfId="10254" xr:uid="{C77CB7E0-9BDC-4F2F-94C2-76EC8C7D85B5}"/>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2 2" xfId="17030" xr:uid="{B1D679F5-4AFC-43ED-91C6-406DA7CE1CEB}"/>
    <cellStyle name="Normal 5 2 3 2 3 5 2 3" xfId="12812" xr:uid="{C7915072-0F9D-491B-8801-39E9CB44889B}"/>
    <cellStyle name="Normal 5 2 3 2 3 5 3" xfId="6456" xr:uid="{00000000-0005-0000-0000-00006C180000}"/>
    <cellStyle name="Normal 5 2 3 2 3 5 3 2" xfId="14885" xr:uid="{1210169E-7311-467E-8485-DE0B4D725E0C}"/>
    <cellStyle name="Normal 5 2 3 2 3 5 4" xfId="10667" xr:uid="{10CDDD00-5B5F-43D7-9FCE-FA399D206012}"/>
    <cellStyle name="Normal 5 2 3 2 3 6" xfId="2584" xr:uid="{00000000-0005-0000-0000-00006D180000}"/>
    <cellStyle name="Normal 5 2 3 2 3 6 2" xfId="6869" xr:uid="{00000000-0005-0000-0000-00006E180000}"/>
    <cellStyle name="Normal 5 2 3 2 3 6 2 2" xfId="15298" xr:uid="{0851156F-59BA-4C21-AB77-5934C8BD243A}"/>
    <cellStyle name="Normal 5 2 3 2 3 6 3" xfId="11080" xr:uid="{7775EED9-413F-40E2-BD36-0C1D64902207}"/>
    <cellStyle name="Normal 5 2 3 2 3 7" xfId="4804" xr:uid="{00000000-0005-0000-0000-00006F180000}"/>
    <cellStyle name="Normal 5 2 3 2 3 7 2" xfId="13233" xr:uid="{CF638FD7-B4D5-4BAA-AAED-990DEF7495ED}"/>
    <cellStyle name="Normal 5 2 3 2 3 8" xfId="9015" xr:uid="{74006BD0-19E7-47F4-BDE0-BF76953E363D}"/>
    <cellStyle name="Normal 5 2 3 2 4" xfId="900" xr:uid="{00000000-0005-0000-0000-000070180000}"/>
    <cellStyle name="Normal 5 2 3 2 4 2" xfId="3135" xr:uid="{00000000-0005-0000-0000-000071180000}"/>
    <cellStyle name="Normal 5 2 3 2 4 2 2" xfId="7359" xr:uid="{00000000-0005-0000-0000-000072180000}"/>
    <cellStyle name="Normal 5 2 3 2 4 2 2 2" xfId="15788" xr:uid="{48D020D3-AE27-4841-8486-921E778DE450}"/>
    <cellStyle name="Normal 5 2 3 2 4 2 3" xfId="11570" xr:uid="{6D831939-9C58-4C6C-911F-8253C889E64E}"/>
    <cellStyle name="Normal 5 2 3 2 4 3" xfId="5214" xr:uid="{00000000-0005-0000-0000-000073180000}"/>
    <cellStyle name="Normal 5 2 3 2 4 3 2" xfId="13643" xr:uid="{BB76024E-EFB5-4663-8886-87A2DC9AD6CB}"/>
    <cellStyle name="Normal 5 2 3 2 4 4" xfId="9425" xr:uid="{B2BA5120-C76D-4CA2-86D4-956938183905}"/>
    <cellStyle name="Normal 5 2 3 2 5" xfId="1318" xr:uid="{00000000-0005-0000-0000-000074180000}"/>
    <cellStyle name="Normal 5 2 3 2 5 2" xfId="3548" xr:uid="{00000000-0005-0000-0000-000075180000}"/>
    <cellStyle name="Normal 5 2 3 2 5 2 2" xfId="7772" xr:uid="{00000000-0005-0000-0000-000076180000}"/>
    <cellStyle name="Normal 5 2 3 2 5 2 2 2" xfId="16201" xr:uid="{2748CFC9-8E03-4DB2-9D9D-7794FB6FE575}"/>
    <cellStyle name="Normal 5 2 3 2 5 2 3" xfId="11983" xr:uid="{6A275956-A711-40AF-B081-131D8F1A1461}"/>
    <cellStyle name="Normal 5 2 3 2 5 3" xfId="5627" xr:uid="{00000000-0005-0000-0000-000077180000}"/>
    <cellStyle name="Normal 5 2 3 2 5 3 2" xfId="14056" xr:uid="{E651E815-4A22-4B8C-81D1-877C2576B90C}"/>
    <cellStyle name="Normal 5 2 3 2 5 4" xfId="9838" xr:uid="{0FBFADBB-EFAB-4585-850B-4BDBEE50E625}"/>
    <cellStyle name="Normal 5 2 3 2 6" xfId="1731" xr:uid="{00000000-0005-0000-0000-000078180000}"/>
    <cellStyle name="Normal 5 2 3 2 6 2" xfId="3961" xr:uid="{00000000-0005-0000-0000-000079180000}"/>
    <cellStyle name="Normal 5 2 3 2 6 2 2" xfId="8185" xr:uid="{00000000-0005-0000-0000-00007A180000}"/>
    <cellStyle name="Normal 5 2 3 2 6 2 2 2" xfId="16614" xr:uid="{E0D87DAA-C080-4767-8A80-424559973FD6}"/>
    <cellStyle name="Normal 5 2 3 2 6 2 3" xfId="12396" xr:uid="{0EFDD742-B79B-4136-B451-C46197CF8464}"/>
    <cellStyle name="Normal 5 2 3 2 6 3" xfId="6040" xr:uid="{00000000-0005-0000-0000-00007B180000}"/>
    <cellStyle name="Normal 5 2 3 2 6 3 2" xfId="14469" xr:uid="{EF650A16-571E-4CE0-9ADD-69A14A71C250}"/>
    <cellStyle name="Normal 5 2 3 2 6 4" xfId="10251" xr:uid="{085334D8-02F6-4F94-8971-4B0C561C8903}"/>
    <cellStyle name="Normal 5 2 3 2 7" xfId="2145" xr:uid="{00000000-0005-0000-0000-00007C180000}"/>
    <cellStyle name="Normal 5 2 3 2 7 2" xfId="4374" xr:uid="{00000000-0005-0000-0000-00007D180000}"/>
    <cellStyle name="Normal 5 2 3 2 7 2 2" xfId="8598" xr:uid="{00000000-0005-0000-0000-00007E180000}"/>
    <cellStyle name="Normal 5 2 3 2 7 2 2 2" xfId="17027" xr:uid="{8F061235-1557-465C-9E7A-8510815D0C27}"/>
    <cellStyle name="Normal 5 2 3 2 7 2 3" xfId="12809" xr:uid="{3822E349-EE32-4B6B-8B60-6D9F5522F9CB}"/>
    <cellStyle name="Normal 5 2 3 2 7 3" xfId="6453" xr:uid="{00000000-0005-0000-0000-00007F180000}"/>
    <cellStyle name="Normal 5 2 3 2 7 3 2" xfId="14882" xr:uid="{BD332F81-940F-4759-8E7A-CA173CB1CAFB}"/>
    <cellStyle name="Normal 5 2 3 2 7 4" xfId="10664" xr:uid="{E01B880A-CCEE-4B44-8ABC-A3CB1567B9AA}"/>
    <cellStyle name="Normal 5 2 3 2 8" xfId="2581" xr:uid="{00000000-0005-0000-0000-000080180000}"/>
    <cellStyle name="Normal 5 2 3 2 8 2" xfId="6866" xr:uid="{00000000-0005-0000-0000-000081180000}"/>
    <cellStyle name="Normal 5 2 3 2 8 2 2" xfId="15295" xr:uid="{C19F7D54-4613-40D4-930C-D89C8F2DB86E}"/>
    <cellStyle name="Normal 5 2 3 2 8 3" xfId="11077" xr:uid="{46F5A7E7-C335-4890-B086-47DC5FED5ED6}"/>
    <cellStyle name="Normal 5 2 3 2 9" xfId="4801" xr:uid="{00000000-0005-0000-0000-000082180000}"/>
    <cellStyle name="Normal 5 2 3 2 9 2" xfId="13230" xr:uid="{A7A8294F-7F84-4E1B-8139-64940E533AF7}"/>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2 2" xfId="15793" xr:uid="{9DB5B112-23DE-446E-A6ED-22E8144884BE}"/>
    <cellStyle name="Normal 5 2 3 3 2 2 2 3" xfId="11575" xr:uid="{1F6A6FDA-6AB5-40D2-89F0-FEA15F71FD46}"/>
    <cellStyle name="Normal 5 2 3 3 2 2 3" xfId="5219" xr:uid="{00000000-0005-0000-0000-000088180000}"/>
    <cellStyle name="Normal 5 2 3 3 2 2 3 2" xfId="13648" xr:uid="{F2922330-DD43-455F-A304-953C4D36E9F0}"/>
    <cellStyle name="Normal 5 2 3 3 2 2 4" xfId="9430" xr:uid="{BD8D5AA8-22F9-4448-96B4-2FA469776887}"/>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2 2" xfId="16206" xr:uid="{94647208-4F87-4C35-B334-68B42C8215E3}"/>
    <cellStyle name="Normal 5 2 3 3 2 3 2 3" xfId="11988" xr:uid="{4ED24271-E860-48A2-B8D5-5C911823CF63}"/>
    <cellStyle name="Normal 5 2 3 3 2 3 3" xfId="5632" xr:uid="{00000000-0005-0000-0000-00008C180000}"/>
    <cellStyle name="Normal 5 2 3 3 2 3 3 2" xfId="14061" xr:uid="{5546940E-2592-432A-BF1F-031C0A1E6D7C}"/>
    <cellStyle name="Normal 5 2 3 3 2 3 4" xfId="9843" xr:uid="{D08BC55B-5730-4DBA-A7E4-AE807E35933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2 2" xfId="16619" xr:uid="{C97D07ED-03AC-4BAA-8669-F8A3F5B6FCF8}"/>
    <cellStyle name="Normal 5 2 3 3 2 4 2 3" xfId="12401" xr:uid="{C92DD3D7-DAE9-406D-BB5D-ECFCC078C0B1}"/>
    <cellStyle name="Normal 5 2 3 3 2 4 3" xfId="6045" xr:uid="{00000000-0005-0000-0000-000090180000}"/>
    <cellStyle name="Normal 5 2 3 3 2 4 3 2" xfId="14474" xr:uid="{25D68281-7EF6-47F0-8995-CDC33E719668}"/>
    <cellStyle name="Normal 5 2 3 3 2 4 4" xfId="10256" xr:uid="{65E9B75F-B361-40AE-B1EF-FE92919ABE2F}"/>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2 2" xfId="17032" xr:uid="{D4B1E73D-CD38-4E01-8FA4-DBF5F55E7A42}"/>
    <cellStyle name="Normal 5 2 3 3 2 5 2 3" xfId="12814" xr:uid="{2AD107DB-9246-4859-B199-EE13A49B2057}"/>
    <cellStyle name="Normal 5 2 3 3 2 5 3" xfId="6458" xr:uid="{00000000-0005-0000-0000-000094180000}"/>
    <cellStyle name="Normal 5 2 3 3 2 5 3 2" xfId="14887" xr:uid="{4C9FFBC4-B0D2-43BB-8C1B-48341330E397}"/>
    <cellStyle name="Normal 5 2 3 3 2 5 4" xfId="10669" xr:uid="{BB13163A-3FF2-4735-B9E1-7624E6255075}"/>
    <cellStyle name="Normal 5 2 3 3 2 6" xfId="2586" xr:uid="{00000000-0005-0000-0000-000095180000}"/>
    <cellStyle name="Normal 5 2 3 3 2 6 2" xfId="6871" xr:uid="{00000000-0005-0000-0000-000096180000}"/>
    <cellStyle name="Normal 5 2 3 3 2 6 2 2" xfId="15300" xr:uid="{81C217E3-EE40-44F8-8377-EC31875692AC}"/>
    <cellStyle name="Normal 5 2 3 3 2 6 3" xfId="11082" xr:uid="{C9886535-4AAC-466D-BF06-3C769E857319}"/>
    <cellStyle name="Normal 5 2 3 3 2 7" xfId="4806" xr:uid="{00000000-0005-0000-0000-000097180000}"/>
    <cellStyle name="Normal 5 2 3 3 2 7 2" xfId="13235" xr:uid="{95A823EA-21BA-4CAE-9EAA-3E284D7BD17A}"/>
    <cellStyle name="Normal 5 2 3 3 2 8" xfId="9017" xr:uid="{FDBA3395-FC33-4B2B-BB18-66DEC6DA894E}"/>
    <cellStyle name="Normal 5 2 3 3 3" xfId="904" xr:uid="{00000000-0005-0000-0000-000098180000}"/>
    <cellStyle name="Normal 5 2 3 3 3 2" xfId="3139" xr:uid="{00000000-0005-0000-0000-000099180000}"/>
    <cellStyle name="Normal 5 2 3 3 3 2 2" xfId="7363" xr:uid="{00000000-0005-0000-0000-00009A180000}"/>
    <cellStyle name="Normal 5 2 3 3 3 2 2 2" xfId="15792" xr:uid="{4EDEB09E-1921-4CC8-B4A0-69BD6D076D4A}"/>
    <cellStyle name="Normal 5 2 3 3 3 2 3" xfId="11574" xr:uid="{75F454FB-036A-4461-AEC0-26EDF4AFCD1A}"/>
    <cellStyle name="Normal 5 2 3 3 3 3" xfId="5218" xr:uid="{00000000-0005-0000-0000-00009B180000}"/>
    <cellStyle name="Normal 5 2 3 3 3 3 2" xfId="13647" xr:uid="{AF778222-5639-4E88-90FB-D6959024B8B6}"/>
    <cellStyle name="Normal 5 2 3 3 3 4" xfId="9429" xr:uid="{E51F40B7-EA4A-413D-A710-C25B7EA727ED}"/>
    <cellStyle name="Normal 5 2 3 3 4" xfId="1322" xr:uid="{00000000-0005-0000-0000-00009C180000}"/>
    <cellStyle name="Normal 5 2 3 3 4 2" xfId="3552" xr:uid="{00000000-0005-0000-0000-00009D180000}"/>
    <cellStyle name="Normal 5 2 3 3 4 2 2" xfId="7776" xr:uid="{00000000-0005-0000-0000-00009E180000}"/>
    <cellStyle name="Normal 5 2 3 3 4 2 2 2" xfId="16205" xr:uid="{5890ECB0-2CD5-42FC-930D-16F03BCC8CAF}"/>
    <cellStyle name="Normal 5 2 3 3 4 2 3" xfId="11987" xr:uid="{90D67190-5B3B-49CA-AB0B-254BD6F4F404}"/>
    <cellStyle name="Normal 5 2 3 3 4 3" xfId="5631" xr:uid="{00000000-0005-0000-0000-00009F180000}"/>
    <cellStyle name="Normal 5 2 3 3 4 3 2" xfId="14060" xr:uid="{312748D1-4260-4339-B867-A31FD025FED7}"/>
    <cellStyle name="Normal 5 2 3 3 4 4" xfId="9842" xr:uid="{3A8B1D02-3D5B-4260-ACC2-AC7EC3E28296}"/>
    <cellStyle name="Normal 5 2 3 3 5" xfId="1735" xr:uid="{00000000-0005-0000-0000-0000A0180000}"/>
    <cellStyle name="Normal 5 2 3 3 5 2" xfId="3965" xr:uid="{00000000-0005-0000-0000-0000A1180000}"/>
    <cellStyle name="Normal 5 2 3 3 5 2 2" xfId="8189" xr:uid="{00000000-0005-0000-0000-0000A2180000}"/>
    <cellStyle name="Normal 5 2 3 3 5 2 2 2" xfId="16618" xr:uid="{D47EC30D-6AD0-4922-A204-EC391EB7AA23}"/>
    <cellStyle name="Normal 5 2 3 3 5 2 3" xfId="12400" xr:uid="{AD3257D8-A18A-4926-8E2D-19C3A325EFE7}"/>
    <cellStyle name="Normal 5 2 3 3 5 3" xfId="6044" xr:uid="{00000000-0005-0000-0000-0000A3180000}"/>
    <cellStyle name="Normal 5 2 3 3 5 3 2" xfId="14473" xr:uid="{873B60F1-CD6A-4FE0-B087-83F3961FB7CC}"/>
    <cellStyle name="Normal 5 2 3 3 5 4" xfId="10255" xr:uid="{6A49910A-D749-4377-9E3A-0433F320E22A}"/>
    <cellStyle name="Normal 5 2 3 3 6" xfId="2149" xr:uid="{00000000-0005-0000-0000-0000A4180000}"/>
    <cellStyle name="Normal 5 2 3 3 6 2" xfId="4378" xr:uid="{00000000-0005-0000-0000-0000A5180000}"/>
    <cellStyle name="Normal 5 2 3 3 6 2 2" xfId="8602" xr:uid="{00000000-0005-0000-0000-0000A6180000}"/>
    <cellStyle name="Normal 5 2 3 3 6 2 2 2" xfId="17031" xr:uid="{6FE0756A-21FE-4CDB-B374-9F4B374365E7}"/>
    <cellStyle name="Normal 5 2 3 3 6 2 3" xfId="12813" xr:uid="{DCE9530B-7F07-4552-8F13-06E6B390BB11}"/>
    <cellStyle name="Normal 5 2 3 3 6 3" xfId="6457" xr:uid="{00000000-0005-0000-0000-0000A7180000}"/>
    <cellStyle name="Normal 5 2 3 3 6 3 2" xfId="14886" xr:uid="{80FB0BA6-9CC2-4616-8645-B15A55A3CCA0}"/>
    <cellStyle name="Normal 5 2 3 3 6 4" xfId="10668" xr:uid="{BAB7449F-06DB-4368-8DCB-B89D8DE96B64}"/>
    <cellStyle name="Normal 5 2 3 3 7" xfId="2585" xr:uid="{00000000-0005-0000-0000-0000A8180000}"/>
    <cellStyle name="Normal 5 2 3 3 7 2" xfId="6870" xr:uid="{00000000-0005-0000-0000-0000A9180000}"/>
    <cellStyle name="Normal 5 2 3 3 7 2 2" xfId="15299" xr:uid="{B8D5EBA0-4D4E-4B6D-95AC-3F69E8A8608F}"/>
    <cellStyle name="Normal 5 2 3 3 7 3" xfId="11081" xr:uid="{C4F91700-F0AD-4CF0-BFD8-940096581363}"/>
    <cellStyle name="Normal 5 2 3 3 8" xfId="4805" xr:uid="{00000000-0005-0000-0000-0000AA180000}"/>
    <cellStyle name="Normal 5 2 3 3 8 2" xfId="13234" xr:uid="{3532F832-A7D5-438C-94FA-8924C997B508}"/>
    <cellStyle name="Normal 5 2 3 3 9" xfId="9016" xr:uid="{F631EE98-A960-4D89-AA51-D7563AFACBA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2 2" xfId="15794" xr:uid="{1903114B-3CE7-4584-B256-BFFB734C7161}"/>
    <cellStyle name="Normal 5 2 3 4 2 2 3" xfId="11576" xr:uid="{978714FD-ADC9-4A3D-A9D5-377C756AA7B7}"/>
    <cellStyle name="Normal 5 2 3 4 2 3" xfId="5220" xr:uid="{00000000-0005-0000-0000-0000AF180000}"/>
    <cellStyle name="Normal 5 2 3 4 2 3 2" xfId="13649" xr:uid="{976740BB-5247-4763-BAAB-01A4FDE3914C}"/>
    <cellStyle name="Normal 5 2 3 4 2 4" xfId="9431" xr:uid="{015A3361-F544-49E4-9C61-AF25F1AA922E}"/>
    <cellStyle name="Normal 5 2 3 4 3" xfId="1324" xr:uid="{00000000-0005-0000-0000-0000B0180000}"/>
    <cellStyle name="Normal 5 2 3 4 3 2" xfId="3554" xr:uid="{00000000-0005-0000-0000-0000B1180000}"/>
    <cellStyle name="Normal 5 2 3 4 3 2 2" xfId="7778" xr:uid="{00000000-0005-0000-0000-0000B2180000}"/>
    <cellStyle name="Normal 5 2 3 4 3 2 2 2" xfId="16207" xr:uid="{5111BD5C-5694-4BB2-81C2-4AC6A4AEF6C5}"/>
    <cellStyle name="Normal 5 2 3 4 3 2 3" xfId="11989" xr:uid="{CD358457-A93B-4DBF-B9FC-8CCCB510C980}"/>
    <cellStyle name="Normal 5 2 3 4 3 3" xfId="5633" xr:uid="{00000000-0005-0000-0000-0000B3180000}"/>
    <cellStyle name="Normal 5 2 3 4 3 3 2" xfId="14062" xr:uid="{DA7159AC-5E99-4114-960A-B065715C7722}"/>
    <cellStyle name="Normal 5 2 3 4 3 4" xfId="9844" xr:uid="{93A897AF-867C-423C-87BE-D259543C6287}"/>
    <cellStyle name="Normal 5 2 3 4 4" xfId="1737" xr:uid="{00000000-0005-0000-0000-0000B4180000}"/>
    <cellStyle name="Normal 5 2 3 4 4 2" xfId="3967" xr:uid="{00000000-0005-0000-0000-0000B5180000}"/>
    <cellStyle name="Normal 5 2 3 4 4 2 2" xfId="8191" xr:uid="{00000000-0005-0000-0000-0000B6180000}"/>
    <cellStyle name="Normal 5 2 3 4 4 2 2 2" xfId="16620" xr:uid="{0E77F14C-7F2A-49DC-A424-FE6B96F62FEB}"/>
    <cellStyle name="Normal 5 2 3 4 4 2 3" xfId="12402" xr:uid="{8DEB97F1-0E5F-4F26-B93A-D2047AC019B1}"/>
    <cellStyle name="Normal 5 2 3 4 4 3" xfId="6046" xr:uid="{00000000-0005-0000-0000-0000B7180000}"/>
    <cellStyle name="Normal 5 2 3 4 4 3 2" xfId="14475" xr:uid="{F412D625-6C80-420E-A02D-C6C0C41EEC90}"/>
    <cellStyle name="Normal 5 2 3 4 4 4" xfId="10257" xr:uid="{FEDDB739-D9FE-432E-9739-2FA68D038F7C}"/>
    <cellStyle name="Normal 5 2 3 4 5" xfId="2151" xr:uid="{00000000-0005-0000-0000-0000B8180000}"/>
    <cellStyle name="Normal 5 2 3 4 5 2" xfId="4380" xr:uid="{00000000-0005-0000-0000-0000B9180000}"/>
    <cellStyle name="Normal 5 2 3 4 5 2 2" xfId="8604" xr:uid="{00000000-0005-0000-0000-0000BA180000}"/>
    <cellStyle name="Normal 5 2 3 4 5 2 2 2" xfId="17033" xr:uid="{63BC4804-59BE-4BCA-9DBD-BDC0BCC2E824}"/>
    <cellStyle name="Normal 5 2 3 4 5 2 3" xfId="12815" xr:uid="{F6BDB3E9-1E12-4221-81BA-0F2C05551240}"/>
    <cellStyle name="Normal 5 2 3 4 5 3" xfId="6459" xr:uid="{00000000-0005-0000-0000-0000BB180000}"/>
    <cellStyle name="Normal 5 2 3 4 5 3 2" xfId="14888" xr:uid="{4D9810A3-1021-4388-8563-B99CEC844B31}"/>
    <cellStyle name="Normal 5 2 3 4 5 4" xfId="10670" xr:uid="{A7202248-3BA2-4B14-BC6B-CEF975B84660}"/>
    <cellStyle name="Normal 5 2 3 4 6" xfId="2587" xr:uid="{00000000-0005-0000-0000-0000BC180000}"/>
    <cellStyle name="Normal 5 2 3 4 6 2" xfId="6872" xr:uid="{00000000-0005-0000-0000-0000BD180000}"/>
    <cellStyle name="Normal 5 2 3 4 6 2 2" xfId="15301" xr:uid="{22F7BE7E-0174-4BD2-94F6-E69CCA88AA0C}"/>
    <cellStyle name="Normal 5 2 3 4 6 3" xfId="11083" xr:uid="{69411782-58AA-4AC7-8AEF-C2B6EF724719}"/>
    <cellStyle name="Normal 5 2 3 4 7" xfId="4807" xr:uid="{00000000-0005-0000-0000-0000BE180000}"/>
    <cellStyle name="Normal 5 2 3 4 7 2" xfId="13236" xr:uid="{E9D64DD9-A894-41AB-ABC5-3380B33F1677}"/>
    <cellStyle name="Normal 5 2 3 4 8" xfId="9018" xr:uid="{4EA17FFB-EDD9-498F-9D1A-E2F5F1F44FB1}"/>
    <cellStyle name="Normal 5 2 3 5" xfId="899" xr:uid="{00000000-0005-0000-0000-0000BF180000}"/>
    <cellStyle name="Normal 5 2 3 5 2" xfId="3134" xr:uid="{00000000-0005-0000-0000-0000C0180000}"/>
    <cellStyle name="Normal 5 2 3 5 2 2" xfId="7358" xr:uid="{00000000-0005-0000-0000-0000C1180000}"/>
    <cellStyle name="Normal 5 2 3 5 2 2 2" xfId="15787" xr:uid="{00C98C9E-7F6F-4514-BC05-F9CF67DC66E7}"/>
    <cellStyle name="Normal 5 2 3 5 2 3" xfId="11569" xr:uid="{8F2302DC-EA8A-432B-94A2-07B58710D6F1}"/>
    <cellStyle name="Normal 5 2 3 5 3" xfId="5213" xr:uid="{00000000-0005-0000-0000-0000C2180000}"/>
    <cellStyle name="Normal 5 2 3 5 3 2" xfId="13642" xr:uid="{A59A7509-F23A-4BB0-B175-CA97BE3CBCBF}"/>
    <cellStyle name="Normal 5 2 3 5 4" xfId="9424" xr:uid="{94E817B9-540B-45CD-83FB-632066CD133D}"/>
    <cellStyle name="Normal 5 2 3 6" xfId="1317" xr:uid="{00000000-0005-0000-0000-0000C3180000}"/>
    <cellStyle name="Normal 5 2 3 6 2" xfId="3547" xr:uid="{00000000-0005-0000-0000-0000C4180000}"/>
    <cellStyle name="Normal 5 2 3 6 2 2" xfId="7771" xr:uid="{00000000-0005-0000-0000-0000C5180000}"/>
    <cellStyle name="Normal 5 2 3 6 2 2 2" xfId="16200" xr:uid="{F75F4D79-8613-4746-A28F-AB1A6D18A017}"/>
    <cellStyle name="Normal 5 2 3 6 2 3" xfId="11982" xr:uid="{8894590C-D147-48C6-85B4-7A2142BD240B}"/>
    <cellStyle name="Normal 5 2 3 6 3" xfId="5626" xr:uid="{00000000-0005-0000-0000-0000C6180000}"/>
    <cellStyle name="Normal 5 2 3 6 3 2" xfId="14055" xr:uid="{F57F0C98-7597-4776-90A8-E6FC4D7C935D}"/>
    <cellStyle name="Normal 5 2 3 6 4" xfId="9837" xr:uid="{48DF9D5A-A67D-4A1E-83B5-F93963B5DC13}"/>
    <cellStyle name="Normal 5 2 3 7" xfId="1730" xr:uid="{00000000-0005-0000-0000-0000C7180000}"/>
    <cellStyle name="Normal 5 2 3 7 2" xfId="3960" xr:uid="{00000000-0005-0000-0000-0000C8180000}"/>
    <cellStyle name="Normal 5 2 3 7 2 2" xfId="8184" xr:uid="{00000000-0005-0000-0000-0000C9180000}"/>
    <cellStyle name="Normal 5 2 3 7 2 2 2" xfId="16613" xr:uid="{0E8C34A0-6C37-46FA-9BC9-E3B6D8EEB95A}"/>
    <cellStyle name="Normal 5 2 3 7 2 3" xfId="12395" xr:uid="{DDDCD0CE-8A12-4CAE-9F9A-939DCF589763}"/>
    <cellStyle name="Normal 5 2 3 7 3" xfId="6039" xr:uid="{00000000-0005-0000-0000-0000CA180000}"/>
    <cellStyle name="Normal 5 2 3 7 3 2" xfId="14468" xr:uid="{8D38FFC2-F60F-4F91-89BC-C9EDD5A087CE}"/>
    <cellStyle name="Normal 5 2 3 7 4" xfId="10250" xr:uid="{56B91572-17C5-4BFB-B46D-7D68A959CC34}"/>
    <cellStyle name="Normal 5 2 3 8" xfId="2144" xr:uid="{00000000-0005-0000-0000-0000CB180000}"/>
    <cellStyle name="Normal 5 2 3 8 2" xfId="4373" xr:uid="{00000000-0005-0000-0000-0000CC180000}"/>
    <cellStyle name="Normal 5 2 3 8 2 2" xfId="8597" xr:uid="{00000000-0005-0000-0000-0000CD180000}"/>
    <cellStyle name="Normal 5 2 3 8 2 2 2" xfId="17026" xr:uid="{53A0C370-10F7-4E7F-85B7-7431F556E2A1}"/>
    <cellStyle name="Normal 5 2 3 8 2 3" xfId="12808" xr:uid="{7958C5C3-8EC2-4214-85EF-5124BDB5D5BC}"/>
    <cellStyle name="Normal 5 2 3 8 3" xfId="6452" xr:uid="{00000000-0005-0000-0000-0000CE180000}"/>
    <cellStyle name="Normal 5 2 3 8 3 2" xfId="14881" xr:uid="{C83C60A7-9F8A-4724-B7E1-08176116711A}"/>
    <cellStyle name="Normal 5 2 3 8 4" xfId="10663" xr:uid="{74C47B87-8AC7-4B3B-A89A-A253D6B3D243}"/>
    <cellStyle name="Normal 5 2 3 9" xfId="2580" xr:uid="{00000000-0005-0000-0000-0000CF180000}"/>
    <cellStyle name="Normal 5 2 3 9 2" xfId="6865" xr:uid="{00000000-0005-0000-0000-0000D0180000}"/>
    <cellStyle name="Normal 5 2 3 9 2 2" xfId="15294" xr:uid="{233B025F-AB3B-4DF3-821A-7AA6DCC4013D}"/>
    <cellStyle name="Normal 5 2 3 9 3" xfId="11076" xr:uid="{3B862448-C1E8-41BB-9426-7E3ADE55124F}"/>
    <cellStyle name="Normal 5 2 4" xfId="432" xr:uid="{00000000-0005-0000-0000-0000D1180000}"/>
    <cellStyle name="Normal 5 2 4 10" xfId="9019" xr:uid="{70F741B1-8F7E-47F5-91B1-E5BB73C35C51}"/>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2 2" xfId="15797" xr:uid="{552DB553-7C96-444C-83DE-2F6BB749F9B3}"/>
    <cellStyle name="Normal 5 2 4 2 2 2 2 3" xfId="11579" xr:uid="{3E52DB1E-0847-4D10-9FBE-C3F783D2D077}"/>
    <cellStyle name="Normal 5 2 4 2 2 2 3" xfId="5223" xr:uid="{00000000-0005-0000-0000-0000D7180000}"/>
    <cellStyle name="Normal 5 2 4 2 2 2 3 2" xfId="13652" xr:uid="{6356FC1D-F7AE-476C-900E-FC04C65517E9}"/>
    <cellStyle name="Normal 5 2 4 2 2 2 4" xfId="9434" xr:uid="{104936C5-81D4-411E-A454-EBB098E0FBD4}"/>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2 2" xfId="16210" xr:uid="{C8AD0111-CA00-4A11-84B6-28F90CC3158E}"/>
    <cellStyle name="Normal 5 2 4 2 2 3 2 3" xfId="11992" xr:uid="{2DDDFFEA-8C85-4B65-9E5C-B0C4F9A16F17}"/>
    <cellStyle name="Normal 5 2 4 2 2 3 3" xfId="5636" xr:uid="{00000000-0005-0000-0000-0000DB180000}"/>
    <cellStyle name="Normal 5 2 4 2 2 3 3 2" xfId="14065" xr:uid="{8301C0CD-39E6-49FC-BD79-E4AAF86EA50D}"/>
    <cellStyle name="Normal 5 2 4 2 2 3 4" xfId="9847" xr:uid="{2F4E92CD-E64A-4544-8013-898572188675}"/>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2 2" xfId="16623" xr:uid="{8F58BF89-8CE1-479B-B31A-0492582DCF19}"/>
    <cellStyle name="Normal 5 2 4 2 2 4 2 3" xfId="12405" xr:uid="{4BE4F85D-2F11-481B-82CD-C475877050D5}"/>
    <cellStyle name="Normal 5 2 4 2 2 4 3" xfId="6049" xr:uid="{00000000-0005-0000-0000-0000DF180000}"/>
    <cellStyle name="Normal 5 2 4 2 2 4 3 2" xfId="14478" xr:uid="{2726E017-B274-457B-B899-61D7636BC94F}"/>
    <cellStyle name="Normal 5 2 4 2 2 4 4" xfId="10260" xr:uid="{B1583630-4905-4A5C-8A1D-2626175B76B3}"/>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2 2" xfId="17036" xr:uid="{CE7500C7-FE69-4B45-8762-55D1BCB784EB}"/>
    <cellStyle name="Normal 5 2 4 2 2 5 2 3" xfId="12818" xr:uid="{CDD55460-2876-4C64-B4AD-0C5F6DCFF741}"/>
    <cellStyle name="Normal 5 2 4 2 2 5 3" xfId="6462" xr:uid="{00000000-0005-0000-0000-0000E3180000}"/>
    <cellStyle name="Normal 5 2 4 2 2 5 3 2" xfId="14891" xr:uid="{345C59D7-F93E-4F7D-818A-1C767CEC5FE6}"/>
    <cellStyle name="Normal 5 2 4 2 2 5 4" xfId="10673" xr:uid="{33B87D06-3F08-44E2-86E7-0B15424A71BC}"/>
    <cellStyle name="Normal 5 2 4 2 2 6" xfId="2590" xr:uid="{00000000-0005-0000-0000-0000E4180000}"/>
    <cellStyle name="Normal 5 2 4 2 2 6 2" xfId="6875" xr:uid="{00000000-0005-0000-0000-0000E5180000}"/>
    <cellStyle name="Normal 5 2 4 2 2 6 2 2" xfId="15304" xr:uid="{0E997A55-4BF6-4D40-8149-37B816D60D0F}"/>
    <cellStyle name="Normal 5 2 4 2 2 6 3" xfId="11086" xr:uid="{7D2F01A3-BECF-42B8-9357-39FF42A3BBCE}"/>
    <cellStyle name="Normal 5 2 4 2 2 7" xfId="4810" xr:uid="{00000000-0005-0000-0000-0000E6180000}"/>
    <cellStyle name="Normal 5 2 4 2 2 7 2" xfId="13239" xr:uid="{C99D40EB-5E0C-4C5B-BE15-75D0BFAB4ECF}"/>
    <cellStyle name="Normal 5 2 4 2 2 8" xfId="9021" xr:uid="{A46989CE-FA04-47A0-A8B3-7B01B1631BE6}"/>
    <cellStyle name="Normal 5 2 4 2 3" xfId="908" xr:uid="{00000000-0005-0000-0000-0000E7180000}"/>
    <cellStyle name="Normal 5 2 4 2 3 2" xfId="3143" xr:uid="{00000000-0005-0000-0000-0000E8180000}"/>
    <cellStyle name="Normal 5 2 4 2 3 2 2" xfId="7367" xr:uid="{00000000-0005-0000-0000-0000E9180000}"/>
    <cellStyle name="Normal 5 2 4 2 3 2 2 2" xfId="15796" xr:uid="{527F7824-80D0-468F-B83B-1DF39012E63D}"/>
    <cellStyle name="Normal 5 2 4 2 3 2 3" xfId="11578" xr:uid="{176656D8-44E1-44DF-8B13-BE9BEB240583}"/>
    <cellStyle name="Normal 5 2 4 2 3 3" xfId="5222" xr:uid="{00000000-0005-0000-0000-0000EA180000}"/>
    <cellStyle name="Normal 5 2 4 2 3 3 2" xfId="13651" xr:uid="{36501287-8578-41FC-80D0-B7133FDE4F8C}"/>
    <cellStyle name="Normal 5 2 4 2 3 4" xfId="9433" xr:uid="{2806F6C1-8B7B-40D1-8F22-8EBE50B7E5A1}"/>
    <cellStyle name="Normal 5 2 4 2 4" xfId="1326" xr:uid="{00000000-0005-0000-0000-0000EB180000}"/>
    <cellStyle name="Normal 5 2 4 2 4 2" xfId="3556" xr:uid="{00000000-0005-0000-0000-0000EC180000}"/>
    <cellStyle name="Normal 5 2 4 2 4 2 2" xfId="7780" xr:uid="{00000000-0005-0000-0000-0000ED180000}"/>
    <cellStyle name="Normal 5 2 4 2 4 2 2 2" xfId="16209" xr:uid="{C4296E68-68C0-4251-9D4F-91AB40E3B246}"/>
    <cellStyle name="Normal 5 2 4 2 4 2 3" xfId="11991" xr:uid="{0E52489A-5E3C-4B47-8456-F716773CAEA0}"/>
    <cellStyle name="Normal 5 2 4 2 4 3" xfId="5635" xr:uid="{00000000-0005-0000-0000-0000EE180000}"/>
    <cellStyle name="Normal 5 2 4 2 4 3 2" xfId="14064" xr:uid="{BD9AB275-6CAB-4136-A469-7001A570565F}"/>
    <cellStyle name="Normal 5 2 4 2 4 4" xfId="9846" xr:uid="{8CFABB01-0D02-4AE2-8327-EB7E56B68634}"/>
    <cellStyle name="Normal 5 2 4 2 5" xfId="1739" xr:uid="{00000000-0005-0000-0000-0000EF180000}"/>
    <cellStyle name="Normal 5 2 4 2 5 2" xfId="3969" xr:uid="{00000000-0005-0000-0000-0000F0180000}"/>
    <cellStyle name="Normal 5 2 4 2 5 2 2" xfId="8193" xr:uid="{00000000-0005-0000-0000-0000F1180000}"/>
    <cellStyle name="Normal 5 2 4 2 5 2 2 2" xfId="16622" xr:uid="{34C579C4-1C90-48DF-87C5-AD9CE870C046}"/>
    <cellStyle name="Normal 5 2 4 2 5 2 3" xfId="12404" xr:uid="{ABAA2B77-210F-42D1-BC56-1F2781F094B2}"/>
    <cellStyle name="Normal 5 2 4 2 5 3" xfId="6048" xr:uid="{00000000-0005-0000-0000-0000F2180000}"/>
    <cellStyle name="Normal 5 2 4 2 5 3 2" xfId="14477" xr:uid="{7E7D96F0-5496-45A5-9C61-3AF278B56F73}"/>
    <cellStyle name="Normal 5 2 4 2 5 4" xfId="10259" xr:uid="{464FF94E-C979-40E7-8EF3-84D95A595F7B}"/>
    <cellStyle name="Normal 5 2 4 2 6" xfId="2153" xr:uid="{00000000-0005-0000-0000-0000F3180000}"/>
    <cellStyle name="Normal 5 2 4 2 6 2" xfId="4382" xr:uid="{00000000-0005-0000-0000-0000F4180000}"/>
    <cellStyle name="Normal 5 2 4 2 6 2 2" xfId="8606" xr:uid="{00000000-0005-0000-0000-0000F5180000}"/>
    <cellStyle name="Normal 5 2 4 2 6 2 2 2" xfId="17035" xr:uid="{F46525AC-118E-4006-B124-5A39C75687B1}"/>
    <cellStyle name="Normal 5 2 4 2 6 2 3" xfId="12817" xr:uid="{6A1A2197-31A3-4B83-AC71-4A28ECF38C45}"/>
    <cellStyle name="Normal 5 2 4 2 6 3" xfId="6461" xr:uid="{00000000-0005-0000-0000-0000F6180000}"/>
    <cellStyle name="Normal 5 2 4 2 6 3 2" xfId="14890" xr:uid="{E804C0CA-D968-4F02-8850-C777E1F3C5DB}"/>
    <cellStyle name="Normal 5 2 4 2 6 4" xfId="10672" xr:uid="{D2034338-9D16-4C00-9266-4DAFE507729C}"/>
    <cellStyle name="Normal 5 2 4 2 7" xfId="2589" xr:uid="{00000000-0005-0000-0000-0000F7180000}"/>
    <cellStyle name="Normal 5 2 4 2 7 2" xfId="6874" xr:uid="{00000000-0005-0000-0000-0000F8180000}"/>
    <cellStyle name="Normal 5 2 4 2 7 2 2" xfId="15303" xr:uid="{1EC0D67E-06B4-4C80-BB6C-08E4CCA7D7E8}"/>
    <cellStyle name="Normal 5 2 4 2 7 3" xfId="11085" xr:uid="{142D6CFF-60E5-4230-83FA-200701856322}"/>
    <cellStyle name="Normal 5 2 4 2 8" xfId="4809" xr:uid="{00000000-0005-0000-0000-0000F9180000}"/>
    <cellStyle name="Normal 5 2 4 2 8 2" xfId="13238" xr:uid="{13BDFE3A-E5FE-42AE-8258-DCE4E31C0B11}"/>
    <cellStyle name="Normal 5 2 4 2 9" xfId="9020" xr:uid="{66E1C883-A114-4A1B-93BA-9DF8B6E042EA}"/>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2 2" xfId="15798" xr:uid="{404967DC-2F95-4ABA-BE78-7C751B2EF06F}"/>
    <cellStyle name="Normal 5 2 4 3 2 2 3" xfId="11580" xr:uid="{31CD3D7B-0518-42AD-A63F-4DDAB863B9B5}"/>
    <cellStyle name="Normal 5 2 4 3 2 3" xfId="5224" xr:uid="{00000000-0005-0000-0000-0000FE180000}"/>
    <cellStyle name="Normal 5 2 4 3 2 3 2" xfId="13653" xr:uid="{18A31C4D-FABE-4CE5-BA11-702FFA88A95A}"/>
    <cellStyle name="Normal 5 2 4 3 2 4" xfId="9435" xr:uid="{BB52CD52-4AC9-49AA-81E6-8E73AC7D0157}"/>
    <cellStyle name="Normal 5 2 4 3 3" xfId="1328" xr:uid="{00000000-0005-0000-0000-0000FF180000}"/>
    <cellStyle name="Normal 5 2 4 3 3 2" xfId="3558" xr:uid="{00000000-0005-0000-0000-000000190000}"/>
    <cellStyle name="Normal 5 2 4 3 3 2 2" xfId="7782" xr:uid="{00000000-0005-0000-0000-000001190000}"/>
    <cellStyle name="Normal 5 2 4 3 3 2 2 2" xfId="16211" xr:uid="{9A5F8578-4163-42CE-AE5C-1DBA0969A71B}"/>
    <cellStyle name="Normal 5 2 4 3 3 2 3" xfId="11993" xr:uid="{4C306250-66A6-4615-A2C9-655BF589B2D0}"/>
    <cellStyle name="Normal 5 2 4 3 3 3" xfId="5637" xr:uid="{00000000-0005-0000-0000-000002190000}"/>
    <cellStyle name="Normal 5 2 4 3 3 3 2" xfId="14066" xr:uid="{B06C43F3-67F1-4BDC-A890-3A5FD4B8A073}"/>
    <cellStyle name="Normal 5 2 4 3 3 4" xfId="9848" xr:uid="{EC2E60DF-7890-4F56-ABFA-4D011A81CFC0}"/>
    <cellStyle name="Normal 5 2 4 3 4" xfId="1741" xr:uid="{00000000-0005-0000-0000-000003190000}"/>
    <cellStyle name="Normal 5 2 4 3 4 2" xfId="3971" xr:uid="{00000000-0005-0000-0000-000004190000}"/>
    <cellStyle name="Normal 5 2 4 3 4 2 2" xfId="8195" xr:uid="{00000000-0005-0000-0000-000005190000}"/>
    <cellStyle name="Normal 5 2 4 3 4 2 2 2" xfId="16624" xr:uid="{B8C8B0FC-2BF6-438F-8FC8-36FA816F41D6}"/>
    <cellStyle name="Normal 5 2 4 3 4 2 3" xfId="12406" xr:uid="{90FE95FD-F421-445C-8F52-D2A552AD8EEF}"/>
    <cellStyle name="Normal 5 2 4 3 4 3" xfId="6050" xr:uid="{00000000-0005-0000-0000-000006190000}"/>
    <cellStyle name="Normal 5 2 4 3 4 3 2" xfId="14479" xr:uid="{DBD32B0A-1DCA-4D06-A1F4-2F47ADB62517}"/>
    <cellStyle name="Normal 5 2 4 3 4 4" xfId="10261" xr:uid="{BA2598D3-E7B3-4449-9CAA-8A8E3AB6FA01}"/>
    <cellStyle name="Normal 5 2 4 3 5" xfId="2155" xr:uid="{00000000-0005-0000-0000-000007190000}"/>
    <cellStyle name="Normal 5 2 4 3 5 2" xfId="4384" xr:uid="{00000000-0005-0000-0000-000008190000}"/>
    <cellStyle name="Normal 5 2 4 3 5 2 2" xfId="8608" xr:uid="{00000000-0005-0000-0000-000009190000}"/>
    <cellStyle name="Normal 5 2 4 3 5 2 2 2" xfId="17037" xr:uid="{AFCBBF92-0170-45B0-AC30-676A956F2CA9}"/>
    <cellStyle name="Normal 5 2 4 3 5 2 3" xfId="12819" xr:uid="{EA32EC5C-EC86-4897-802D-89F660F165B4}"/>
    <cellStyle name="Normal 5 2 4 3 5 3" xfId="6463" xr:uid="{00000000-0005-0000-0000-00000A190000}"/>
    <cellStyle name="Normal 5 2 4 3 5 3 2" xfId="14892" xr:uid="{B059E4D5-C46A-42BC-98E0-55E8594F0D7D}"/>
    <cellStyle name="Normal 5 2 4 3 5 4" xfId="10674" xr:uid="{24E2E870-7DE8-4935-A31B-F1D5B2EDDFF4}"/>
    <cellStyle name="Normal 5 2 4 3 6" xfId="2591" xr:uid="{00000000-0005-0000-0000-00000B190000}"/>
    <cellStyle name="Normal 5 2 4 3 6 2" xfId="6876" xr:uid="{00000000-0005-0000-0000-00000C190000}"/>
    <cellStyle name="Normal 5 2 4 3 6 2 2" xfId="15305" xr:uid="{905C6FC5-59B8-45E9-9CC3-EF1DA1A10477}"/>
    <cellStyle name="Normal 5 2 4 3 6 3" xfId="11087" xr:uid="{7AF21494-8E1E-4C89-8ED4-FC1848BC916A}"/>
    <cellStyle name="Normal 5 2 4 3 7" xfId="4811" xr:uid="{00000000-0005-0000-0000-00000D190000}"/>
    <cellStyle name="Normal 5 2 4 3 7 2" xfId="13240" xr:uid="{02B84527-CF01-4790-90BA-96081A535A05}"/>
    <cellStyle name="Normal 5 2 4 3 8" xfId="9022" xr:uid="{3CC87017-7737-4ACE-948C-B98E31940FF3}"/>
    <cellStyle name="Normal 5 2 4 4" xfId="907" xr:uid="{00000000-0005-0000-0000-00000E190000}"/>
    <cellStyle name="Normal 5 2 4 4 2" xfId="3142" xr:uid="{00000000-0005-0000-0000-00000F190000}"/>
    <cellStyle name="Normal 5 2 4 4 2 2" xfId="7366" xr:uid="{00000000-0005-0000-0000-000010190000}"/>
    <cellStyle name="Normal 5 2 4 4 2 2 2" xfId="15795" xr:uid="{DB17389E-72D4-4EDB-853D-50BE1C152AF1}"/>
    <cellStyle name="Normal 5 2 4 4 2 3" xfId="11577" xr:uid="{F7D004E7-0557-4C40-890D-8536D0DB48A2}"/>
    <cellStyle name="Normal 5 2 4 4 3" xfId="5221" xr:uid="{00000000-0005-0000-0000-000011190000}"/>
    <cellStyle name="Normal 5 2 4 4 3 2" xfId="13650" xr:uid="{FF039D49-D7CD-4EB3-9478-7F13D370047E}"/>
    <cellStyle name="Normal 5 2 4 4 4" xfId="9432" xr:uid="{4C72D23E-A035-47ED-AB6A-0615A5F350FD}"/>
    <cellStyle name="Normal 5 2 4 5" xfId="1325" xr:uid="{00000000-0005-0000-0000-000012190000}"/>
    <cellStyle name="Normal 5 2 4 5 2" xfId="3555" xr:uid="{00000000-0005-0000-0000-000013190000}"/>
    <cellStyle name="Normal 5 2 4 5 2 2" xfId="7779" xr:uid="{00000000-0005-0000-0000-000014190000}"/>
    <cellStyle name="Normal 5 2 4 5 2 2 2" xfId="16208" xr:uid="{C90A79BC-57F0-4D9B-A823-73CEB1BA906C}"/>
    <cellStyle name="Normal 5 2 4 5 2 3" xfId="11990" xr:uid="{BF9C10DF-20BB-49EA-8640-CD449FAF2A75}"/>
    <cellStyle name="Normal 5 2 4 5 3" xfId="5634" xr:uid="{00000000-0005-0000-0000-000015190000}"/>
    <cellStyle name="Normal 5 2 4 5 3 2" xfId="14063" xr:uid="{FAF1F205-2854-43A1-9C3E-52187CCBB86B}"/>
    <cellStyle name="Normal 5 2 4 5 4" xfId="9845" xr:uid="{4ABFB3EC-C004-45EB-B0E3-0AD16F454B91}"/>
    <cellStyle name="Normal 5 2 4 6" xfId="1738" xr:uid="{00000000-0005-0000-0000-000016190000}"/>
    <cellStyle name="Normal 5 2 4 6 2" xfId="3968" xr:uid="{00000000-0005-0000-0000-000017190000}"/>
    <cellStyle name="Normal 5 2 4 6 2 2" xfId="8192" xr:uid="{00000000-0005-0000-0000-000018190000}"/>
    <cellStyle name="Normal 5 2 4 6 2 2 2" xfId="16621" xr:uid="{7909896D-ED71-41CC-9F51-C4EAAE2BA0F4}"/>
    <cellStyle name="Normal 5 2 4 6 2 3" xfId="12403" xr:uid="{2BE27A73-F578-48B9-BCF6-B2893596786C}"/>
    <cellStyle name="Normal 5 2 4 6 3" xfId="6047" xr:uid="{00000000-0005-0000-0000-000019190000}"/>
    <cellStyle name="Normal 5 2 4 6 3 2" xfId="14476" xr:uid="{0D0D0CAA-4190-4CE8-9EE4-BB6CC50C2E7B}"/>
    <cellStyle name="Normal 5 2 4 6 4" xfId="10258" xr:uid="{3DC302E4-3FE1-4F75-B3F8-F37CA290E8C0}"/>
    <cellStyle name="Normal 5 2 4 7" xfId="2152" xr:uid="{00000000-0005-0000-0000-00001A190000}"/>
    <cellStyle name="Normal 5 2 4 7 2" xfId="4381" xr:uid="{00000000-0005-0000-0000-00001B190000}"/>
    <cellStyle name="Normal 5 2 4 7 2 2" xfId="8605" xr:uid="{00000000-0005-0000-0000-00001C190000}"/>
    <cellStyle name="Normal 5 2 4 7 2 2 2" xfId="17034" xr:uid="{FD462B16-99DC-4F63-B416-F7BDA45028D3}"/>
    <cellStyle name="Normal 5 2 4 7 2 3" xfId="12816" xr:uid="{7FAE090D-9B72-484C-ABAE-4180174B395C}"/>
    <cellStyle name="Normal 5 2 4 7 3" xfId="6460" xr:uid="{00000000-0005-0000-0000-00001D190000}"/>
    <cellStyle name="Normal 5 2 4 7 3 2" xfId="14889" xr:uid="{5D6407BD-7AF1-4D69-BF8A-202DEB3281D7}"/>
    <cellStyle name="Normal 5 2 4 7 4" xfId="10671" xr:uid="{DEBBB596-B713-4B40-90C4-1A7B93B9E9BC}"/>
    <cellStyle name="Normal 5 2 4 8" xfId="2588" xr:uid="{00000000-0005-0000-0000-00001E190000}"/>
    <cellStyle name="Normal 5 2 4 8 2" xfId="6873" xr:uid="{00000000-0005-0000-0000-00001F190000}"/>
    <cellStyle name="Normal 5 2 4 8 2 2" xfId="15302" xr:uid="{132D1530-F47F-4DA2-A127-1ADF4BC6C20F}"/>
    <cellStyle name="Normal 5 2 4 8 3" xfId="11084" xr:uid="{DB355D18-820E-4EA7-907D-9C7F0EA2835F}"/>
    <cellStyle name="Normal 5 2 4 9" xfId="4808" xr:uid="{00000000-0005-0000-0000-000020190000}"/>
    <cellStyle name="Normal 5 2 4 9 2" xfId="13237" xr:uid="{D121FC2F-D4CB-45E4-BB97-2394473E5EB5}"/>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2 2" xfId="15800" xr:uid="{C43B3C97-C3EF-4536-AA97-92B4D5FCEDC2}"/>
    <cellStyle name="Normal 5 2 5 2 2 2 3" xfId="11582" xr:uid="{C2398077-659C-44BA-8A29-C5CB681DD79B}"/>
    <cellStyle name="Normal 5 2 5 2 2 3" xfId="5226" xr:uid="{00000000-0005-0000-0000-000026190000}"/>
    <cellStyle name="Normal 5 2 5 2 2 3 2" xfId="13655" xr:uid="{5DC17E57-87E7-485C-9334-3641D1FEAEF3}"/>
    <cellStyle name="Normal 5 2 5 2 2 4" xfId="9437" xr:uid="{6AD2130D-E2DF-4725-ABE0-CB624CD97E72}"/>
    <cellStyle name="Normal 5 2 5 2 3" xfId="1330" xr:uid="{00000000-0005-0000-0000-000027190000}"/>
    <cellStyle name="Normal 5 2 5 2 3 2" xfId="3560" xr:uid="{00000000-0005-0000-0000-000028190000}"/>
    <cellStyle name="Normal 5 2 5 2 3 2 2" xfId="7784" xr:uid="{00000000-0005-0000-0000-000029190000}"/>
    <cellStyle name="Normal 5 2 5 2 3 2 2 2" xfId="16213" xr:uid="{A1F55331-9A7E-410D-9497-0AC57ECDD289}"/>
    <cellStyle name="Normal 5 2 5 2 3 2 3" xfId="11995" xr:uid="{D0A04A10-B970-451B-AF4F-BC5FE037058D}"/>
    <cellStyle name="Normal 5 2 5 2 3 3" xfId="5639" xr:uid="{00000000-0005-0000-0000-00002A190000}"/>
    <cellStyle name="Normal 5 2 5 2 3 3 2" xfId="14068" xr:uid="{C6704DB7-96D3-486E-8908-3D66538E8E8B}"/>
    <cellStyle name="Normal 5 2 5 2 3 4" xfId="9850" xr:uid="{CCD5C420-0319-4BA8-AAE3-B7F60F9D4052}"/>
    <cellStyle name="Normal 5 2 5 2 4" xfId="1743" xr:uid="{00000000-0005-0000-0000-00002B190000}"/>
    <cellStyle name="Normal 5 2 5 2 4 2" xfId="3973" xr:uid="{00000000-0005-0000-0000-00002C190000}"/>
    <cellStyle name="Normal 5 2 5 2 4 2 2" xfId="8197" xr:uid="{00000000-0005-0000-0000-00002D190000}"/>
    <cellStyle name="Normal 5 2 5 2 4 2 2 2" xfId="16626" xr:uid="{5CB8415C-6DAB-4945-A9F2-04F9790BBFA6}"/>
    <cellStyle name="Normal 5 2 5 2 4 2 3" xfId="12408" xr:uid="{0437D3CF-5EEC-4869-A680-70AD2A194A06}"/>
    <cellStyle name="Normal 5 2 5 2 4 3" xfId="6052" xr:uid="{00000000-0005-0000-0000-00002E190000}"/>
    <cellStyle name="Normal 5 2 5 2 4 3 2" xfId="14481" xr:uid="{C7266CD3-4CF6-434A-B457-4A988940612A}"/>
    <cellStyle name="Normal 5 2 5 2 4 4" xfId="10263" xr:uid="{C6675CA2-F214-4661-8C38-A6F94ED23A30}"/>
    <cellStyle name="Normal 5 2 5 2 5" xfId="2157" xr:uid="{00000000-0005-0000-0000-00002F190000}"/>
    <cellStyle name="Normal 5 2 5 2 5 2" xfId="4386" xr:uid="{00000000-0005-0000-0000-000030190000}"/>
    <cellStyle name="Normal 5 2 5 2 5 2 2" xfId="8610" xr:uid="{00000000-0005-0000-0000-000031190000}"/>
    <cellStyle name="Normal 5 2 5 2 5 2 2 2" xfId="17039" xr:uid="{D153664F-E01F-45B4-A40A-BF9084248AEF}"/>
    <cellStyle name="Normal 5 2 5 2 5 2 3" xfId="12821" xr:uid="{2178A8E1-62CC-4751-896E-A5396D0989CB}"/>
    <cellStyle name="Normal 5 2 5 2 5 3" xfId="6465" xr:uid="{00000000-0005-0000-0000-000032190000}"/>
    <cellStyle name="Normal 5 2 5 2 5 3 2" xfId="14894" xr:uid="{4F69F45F-446A-4257-A493-3CC2B5EEAAE6}"/>
    <cellStyle name="Normal 5 2 5 2 5 4" xfId="10676" xr:uid="{07A257E8-AE36-4183-8CB2-7225275AAA5C}"/>
    <cellStyle name="Normal 5 2 5 2 6" xfId="2593" xr:uid="{00000000-0005-0000-0000-000033190000}"/>
    <cellStyle name="Normal 5 2 5 2 6 2" xfId="6878" xr:uid="{00000000-0005-0000-0000-000034190000}"/>
    <cellStyle name="Normal 5 2 5 2 6 2 2" xfId="15307" xr:uid="{B7CFF8C3-3EE7-406A-B0BE-EE848A58F5A6}"/>
    <cellStyle name="Normal 5 2 5 2 6 3" xfId="11089" xr:uid="{BB6113EA-5B81-45E7-9C49-7F1125D0AE7F}"/>
    <cellStyle name="Normal 5 2 5 2 7" xfId="4813" xr:uid="{00000000-0005-0000-0000-000035190000}"/>
    <cellStyle name="Normal 5 2 5 2 7 2" xfId="13242" xr:uid="{1B06C1AA-587B-4F69-998F-F47C9C93DFB5}"/>
    <cellStyle name="Normal 5 2 5 2 8" xfId="9024" xr:uid="{6C496C15-7F48-4BBE-A087-93F15B2A3CF8}"/>
    <cellStyle name="Normal 5 2 5 3" xfId="911" xr:uid="{00000000-0005-0000-0000-000036190000}"/>
    <cellStyle name="Normal 5 2 5 3 2" xfId="3146" xr:uid="{00000000-0005-0000-0000-000037190000}"/>
    <cellStyle name="Normal 5 2 5 3 2 2" xfId="7370" xr:uid="{00000000-0005-0000-0000-000038190000}"/>
    <cellStyle name="Normal 5 2 5 3 2 2 2" xfId="15799" xr:uid="{EEF8D7A9-0444-4470-83F4-104A9506EB9A}"/>
    <cellStyle name="Normal 5 2 5 3 2 3" xfId="11581" xr:uid="{559AC80A-3193-440F-A077-4F18EDABEF38}"/>
    <cellStyle name="Normal 5 2 5 3 3" xfId="5225" xr:uid="{00000000-0005-0000-0000-000039190000}"/>
    <cellStyle name="Normal 5 2 5 3 3 2" xfId="13654" xr:uid="{7ECB43AC-E9CB-46DC-A8F8-140CD3ED906E}"/>
    <cellStyle name="Normal 5 2 5 3 4" xfId="9436" xr:uid="{A7839CA1-9BCF-4236-B365-25E25B00A708}"/>
    <cellStyle name="Normal 5 2 5 4" xfId="1329" xr:uid="{00000000-0005-0000-0000-00003A190000}"/>
    <cellStyle name="Normal 5 2 5 4 2" xfId="3559" xr:uid="{00000000-0005-0000-0000-00003B190000}"/>
    <cellStyle name="Normal 5 2 5 4 2 2" xfId="7783" xr:uid="{00000000-0005-0000-0000-00003C190000}"/>
    <cellStyle name="Normal 5 2 5 4 2 2 2" xfId="16212" xr:uid="{98FDA639-FB89-440E-884F-17BB28AF7214}"/>
    <cellStyle name="Normal 5 2 5 4 2 3" xfId="11994" xr:uid="{9B7D747C-D30C-4674-AC15-80BBB38D11FE}"/>
    <cellStyle name="Normal 5 2 5 4 3" xfId="5638" xr:uid="{00000000-0005-0000-0000-00003D190000}"/>
    <cellStyle name="Normal 5 2 5 4 3 2" xfId="14067" xr:uid="{313DBD85-86D3-444E-A2E1-3BBC1CEBD2EC}"/>
    <cellStyle name="Normal 5 2 5 4 4" xfId="9849" xr:uid="{3865095C-AE25-46A8-8574-72140EF0EBC9}"/>
    <cellStyle name="Normal 5 2 5 5" xfId="1742" xr:uid="{00000000-0005-0000-0000-00003E190000}"/>
    <cellStyle name="Normal 5 2 5 5 2" xfId="3972" xr:uid="{00000000-0005-0000-0000-00003F190000}"/>
    <cellStyle name="Normal 5 2 5 5 2 2" xfId="8196" xr:uid="{00000000-0005-0000-0000-000040190000}"/>
    <cellStyle name="Normal 5 2 5 5 2 2 2" xfId="16625" xr:uid="{E71D1D3E-E010-4DFB-AEF0-080B91AD0AAB}"/>
    <cellStyle name="Normal 5 2 5 5 2 3" xfId="12407" xr:uid="{DC34DC04-6800-473B-B821-647C82F9A6EA}"/>
    <cellStyle name="Normal 5 2 5 5 3" xfId="6051" xr:uid="{00000000-0005-0000-0000-000041190000}"/>
    <cellStyle name="Normal 5 2 5 5 3 2" xfId="14480" xr:uid="{9EB82BBE-2C2D-4306-8C05-6C7D80DBC5CF}"/>
    <cellStyle name="Normal 5 2 5 5 4" xfId="10262" xr:uid="{743B119B-032E-4B1E-B592-37BF9C226A4E}"/>
    <cellStyle name="Normal 5 2 5 6" xfId="2156" xr:uid="{00000000-0005-0000-0000-000042190000}"/>
    <cellStyle name="Normal 5 2 5 6 2" xfId="4385" xr:uid="{00000000-0005-0000-0000-000043190000}"/>
    <cellStyle name="Normal 5 2 5 6 2 2" xfId="8609" xr:uid="{00000000-0005-0000-0000-000044190000}"/>
    <cellStyle name="Normal 5 2 5 6 2 2 2" xfId="17038" xr:uid="{0AAD84B9-FB70-4A70-8D86-7665E90AEFD5}"/>
    <cellStyle name="Normal 5 2 5 6 2 3" xfId="12820" xr:uid="{6A3A1341-D265-49F1-B051-20F4EE6BD870}"/>
    <cellStyle name="Normal 5 2 5 6 3" xfId="6464" xr:uid="{00000000-0005-0000-0000-000045190000}"/>
    <cellStyle name="Normal 5 2 5 6 3 2" xfId="14893" xr:uid="{1166E19E-E8C5-4753-8C68-6C9AD56DC100}"/>
    <cellStyle name="Normal 5 2 5 6 4" xfId="10675" xr:uid="{4FA5EB5B-2CA6-4307-B3C6-79C506C0E258}"/>
    <cellStyle name="Normal 5 2 5 7" xfId="2592" xr:uid="{00000000-0005-0000-0000-000046190000}"/>
    <cellStyle name="Normal 5 2 5 7 2" xfId="6877" xr:uid="{00000000-0005-0000-0000-000047190000}"/>
    <cellStyle name="Normal 5 2 5 7 2 2" xfId="15306" xr:uid="{4A92413B-0D4B-4A1F-B581-D6AE8562F3CF}"/>
    <cellStyle name="Normal 5 2 5 7 3" xfId="11088" xr:uid="{5017CE89-CC02-4FF8-873A-CECB9DEB633D}"/>
    <cellStyle name="Normal 5 2 5 8" xfId="4812" xr:uid="{00000000-0005-0000-0000-000048190000}"/>
    <cellStyle name="Normal 5 2 5 8 2" xfId="13241" xr:uid="{474353BB-77E4-4F53-BDFB-E3F66B6AF1F8}"/>
    <cellStyle name="Normal 5 2 5 9" xfId="9023" xr:uid="{A2994793-6E8C-443B-B97B-2D1BA9A0D272}"/>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2 2" xfId="15801" xr:uid="{8A5BF181-F523-42E8-8D3E-DE4848F840C7}"/>
    <cellStyle name="Normal 5 2 6 2 2 3" xfId="11583" xr:uid="{B34B5FC2-046A-4633-B395-A42E71F7A579}"/>
    <cellStyle name="Normal 5 2 6 2 3" xfId="5227" xr:uid="{00000000-0005-0000-0000-00004D190000}"/>
    <cellStyle name="Normal 5 2 6 2 3 2" xfId="13656" xr:uid="{0C9AE351-A956-487B-BA80-BAB7EB267EAC}"/>
    <cellStyle name="Normal 5 2 6 2 4" xfId="9438" xr:uid="{E21178BC-7AEE-4927-94EF-659F3AB2E49E}"/>
    <cellStyle name="Normal 5 2 6 3" xfId="1331" xr:uid="{00000000-0005-0000-0000-00004E190000}"/>
    <cellStyle name="Normal 5 2 6 3 2" xfId="3561" xr:uid="{00000000-0005-0000-0000-00004F190000}"/>
    <cellStyle name="Normal 5 2 6 3 2 2" xfId="7785" xr:uid="{00000000-0005-0000-0000-000050190000}"/>
    <cellStyle name="Normal 5 2 6 3 2 2 2" xfId="16214" xr:uid="{9034C758-3B7A-4080-B614-B7C99F4B6B93}"/>
    <cellStyle name="Normal 5 2 6 3 2 3" xfId="11996" xr:uid="{B9DBD68B-3553-47AE-8D7C-3FCF33245C13}"/>
    <cellStyle name="Normal 5 2 6 3 3" xfId="5640" xr:uid="{00000000-0005-0000-0000-000051190000}"/>
    <cellStyle name="Normal 5 2 6 3 3 2" xfId="14069" xr:uid="{461B157D-C8EF-4854-AB74-C438F9539364}"/>
    <cellStyle name="Normal 5 2 6 3 4" xfId="9851" xr:uid="{8DF3B4C7-222D-4E8B-A7A7-B457181BC08E}"/>
    <cellStyle name="Normal 5 2 6 4" xfId="1744" xr:uid="{00000000-0005-0000-0000-000052190000}"/>
    <cellStyle name="Normal 5 2 6 4 2" xfId="3974" xr:uid="{00000000-0005-0000-0000-000053190000}"/>
    <cellStyle name="Normal 5 2 6 4 2 2" xfId="8198" xr:uid="{00000000-0005-0000-0000-000054190000}"/>
    <cellStyle name="Normal 5 2 6 4 2 2 2" xfId="16627" xr:uid="{C4F74C81-2A88-4C07-8FAE-31A5CE823820}"/>
    <cellStyle name="Normal 5 2 6 4 2 3" xfId="12409" xr:uid="{3D4D1E01-F566-4029-88BA-04C28307997D}"/>
    <cellStyle name="Normal 5 2 6 4 3" xfId="6053" xr:uid="{00000000-0005-0000-0000-000055190000}"/>
    <cellStyle name="Normal 5 2 6 4 3 2" xfId="14482" xr:uid="{A72145C8-8583-42BB-94A4-21B466945DAC}"/>
    <cellStyle name="Normal 5 2 6 4 4" xfId="10264" xr:uid="{A782D457-435B-4592-9305-1C8EC6EFB133}"/>
    <cellStyle name="Normal 5 2 6 5" xfId="2158" xr:uid="{00000000-0005-0000-0000-000056190000}"/>
    <cellStyle name="Normal 5 2 6 5 2" xfId="4387" xr:uid="{00000000-0005-0000-0000-000057190000}"/>
    <cellStyle name="Normal 5 2 6 5 2 2" xfId="8611" xr:uid="{00000000-0005-0000-0000-000058190000}"/>
    <cellStyle name="Normal 5 2 6 5 2 2 2" xfId="17040" xr:uid="{1EDE5656-32CC-4DE2-A6D9-0FFFEEA214F4}"/>
    <cellStyle name="Normal 5 2 6 5 2 3" xfId="12822" xr:uid="{910D7221-74F5-440D-99E5-1C72219F93DB}"/>
    <cellStyle name="Normal 5 2 6 5 3" xfId="6466" xr:uid="{00000000-0005-0000-0000-000059190000}"/>
    <cellStyle name="Normal 5 2 6 5 3 2" xfId="14895" xr:uid="{56095374-B562-43CE-9D3A-C9957D1C6FC6}"/>
    <cellStyle name="Normal 5 2 6 5 4" xfId="10677" xr:uid="{9F63604A-D2B9-4498-A951-659F19F367C8}"/>
    <cellStyle name="Normal 5 2 6 6" xfId="2594" xr:uid="{00000000-0005-0000-0000-00005A190000}"/>
    <cellStyle name="Normal 5 2 6 6 2" xfId="6879" xr:uid="{00000000-0005-0000-0000-00005B190000}"/>
    <cellStyle name="Normal 5 2 6 6 2 2" xfId="15308" xr:uid="{A6325B03-636C-4B3E-86E0-7B37350A44F0}"/>
    <cellStyle name="Normal 5 2 6 6 3" xfId="11090" xr:uid="{97E397BD-0C5C-4602-9702-7BE54AE6CBA8}"/>
    <cellStyle name="Normal 5 2 6 7" xfId="4814" xr:uid="{00000000-0005-0000-0000-00005C190000}"/>
    <cellStyle name="Normal 5 2 6 7 2" xfId="13243" xr:uid="{0DBA24A9-CB90-4820-9541-654EDF01CBB1}"/>
    <cellStyle name="Normal 5 2 6 8" xfId="9025" xr:uid="{A8543450-C3CD-4BEF-AA28-C1B0A5EF3EFA}"/>
    <cellStyle name="Normal 5 2 7" xfId="882" xr:uid="{00000000-0005-0000-0000-00005D190000}"/>
    <cellStyle name="Normal 5 2 7 2" xfId="3117" xr:uid="{00000000-0005-0000-0000-00005E190000}"/>
    <cellStyle name="Normal 5 2 7 2 2" xfId="7341" xr:uid="{00000000-0005-0000-0000-00005F190000}"/>
    <cellStyle name="Normal 5 2 7 2 2 2" xfId="15770" xr:uid="{669379FC-5670-4858-81B8-C901C04183D5}"/>
    <cellStyle name="Normal 5 2 7 2 3" xfId="11552" xr:uid="{032DF6DF-9B82-4587-A955-7D6D91586FF1}"/>
    <cellStyle name="Normal 5 2 7 3" xfId="5196" xr:uid="{00000000-0005-0000-0000-000060190000}"/>
    <cellStyle name="Normal 5 2 7 3 2" xfId="13625" xr:uid="{FBDEEEB5-BC85-4CCA-805D-1167D733E171}"/>
    <cellStyle name="Normal 5 2 7 4" xfId="9407" xr:uid="{CBE3181F-15AB-4C3A-955C-B5A34B3D1B2A}"/>
    <cellStyle name="Normal 5 2 8" xfId="1300" xr:uid="{00000000-0005-0000-0000-000061190000}"/>
    <cellStyle name="Normal 5 2 8 2" xfId="3530" xr:uid="{00000000-0005-0000-0000-000062190000}"/>
    <cellStyle name="Normal 5 2 8 2 2" xfId="7754" xr:uid="{00000000-0005-0000-0000-000063190000}"/>
    <cellStyle name="Normal 5 2 8 2 2 2" xfId="16183" xr:uid="{2485AA4D-3F6F-4851-AF11-4DDFCA350511}"/>
    <cellStyle name="Normal 5 2 8 2 3" xfId="11965" xr:uid="{96040D0D-989F-4285-9D28-98589E94ADA3}"/>
    <cellStyle name="Normal 5 2 8 3" xfId="5609" xr:uid="{00000000-0005-0000-0000-000064190000}"/>
    <cellStyle name="Normal 5 2 8 3 2" xfId="14038" xr:uid="{020BD369-421A-4934-8495-72868B127191}"/>
    <cellStyle name="Normal 5 2 8 4" xfId="9820" xr:uid="{8D9985A2-C0D5-48D1-A629-24E6AF38E4DC}"/>
    <cellStyle name="Normal 5 2 9" xfId="1713" xr:uid="{00000000-0005-0000-0000-000065190000}"/>
    <cellStyle name="Normal 5 2 9 2" xfId="3943" xr:uid="{00000000-0005-0000-0000-000066190000}"/>
    <cellStyle name="Normal 5 2 9 2 2" xfId="8167" xr:uid="{00000000-0005-0000-0000-000067190000}"/>
    <cellStyle name="Normal 5 2 9 2 2 2" xfId="16596" xr:uid="{DD366095-DA87-4D1E-9A42-542987648D5A}"/>
    <cellStyle name="Normal 5 2 9 2 3" xfId="12378" xr:uid="{29A2196C-9605-42BE-86E1-55BDDAE09D05}"/>
    <cellStyle name="Normal 5 2 9 3" xfId="6022" xr:uid="{00000000-0005-0000-0000-000068190000}"/>
    <cellStyle name="Normal 5 2 9 3 2" xfId="14451" xr:uid="{88B6940C-CF79-4AA9-9508-9E236EF9248A}"/>
    <cellStyle name="Normal 5 2 9 4" xfId="10233" xr:uid="{1920C417-E3C3-4CAB-BC19-1CD5D6B7CA3F}"/>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2 2" xfId="17041" xr:uid="{51735AC1-F4B4-408B-A938-1AF1A41C5B36}"/>
    <cellStyle name="Normal 5 3 10 2 3" xfId="12823" xr:uid="{D07BABEF-5071-48C4-A9D4-652EC59BD07E}"/>
    <cellStyle name="Normal 5 3 10 3" xfId="6467" xr:uid="{00000000-0005-0000-0000-00006D190000}"/>
    <cellStyle name="Normal 5 3 10 3 2" xfId="14896" xr:uid="{C8416CCB-38ED-4D44-84DA-9DF064FC3C59}"/>
    <cellStyle name="Normal 5 3 10 4" xfId="10678" xr:uid="{BF826D3A-86D9-41F0-AF36-0ACD7051F2D0}"/>
    <cellStyle name="Normal 5 3 11" xfId="2595" xr:uid="{00000000-0005-0000-0000-00006E190000}"/>
    <cellStyle name="Normal 5 3 11 2" xfId="6880" xr:uid="{00000000-0005-0000-0000-00006F190000}"/>
    <cellStyle name="Normal 5 3 11 2 2" xfId="15309" xr:uid="{C1A0424A-F357-4DA7-BD93-C532F58AE6EC}"/>
    <cellStyle name="Normal 5 3 11 3" xfId="11091" xr:uid="{8BCAFB48-3DDD-4544-BB4C-8C87C9CE211E}"/>
    <cellStyle name="Normal 5 3 12" xfId="4815" xr:uid="{00000000-0005-0000-0000-000070190000}"/>
    <cellStyle name="Normal 5 3 12 2" xfId="13244" xr:uid="{98522FEE-9EF5-4A24-AA4F-168FAD07D160}"/>
    <cellStyle name="Normal 5 3 13" xfId="9026" xr:uid="{ABAF6284-9F19-4267-9D62-41491794E339}"/>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0 2" xfId="13245" xr:uid="{1EF9F416-606E-493C-A2F1-5DC116E1819F}"/>
    <cellStyle name="Normal 5 3 3 11" xfId="9027" xr:uid="{1B35B0AC-DEF5-49A4-9B85-A2D97DBE470D}"/>
    <cellStyle name="Normal 5 3 3 2" xfId="442" xr:uid="{00000000-0005-0000-0000-000075190000}"/>
    <cellStyle name="Normal 5 3 3 2 10" xfId="9028" xr:uid="{FE693974-C95E-4979-B8A2-94457B45E1D2}"/>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2 2" xfId="15806" xr:uid="{F428C0A3-BF2F-4F85-AB6C-D4408F3963BB}"/>
    <cellStyle name="Normal 5 3 3 2 2 2 2 2 3" xfId="11588" xr:uid="{228822A0-E1E0-408A-AB10-FA64304EF448}"/>
    <cellStyle name="Normal 5 3 3 2 2 2 2 3" xfId="5232" xr:uid="{00000000-0005-0000-0000-00007B190000}"/>
    <cellStyle name="Normal 5 3 3 2 2 2 2 3 2" xfId="13661" xr:uid="{37E1A210-E6A3-465B-8925-9B5DFEF65E46}"/>
    <cellStyle name="Normal 5 3 3 2 2 2 2 4" xfId="9443" xr:uid="{6AC55D4E-6A2C-41DA-A7DC-88FE8C302E95}"/>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2 2" xfId="16219" xr:uid="{71D2B763-7BF4-4E50-BEC2-EF73D696AE21}"/>
    <cellStyle name="Normal 5 3 3 2 2 2 3 2 3" xfId="12001" xr:uid="{BCF2662B-F6D7-43A4-84C2-184B256CF9B9}"/>
    <cellStyle name="Normal 5 3 3 2 2 2 3 3" xfId="5645" xr:uid="{00000000-0005-0000-0000-00007F190000}"/>
    <cellStyle name="Normal 5 3 3 2 2 2 3 3 2" xfId="14074" xr:uid="{E2746097-3108-4B73-9C92-C849139FC1B6}"/>
    <cellStyle name="Normal 5 3 3 2 2 2 3 4" xfId="9856" xr:uid="{4CA448F2-6343-47F9-8640-2190FC117C08}"/>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2 2" xfId="16632" xr:uid="{7550FF1F-3D66-414E-B579-222EF858822B}"/>
    <cellStyle name="Normal 5 3 3 2 2 2 4 2 3" xfId="12414" xr:uid="{89A1006D-2096-4E45-B6FE-F5FDA663DE78}"/>
    <cellStyle name="Normal 5 3 3 2 2 2 4 3" xfId="6058" xr:uid="{00000000-0005-0000-0000-000083190000}"/>
    <cellStyle name="Normal 5 3 3 2 2 2 4 3 2" xfId="14487" xr:uid="{7A06AC5B-EEF0-4090-8D1B-7F2E43894851}"/>
    <cellStyle name="Normal 5 3 3 2 2 2 4 4" xfId="10269" xr:uid="{EDC90DB9-4D75-42D8-B088-3E6CFBB3EEFE}"/>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2 2" xfId="17045" xr:uid="{DF117F5E-02BA-439D-8749-1766FDE5952D}"/>
    <cellStyle name="Normal 5 3 3 2 2 2 5 2 3" xfId="12827" xr:uid="{66F34833-8258-43B1-8D61-59B9443B9A6F}"/>
    <cellStyle name="Normal 5 3 3 2 2 2 5 3" xfId="6471" xr:uid="{00000000-0005-0000-0000-000087190000}"/>
    <cellStyle name="Normal 5 3 3 2 2 2 5 3 2" xfId="14900" xr:uid="{382E418E-3A98-472F-8254-9904515D2ECC}"/>
    <cellStyle name="Normal 5 3 3 2 2 2 5 4" xfId="10682" xr:uid="{119461FE-A1D7-424B-8C42-545A2D650D30}"/>
    <cellStyle name="Normal 5 3 3 2 2 2 6" xfId="2599" xr:uid="{00000000-0005-0000-0000-000088190000}"/>
    <cellStyle name="Normal 5 3 3 2 2 2 6 2" xfId="6884" xr:uid="{00000000-0005-0000-0000-000089190000}"/>
    <cellStyle name="Normal 5 3 3 2 2 2 6 2 2" xfId="15313" xr:uid="{1A5A8D94-C286-49D4-9A90-27D9FE2AFC59}"/>
    <cellStyle name="Normal 5 3 3 2 2 2 6 3" xfId="11095" xr:uid="{A44696F8-4D36-4DAB-825A-C2DEB4EFD081}"/>
    <cellStyle name="Normal 5 3 3 2 2 2 7" xfId="4819" xr:uid="{00000000-0005-0000-0000-00008A190000}"/>
    <cellStyle name="Normal 5 3 3 2 2 2 7 2" xfId="13248" xr:uid="{0B80BBB7-5D89-410F-A354-80ED0380403B}"/>
    <cellStyle name="Normal 5 3 3 2 2 2 8" xfId="9030" xr:uid="{4562FFEC-B0D2-40AC-9D8D-5F1B861F94E3}"/>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2 2" xfId="15805" xr:uid="{8A575CB0-5A2A-4ADA-8E49-EADD9EE84435}"/>
    <cellStyle name="Normal 5 3 3 2 2 3 2 3" xfId="11587" xr:uid="{FE683B7D-5FDB-4A21-A98B-6279A9E44AE8}"/>
    <cellStyle name="Normal 5 3 3 2 2 3 3" xfId="5231" xr:uid="{00000000-0005-0000-0000-00008E190000}"/>
    <cellStyle name="Normal 5 3 3 2 2 3 3 2" xfId="13660" xr:uid="{5F3F0C3A-69C9-402A-9DD6-54007818ED08}"/>
    <cellStyle name="Normal 5 3 3 2 2 3 4" xfId="9442" xr:uid="{32066E1C-35B0-43FD-B4C2-EED00FBF2403}"/>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2 2" xfId="16218" xr:uid="{A87A076A-23C6-4945-A182-0C035A9CD51C}"/>
    <cellStyle name="Normal 5 3 3 2 2 4 2 3" xfId="12000" xr:uid="{CECA5868-4AF7-46C1-8FE4-24FC530C9B50}"/>
    <cellStyle name="Normal 5 3 3 2 2 4 3" xfId="5644" xr:uid="{00000000-0005-0000-0000-000092190000}"/>
    <cellStyle name="Normal 5 3 3 2 2 4 3 2" xfId="14073" xr:uid="{D43BF5C5-99E8-4847-B3D7-F269B0495565}"/>
    <cellStyle name="Normal 5 3 3 2 2 4 4" xfId="9855" xr:uid="{818445C9-E5C7-4C78-AB3F-7F9A987D1B24}"/>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2 2" xfId="16631" xr:uid="{ECEA8247-5C03-4493-8B10-BF5D569E89A5}"/>
    <cellStyle name="Normal 5 3 3 2 2 5 2 3" xfId="12413" xr:uid="{1DBEEF4A-9D4E-4B88-BA14-DE35FA4CCE6A}"/>
    <cellStyle name="Normal 5 3 3 2 2 5 3" xfId="6057" xr:uid="{00000000-0005-0000-0000-000096190000}"/>
    <cellStyle name="Normal 5 3 3 2 2 5 3 2" xfId="14486" xr:uid="{0FDEE367-9229-4082-BC79-AFBB62BD7797}"/>
    <cellStyle name="Normal 5 3 3 2 2 5 4" xfId="10268" xr:uid="{0194FBE1-62A3-4699-80A4-3357DCE72A13}"/>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2 2" xfId="17044" xr:uid="{56D632AC-F041-427E-BA5D-3E58F26C6924}"/>
    <cellStyle name="Normal 5 3 3 2 2 6 2 3" xfId="12826" xr:uid="{48664A30-D8D4-4A51-B155-07694785ADBB}"/>
    <cellStyle name="Normal 5 3 3 2 2 6 3" xfId="6470" xr:uid="{00000000-0005-0000-0000-00009A190000}"/>
    <cellStyle name="Normal 5 3 3 2 2 6 3 2" xfId="14899" xr:uid="{02BC911D-CF40-484B-8A40-ED59A397BF8D}"/>
    <cellStyle name="Normal 5 3 3 2 2 6 4" xfId="10681" xr:uid="{555D2A24-EBFE-44BF-B4E7-B7E3D5A2A059}"/>
    <cellStyle name="Normal 5 3 3 2 2 7" xfId="2598" xr:uid="{00000000-0005-0000-0000-00009B190000}"/>
    <cellStyle name="Normal 5 3 3 2 2 7 2" xfId="6883" xr:uid="{00000000-0005-0000-0000-00009C190000}"/>
    <cellStyle name="Normal 5 3 3 2 2 7 2 2" xfId="15312" xr:uid="{E67F709F-31F1-4596-A043-37D2AD17C25C}"/>
    <cellStyle name="Normal 5 3 3 2 2 7 3" xfId="11094" xr:uid="{426E5A58-EA95-46BB-B713-D139C7618DDC}"/>
    <cellStyle name="Normal 5 3 3 2 2 8" xfId="4818" xr:uid="{00000000-0005-0000-0000-00009D190000}"/>
    <cellStyle name="Normal 5 3 3 2 2 8 2" xfId="13247" xr:uid="{03689EAD-8D94-4907-91E6-97F11280C684}"/>
    <cellStyle name="Normal 5 3 3 2 2 9" xfId="9029" xr:uid="{FB63C542-AD8F-473A-95FA-C1EB671ABFD3}"/>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2 2" xfId="15807" xr:uid="{133D0B72-EFB0-4E8A-A354-F484576CADEB}"/>
    <cellStyle name="Normal 5 3 3 2 3 2 2 3" xfId="11589" xr:uid="{322171ED-BACF-425E-83CF-742253671DF3}"/>
    <cellStyle name="Normal 5 3 3 2 3 2 3" xfId="5233" xr:uid="{00000000-0005-0000-0000-0000A2190000}"/>
    <cellStyle name="Normal 5 3 3 2 3 2 3 2" xfId="13662" xr:uid="{03C5990F-E2C7-4E7E-97B0-273ABC424685}"/>
    <cellStyle name="Normal 5 3 3 2 3 2 4" xfId="9444" xr:uid="{329F3757-7960-4CD5-862D-F334077C7ECD}"/>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2 2" xfId="16220" xr:uid="{9D386259-1697-419C-87F4-4E62DB24BF79}"/>
    <cellStyle name="Normal 5 3 3 2 3 3 2 3" xfId="12002" xr:uid="{EBF92155-DD31-4FA6-9D65-0378AA2EB053}"/>
    <cellStyle name="Normal 5 3 3 2 3 3 3" xfId="5646" xr:uid="{00000000-0005-0000-0000-0000A6190000}"/>
    <cellStyle name="Normal 5 3 3 2 3 3 3 2" xfId="14075" xr:uid="{62D44A18-50A0-4912-8180-C89B4B785F6D}"/>
    <cellStyle name="Normal 5 3 3 2 3 3 4" xfId="9857" xr:uid="{44C0BDE1-8A57-4105-9403-2CB97187D25C}"/>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2 2" xfId="16633" xr:uid="{260E1F10-7FF6-4D87-A1D1-7C28EA747B97}"/>
    <cellStyle name="Normal 5 3 3 2 3 4 2 3" xfId="12415" xr:uid="{3E46D1BE-A71A-42EC-8F83-94A3BD4AA425}"/>
    <cellStyle name="Normal 5 3 3 2 3 4 3" xfId="6059" xr:uid="{00000000-0005-0000-0000-0000AA190000}"/>
    <cellStyle name="Normal 5 3 3 2 3 4 3 2" xfId="14488" xr:uid="{59BFE44F-0C67-41A7-87F9-983A215DF0F7}"/>
    <cellStyle name="Normal 5 3 3 2 3 4 4" xfId="10270" xr:uid="{CECCEDB6-41E0-426D-A901-F6F5294D5F72}"/>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2 2" xfId="17046" xr:uid="{1F56C1A0-DC83-4348-847F-31CE5F9E4F94}"/>
    <cellStyle name="Normal 5 3 3 2 3 5 2 3" xfId="12828" xr:uid="{441204A5-4348-49B4-B765-0C5B5B1FEB3E}"/>
    <cellStyle name="Normal 5 3 3 2 3 5 3" xfId="6472" xr:uid="{00000000-0005-0000-0000-0000AE190000}"/>
    <cellStyle name="Normal 5 3 3 2 3 5 3 2" xfId="14901" xr:uid="{524369CC-D715-469D-A24A-238A961CC858}"/>
    <cellStyle name="Normal 5 3 3 2 3 5 4" xfId="10683" xr:uid="{7263C858-EA13-42E5-AECF-AB0E5BEC553E}"/>
    <cellStyle name="Normal 5 3 3 2 3 6" xfId="2600" xr:uid="{00000000-0005-0000-0000-0000AF190000}"/>
    <cellStyle name="Normal 5 3 3 2 3 6 2" xfId="6885" xr:uid="{00000000-0005-0000-0000-0000B0190000}"/>
    <cellStyle name="Normal 5 3 3 2 3 6 2 2" xfId="15314" xr:uid="{2244EE24-FA54-4C7A-B526-7BA9D70B334F}"/>
    <cellStyle name="Normal 5 3 3 2 3 6 3" xfId="11096" xr:uid="{89E56519-B1A6-4063-A4F7-0F86F263A550}"/>
    <cellStyle name="Normal 5 3 3 2 3 7" xfId="4820" xr:uid="{00000000-0005-0000-0000-0000B1190000}"/>
    <cellStyle name="Normal 5 3 3 2 3 7 2" xfId="13249" xr:uid="{307358C4-B4CA-4DC1-BAA0-297D452DC44B}"/>
    <cellStyle name="Normal 5 3 3 2 3 8" xfId="9031" xr:uid="{F4B1004A-A571-470D-8FF3-037AA2D6D70F}"/>
    <cellStyle name="Normal 5 3 3 2 4" xfId="917" xr:uid="{00000000-0005-0000-0000-0000B2190000}"/>
    <cellStyle name="Normal 5 3 3 2 4 2" xfId="3151" xr:uid="{00000000-0005-0000-0000-0000B3190000}"/>
    <cellStyle name="Normal 5 3 3 2 4 2 2" xfId="7375" xr:uid="{00000000-0005-0000-0000-0000B4190000}"/>
    <cellStyle name="Normal 5 3 3 2 4 2 2 2" xfId="15804" xr:uid="{5D3888E2-27C4-446B-B32A-F6C637518453}"/>
    <cellStyle name="Normal 5 3 3 2 4 2 3" xfId="11586" xr:uid="{4F9079A0-7EC9-4EC2-924B-699B5B3E0D3E}"/>
    <cellStyle name="Normal 5 3 3 2 4 3" xfId="5230" xr:uid="{00000000-0005-0000-0000-0000B5190000}"/>
    <cellStyle name="Normal 5 3 3 2 4 3 2" xfId="13659" xr:uid="{3929735B-66D9-4B94-A931-6848B23148C3}"/>
    <cellStyle name="Normal 5 3 3 2 4 4" xfId="9441" xr:uid="{A9ACAEA3-5B01-4595-AC0D-26A7608EF1F9}"/>
    <cellStyle name="Normal 5 3 3 2 5" xfId="1334" xr:uid="{00000000-0005-0000-0000-0000B6190000}"/>
    <cellStyle name="Normal 5 3 3 2 5 2" xfId="3564" xr:uid="{00000000-0005-0000-0000-0000B7190000}"/>
    <cellStyle name="Normal 5 3 3 2 5 2 2" xfId="7788" xr:uid="{00000000-0005-0000-0000-0000B8190000}"/>
    <cellStyle name="Normal 5 3 3 2 5 2 2 2" xfId="16217" xr:uid="{D304B531-7C19-4317-9C20-353D39F032EA}"/>
    <cellStyle name="Normal 5 3 3 2 5 2 3" xfId="11999" xr:uid="{B68369C2-53A2-4BE0-A16B-AA214E4A781C}"/>
    <cellStyle name="Normal 5 3 3 2 5 3" xfId="5643" xr:uid="{00000000-0005-0000-0000-0000B9190000}"/>
    <cellStyle name="Normal 5 3 3 2 5 3 2" xfId="14072" xr:uid="{091716D6-14F9-41BE-9422-72F48010E0AE}"/>
    <cellStyle name="Normal 5 3 3 2 5 4" xfId="9854" xr:uid="{BF174496-236F-41B2-9CD1-3CB97081EE64}"/>
    <cellStyle name="Normal 5 3 3 2 6" xfId="1747" xr:uid="{00000000-0005-0000-0000-0000BA190000}"/>
    <cellStyle name="Normal 5 3 3 2 6 2" xfId="3977" xr:uid="{00000000-0005-0000-0000-0000BB190000}"/>
    <cellStyle name="Normal 5 3 3 2 6 2 2" xfId="8201" xr:uid="{00000000-0005-0000-0000-0000BC190000}"/>
    <cellStyle name="Normal 5 3 3 2 6 2 2 2" xfId="16630" xr:uid="{49A8101C-B6D2-4C70-89C4-277FC7C87553}"/>
    <cellStyle name="Normal 5 3 3 2 6 2 3" xfId="12412" xr:uid="{2D694000-49A2-451C-8136-C8682E08F5A2}"/>
    <cellStyle name="Normal 5 3 3 2 6 3" xfId="6056" xr:uid="{00000000-0005-0000-0000-0000BD190000}"/>
    <cellStyle name="Normal 5 3 3 2 6 3 2" xfId="14485" xr:uid="{5F201809-052A-4450-B9DD-461FD24EDC8B}"/>
    <cellStyle name="Normal 5 3 3 2 6 4" xfId="10267" xr:uid="{2C97B605-7B5D-47DA-8973-169B213BF650}"/>
    <cellStyle name="Normal 5 3 3 2 7" xfId="2161" xr:uid="{00000000-0005-0000-0000-0000BE190000}"/>
    <cellStyle name="Normal 5 3 3 2 7 2" xfId="4390" xr:uid="{00000000-0005-0000-0000-0000BF190000}"/>
    <cellStyle name="Normal 5 3 3 2 7 2 2" xfId="8614" xr:uid="{00000000-0005-0000-0000-0000C0190000}"/>
    <cellStyle name="Normal 5 3 3 2 7 2 2 2" xfId="17043" xr:uid="{5155A758-D894-41A9-9836-1384FE853A28}"/>
    <cellStyle name="Normal 5 3 3 2 7 2 3" xfId="12825" xr:uid="{FE433A54-F330-47E4-AC5D-A4B9CE6398C0}"/>
    <cellStyle name="Normal 5 3 3 2 7 3" xfId="6469" xr:uid="{00000000-0005-0000-0000-0000C1190000}"/>
    <cellStyle name="Normal 5 3 3 2 7 3 2" xfId="14898" xr:uid="{6F2700D1-D250-4065-A7D2-83DC0403B16A}"/>
    <cellStyle name="Normal 5 3 3 2 7 4" xfId="10680" xr:uid="{F1D150D0-EBE9-431A-B6E9-C3065A1BD454}"/>
    <cellStyle name="Normal 5 3 3 2 8" xfId="2597" xr:uid="{00000000-0005-0000-0000-0000C2190000}"/>
    <cellStyle name="Normal 5 3 3 2 8 2" xfId="6882" xr:uid="{00000000-0005-0000-0000-0000C3190000}"/>
    <cellStyle name="Normal 5 3 3 2 8 2 2" xfId="15311" xr:uid="{C2C42493-A3E5-4E3E-B24C-7A1CB1E0E33D}"/>
    <cellStyle name="Normal 5 3 3 2 8 3" xfId="11093" xr:uid="{C6800D4B-091F-41C0-B381-7ACB096C4610}"/>
    <cellStyle name="Normal 5 3 3 2 9" xfId="4817" xr:uid="{00000000-0005-0000-0000-0000C4190000}"/>
    <cellStyle name="Normal 5 3 3 2 9 2" xfId="13246" xr:uid="{7E480E5E-E187-4B82-ACC0-FE8F9FBC942C}"/>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2 2" xfId="15809" xr:uid="{40B3426A-3C13-4C78-B90E-007BF75FD5BE}"/>
    <cellStyle name="Normal 5 3 3 3 2 2 2 3" xfId="11591" xr:uid="{0329FD09-0A35-4D33-BD24-489611FEB6C8}"/>
    <cellStyle name="Normal 5 3 3 3 2 2 3" xfId="5235" xr:uid="{00000000-0005-0000-0000-0000CA190000}"/>
    <cellStyle name="Normal 5 3 3 3 2 2 3 2" xfId="13664" xr:uid="{AD3A3039-8AA6-493C-96FD-9A7715E63950}"/>
    <cellStyle name="Normal 5 3 3 3 2 2 4" xfId="9446" xr:uid="{9AA7C757-1C62-4199-8B3F-7AF8E49D73E5}"/>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2 2" xfId="16222" xr:uid="{BB33718F-351C-4F09-9748-E0DB7585AC45}"/>
    <cellStyle name="Normal 5 3 3 3 2 3 2 3" xfId="12004" xr:uid="{64D82A84-4959-46F8-858A-F36261548E39}"/>
    <cellStyle name="Normal 5 3 3 3 2 3 3" xfId="5648" xr:uid="{00000000-0005-0000-0000-0000CE190000}"/>
    <cellStyle name="Normal 5 3 3 3 2 3 3 2" xfId="14077" xr:uid="{A386E50D-039B-469E-BAFB-3534E3CE976A}"/>
    <cellStyle name="Normal 5 3 3 3 2 3 4" xfId="9859" xr:uid="{A9698955-67DE-45E6-B548-84555DE80E69}"/>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2 2" xfId="16635" xr:uid="{15E57DE6-0FDF-4453-A1D4-4868A267826D}"/>
    <cellStyle name="Normal 5 3 3 3 2 4 2 3" xfId="12417" xr:uid="{398D53C0-951C-480A-8D03-F30D04CC9090}"/>
    <cellStyle name="Normal 5 3 3 3 2 4 3" xfId="6061" xr:uid="{00000000-0005-0000-0000-0000D2190000}"/>
    <cellStyle name="Normal 5 3 3 3 2 4 3 2" xfId="14490" xr:uid="{F694B2BF-CF29-4EC2-AECF-38463621C5A1}"/>
    <cellStyle name="Normal 5 3 3 3 2 4 4" xfId="10272" xr:uid="{1ED92F50-B2E7-480D-832F-45EB9AF99FD9}"/>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2 2" xfId="17048" xr:uid="{480238C6-DFDC-4BEB-ABC1-D24F002C3463}"/>
    <cellStyle name="Normal 5 3 3 3 2 5 2 3" xfId="12830" xr:uid="{FFAA2ACC-D136-49CC-9A9F-982F572D554B}"/>
    <cellStyle name="Normal 5 3 3 3 2 5 3" xfId="6474" xr:uid="{00000000-0005-0000-0000-0000D6190000}"/>
    <cellStyle name="Normal 5 3 3 3 2 5 3 2" xfId="14903" xr:uid="{E1BF93A7-FBB2-4AA8-AF63-BA81C0897503}"/>
    <cellStyle name="Normal 5 3 3 3 2 5 4" xfId="10685" xr:uid="{734A3E5C-15EB-4A82-BA42-1D0D68406158}"/>
    <cellStyle name="Normal 5 3 3 3 2 6" xfId="2602" xr:uid="{00000000-0005-0000-0000-0000D7190000}"/>
    <cellStyle name="Normal 5 3 3 3 2 6 2" xfId="6887" xr:uid="{00000000-0005-0000-0000-0000D8190000}"/>
    <cellStyle name="Normal 5 3 3 3 2 6 2 2" xfId="15316" xr:uid="{CB80D141-3E96-47FF-B80A-5BAEFD047C93}"/>
    <cellStyle name="Normal 5 3 3 3 2 6 3" xfId="11098" xr:uid="{0EE6582E-33EA-4219-AFCD-6A59018AFF4D}"/>
    <cellStyle name="Normal 5 3 3 3 2 7" xfId="4822" xr:uid="{00000000-0005-0000-0000-0000D9190000}"/>
    <cellStyle name="Normal 5 3 3 3 2 7 2" xfId="13251" xr:uid="{CDA2CA99-5850-4FB6-ACB2-6C3E2CF4C202}"/>
    <cellStyle name="Normal 5 3 3 3 2 8" xfId="9033" xr:uid="{D3E504B6-2EA1-420C-BA01-E7ECFFA9F35D}"/>
    <cellStyle name="Normal 5 3 3 3 3" xfId="921" xr:uid="{00000000-0005-0000-0000-0000DA190000}"/>
    <cellStyle name="Normal 5 3 3 3 3 2" xfId="3155" xr:uid="{00000000-0005-0000-0000-0000DB190000}"/>
    <cellStyle name="Normal 5 3 3 3 3 2 2" xfId="7379" xr:uid="{00000000-0005-0000-0000-0000DC190000}"/>
    <cellStyle name="Normal 5 3 3 3 3 2 2 2" xfId="15808" xr:uid="{58A50EB7-4D7C-42C8-9331-7EE760592DE9}"/>
    <cellStyle name="Normal 5 3 3 3 3 2 3" xfId="11590" xr:uid="{4B56AD00-121C-4237-8AAF-088F879C7176}"/>
    <cellStyle name="Normal 5 3 3 3 3 3" xfId="5234" xr:uid="{00000000-0005-0000-0000-0000DD190000}"/>
    <cellStyle name="Normal 5 3 3 3 3 3 2" xfId="13663" xr:uid="{B2F8553D-99D2-45AA-B52F-8AC5C3D1B2E8}"/>
    <cellStyle name="Normal 5 3 3 3 3 4" xfId="9445" xr:uid="{2CD0D958-1782-489A-9797-10ED37E7981A}"/>
    <cellStyle name="Normal 5 3 3 3 4" xfId="1338" xr:uid="{00000000-0005-0000-0000-0000DE190000}"/>
    <cellStyle name="Normal 5 3 3 3 4 2" xfId="3568" xr:uid="{00000000-0005-0000-0000-0000DF190000}"/>
    <cellStyle name="Normal 5 3 3 3 4 2 2" xfId="7792" xr:uid="{00000000-0005-0000-0000-0000E0190000}"/>
    <cellStyle name="Normal 5 3 3 3 4 2 2 2" xfId="16221" xr:uid="{BB74E386-3302-4188-8712-2E60FB583275}"/>
    <cellStyle name="Normal 5 3 3 3 4 2 3" xfId="12003" xr:uid="{A7801E5E-3CD0-454F-A1BC-458D272614D6}"/>
    <cellStyle name="Normal 5 3 3 3 4 3" xfId="5647" xr:uid="{00000000-0005-0000-0000-0000E1190000}"/>
    <cellStyle name="Normal 5 3 3 3 4 3 2" xfId="14076" xr:uid="{EC0991E1-1133-477A-BDD1-A361E14360B7}"/>
    <cellStyle name="Normal 5 3 3 3 4 4" xfId="9858" xr:uid="{327BD4D7-2283-452C-A1FF-42D5186701E0}"/>
    <cellStyle name="Normal 5 3 3 3 5" xfId="1751" xr:uid="{00000000-0005-0000-0000-0000E2190000}"/>
    <cellStyle name="Normal 5 3 3 3 5 2" xfId="3981" xr:uid="{00000000-0005-0000-0000-0000E3190000}"/>
    <cellStyle name="Normal 5 3 3 3 5 2 2" xfId="8205" xr:uid="{00000000-0005-0000-0000-0000E4190000}"/>
    <cellStyle name="Normal 5 3 3 3 5 2 2 2" xfId="16634" xr:uid="{1BD5CDF7-DF6C-45EE-BC24-CB6A0D9E4AC6}"/>
    <cellStyle name="Normal 5 3 3 3 5 2 3" xfId="12416" xr:uid="{35A78E89-AF09-41F6-8D80-DA4C13FA343D}"/>
    <cellStyle name="Normal 5 3 3 3 5 3" xfId="6060" xr:uid="{00000000-0005-0000-0000-0000E5190000}"/>
    <cellStyle name="Normal 5 3 3 3 5 3 2" xfId="14489" xr:uid="{C726E015-72E3-45D0-B5F4-6984A1716D41}"/>
    <cellStyle name="Normal 5 3 3 3 5 4" xfId="10271" xr:uid="{2454961E-7B1C-4156-9430-D94786A866FE}"/>
    <cellStyle name="Normal 5 3 3 3 6" xfId="2165" xr:uid="{00000000-0005-0000-0000-0000E6190000}"/>
    <cellStyle name="Normal 5 3 3 3 6 2" xfId="4394" xr:uid="{00000000-0005-0000-0000-0000E7190000}"/>
    <cellStyle name="Normal 5 3 3 3 6 2 2" xfId="8618" xr:uid="{00000000-0005-0000-0000-0000E8190000}"/>
    <cellStyle name="Normal 5 3 3 3 6 2 2 2" xfId="17047" xr:uid="{878E6F5D-AEBF-44E9-82ED-23FE19C3B82C}"/>
    <cellStyle name="Normal 5 3 3 3 6 2 3" xfId="12829" xr:uid="{C023908B-56F8-4BD1-A4C0-B1AD5FD208E8}"/>
    <cellStyle name="Normal 5 3 3 3 6 3" xfId="6473" xr:uid="{00000000-0005-0000-0000-0000E9190000}"/>
    <cellStyle name="Normal 5 3 3 3 6 3 2" xfId="14902" xr:uid="{53BAEEB8-0C38-4833-94E6-F189B6260302}"/>
    <cellStyle name="Normal 5 3 3 3 6 4" xfId="10684" xr:uid="{7779FB7D-8C83-4C38-A46E-00D15B8ECF25}"/>
    <cellStyle name="Normal 5 3 3 3 7" xfId="2601" xr:uid="{00000000-0005-0000-0000-0000EA190000}"/>
    <cellStyle name="Normal 5 3 3 3 7 2" xfId="6886" xr:uid="{00000000-0005-0000-0000-0000EB190000}"/>
    <cellStyle name="Normal 5 3 3 3 7 2 2" xfId="15315" xr:uid="{60DBCACC-9EE5-408A-8FDF-A29E4E18A9B5}"/>
    <cellStyle name="Normal 5 3 3 3 7 3" xfId="11097" xr:uid="{3E061AF1-8816-4A22-A568-E5B7BCAAFA28}"/>
    <cellStyle name="Normal 5 3 3 3 8" xfId="4821" xr:uid="{00000000-0005-0000-0000-0000EC190000}"/>
    <cellStyle name="Normal 5 3 3 3 8 2" xfId="13250" xr:uid="{48235E7C-14AB-46FB-A711-6FE589CE54FA}"/>
    <cellStyle name="Normal 5 3 3 3 9" xfId="9032" xr:uid="{75CC8BB1-D63C-4378-8955-9D9F06FE7478}"/>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2 2" xfId="15810" xr:uid="{F62AA93C-D32E-445E-8401-59AC6489B23A}"/>
    <cellStyle name="Normal 5 3 3 4 2 2 3" xfId="11592" xr:uid="{1D92D1B0-6AF6-4DAF-925E-7B48795DE52A}"/>
    <cellStyle name="Normal 5 3 3 4 2 3" xfId="5236" xr:uid="{00000000-0005-0000-0000-0000F1190000}"/>
    <cellStyle name="Normal 5 3 3 4 2 3 2" xfId="13665" xr:uid="{7D67AB17-12F8-46C8-931B-9EEEDB3E58EA}"/>
    <cellStyle name="Normal 5 3 3 4 2 4" xfId="9447" xr:uid="{B5EC39BD-ADBF-41A2-835B-A6833198A2F7}"/>
    <cellStyle name="Normal 5 3 3 4 3" xfId="1340" xr:uid="{00000000-0005-0000-0000-0000F2190000}"/>
    <cellStyle name="Normal 5 3 3 4 3 2" xfId="3570" xr:uid="{00000000-0005-0000-0000-0000F3190000}"/>
    <cellStyle name="Normal 5 3 3 4 3 2 2" xfId="7794" xr:uid="{00000000-0005-0000-0000-0000F4190000}"/>
    <cellStyle name="Normal 5 3 3 4 3 2 2 2" xfId="16223" xr:uid="{ABDF6FEC-4F12-493C-87AC-B378150D9A08}"/>
    <cellStyle name="Normal 5 3 3 4 3 2 3" xfId="12005" xr:uid="{9000AD5D-39E7-4E8D-AE36-02D543AE6D15}"/>
    <cellStyle name="Normal 5 3 3 4 3 3" xfId="5649" xr:uid="{00000000-0005-0000-0000-0000F5190000}"/>
    <cellStyle name="Normal 5 3 3 4 3 3 2" xfId="14078" xr:uid="{B2BC25D4-ED0B-4C80-B47C-52F8AE4A7BBB}"/>
    <cellStyle name="Normal 5 3 3 4 3 4" xfId="9860" xr:uid="{AF77D3B2-CC41-4B18-93F6-9C3A2EF84CBB}"/>
    <cellStyle name="Normal 5 3 3 4 4" xfId="1753" xr:uid="{00000000-0005-0000-0000-0000F6190000}"/>
    <cellStyle name="Normal 5 3 3 4 4 2" xfId="3983" xr:uid="{00000000-0005-0000-0000-0000F7190000}"/>
    <cellStyle name="Normal 5 3 3 4 4 2 2" xfId="8207" xr:uid="{00000000-0005-0000-0000-0000F8190000}"/>
    <cellStyle name="Normal 5 3 3 4 4 2 2 2" xfId="16636" xr:uid="{5206EAE3-0DF2-43D6-B5D5-0FD1FFF78EFA}"/>
    <cellStyle name="Normal 5 3 3 4 4 2 3" xfId="12418" xr:uid="{0973524F-6515-420E-81F3-7B00822442ED}"/>
    <cellStyle name="Normal 5 3 3 4 4 3" xfId="6062" xr:uid="{00000000-0005-0000-0000-0000F9190000}"/>
    <cellStyle name="Normal 5 3 3 4 4 3 2" xfId="14491" xr:uid="{97CC3BF6-259E-4F16-82F9-63BC249F2718}"/>
    <cellStyle name="Normal 5 3 3 4 4 4" xfId="10273" xr:uid="{65C37B25-2984-4AC9-BF3F-EB109B8CEAA0}"/>
    <cellStyle name="Normal 5 3 3 4 5" xfId="2167" xr:uid="{00000000-0005-0000-0000-0000FA190000}"/>
    <cellStyle name="Normal 5 3 3 4 5 2" xfId="4396" xr:uid="{00000000-0005-0000-0000-0000FB190000}"/>
    <cellStyle name="Normal 5 3 3 4 5 2 2" xfId="8620" xr:uid="{00000000-0005-0000-0000-0000FC190000}"/>
    <cellStyle name="Normal 5 3 3 4 5 2 2 2" xfId="17049" xr:uid="{F9A45525-D50D-4D0C-BCE3-DEF477BC0B88}"/>
    <cellStyle name="Normal 5 3 3 4 5 2 3" xfId="12831" xr:uid="{E449B0E8-57CA-45E4-B586-345AB9BC930B}"/>
    <cellStyle name="Normal 5 3 3 4 5 3" xfId="6475" xr:uid="{00000000-0005-0000-0000-0000FD190000}"/>
    <cellStyle name="Normal 5 3 3 4 5 3 2" xfId="14904" xr:uid="{16ED2D10-5D98-4670-B167-FE86C899A19F}"/>
    <cellStyle name="Normal 5 3 3 4 5 4" xfId="10686" xr:uid="{895E0F11-115F-41B0-92B2-A610A39A228D}"/>
    <cellStyle name="Normal 5 3 3 4 6" xfId="2603" xr:uid="{00000000-0005-0000-0000-0000FE190000}"/>
    <cellStyle name="Normal 5 3 3 4 6 2" xfId="6888" xr:uid="{00000000-0005-0000-0000-0000FF190000}"/>
    <cellStyle name="Normal 5 3 3 4 6 2 2" xfId="15317" xr:uid="{5B81A839-A025-4928-B0A5-B934B5DC501E}"/>
    <cellStyle name="Normal 5 3 3 4 6 3" xfId="11099" xr:uid="{09772A1F-67C9-4F42-BD39-62812EF7129F}"/>
    <cellStyle name="Normal 5 3 3 4 7" xfId="4823" xr:uid="{00000000-0005-0000-0000-0000001A0000}"/>
    <cellStyle name="Normal 5 3 3 4 7 2" xfId="13252" xr:uid="{1AF238A9-0907-4F09-BBC8-0280E50C6DFD}"/>
    <cellStyle name="Normal 5 3 3 4 8" xfId="9034" xr:uid="{E5D6FA63-253A-4020-8E23-A883C6A48DA0}"/>
    <cellStyle name="Normal 5 3 3 5" xfId="916" xr:uid="{00000000-0005-0000-0000-0000011A0000}"/>
    <cellStyle name="Normal 5 3 3 5 2" xfId="3150" xr:uid="{00000000-0005-0000-0000-0000021A0000}"/>
    <cellStyle name="Normal 5 3 3 5 2 2" xfId="7374" xr:uid="{00000000-0005-0000-0000-0000031A0000}"/>
    <cellStyle name="Normal 5 3 3 5 2 2 2" xfId="15803" xr:uid="{0AD04F55-C19A-4935-B9B7-EF1614F8AEED}"/>
    <cellStyle name="Normal 5 3 3 5 2 3" xfId="11585" xr:uid="{9F6507B0-0D0A-4295-9CCA-B488EBC1CA6D}"/>
    <cellStyle name="Normal 5 3 3 5 3" xfId="5229" xr:uid="{00000000-0005-0000-0000-0000041A0000}"/>
    <cellStyle name="Normal 5 3 3 5 3 2" xfId="13658" xr:uid="{FBE7CE97-1716-42AC-8765-14BAE8DA8C7B}"/>
    <cellStyle name="Normal 5 3 3 5 4" xfId="9440" xr:uid="{70CFFB0F-F35E-41A8-BC09-DA6AD642B7DF}"/>
    <cellStyle name="Normal 5 3 3 6" xfId="1333" xr:uid="{00000000-0005-0000-0000-0000051A0000}"/>
    <cellStyle name="Normal 5 3 3 6 2" xfId="3563" xr:uid="{00000000-0005-0000-0000-0000061A0000}"/>
    <cellStyle name="Normal 5 3 3 6 2 2" xfId="7787" xr:uid="{00000000-0005-0000-0000-0000071A0000}"/>
    <cellStyle name="Normal 5 3 3 6 2 2 2" xfId="16216" xr:uid="{5B4B92BA-BB78-4C7E-A242-A890EA9E0AF0}"/>
    <cellStyle name="Normal 5 3 3 6 2 3" xfId="11998" xr:uid="{8527FF06-7E3F-46DB-AF6B-E95F3EDF85AE}"/>
    <cellStyle name="Normal 5 3 3 6 3" xfId="5642" xr:uid="{00000000-0005-0000-0000-0000081A0000}"/>
    <cellStyle name="Normal 5 3 3 6 3 2" xfId="14071" xr:uid="{9CD94008-9E4A-423B-A1E2-CD0A4DF36AD1}"/>
    <cellStyle name="Normal 5 3 3 6 4" xfId="9853" xr:uid="{030C01EE-C1F2-4FE1-92F4-9BDCBA623B95}"/>
    <cellStyle name="Normal 5 3 3 7" xfId="1746" xr:uid="{00000000-0005-0000-0000-0000091A0000}"/>
    <cellStyle name="Normal 5 3 3 7 2" xfId="3976" xr:uid="{00000000-0005-0000-0000-00000A1A0000}"/>
    <cellStyle name="Normal 5 3 3 7 2 2" xfId="8200" xr:uid="{00000000-0005-0000-0000-00000B1A0000}"/>
    <cellStyle name="Normal 5 3 3 7 2 2 2" xfId="16629" xr:uid="{8F0FA4B8-5B3E-4C42-8496-258EEF373971}"/>
    <cellStyle name="Normal 5 3 3 7 2 3" xfId="12411" xr:uid="{9621D693-E5F8-4C46-8F25-B9F7E997A195}"/>
    <cellStyle name="Normal 5 3 3 7 3" xfId="6055" xr:uid="{00000000-0005-0000-0000-00000C1A0000}"/>
    <cellStyle name="Normal 5 3 3 7 3 2" xfId="14484" xr:uid="{A587DAAC-EAB9-427E-8630-1C9A2F2CB1B3}"/>
    <cellStyle name="Normal 5 3 3 7 4" xfId="10266" xr:uid="{97C0DDB7-B451-4EDE-B9D5-476433F11285}"/>
    <cellStyle name="Normal 5 3 3 8" xfId="2160" xr:uid="{00000000-0005-0000-0000-00000D1A0000}"/>
    <cellStyle name="Normal 5 3 3 8 2" xfId="4389" xr:uid="{00000000-0005-0000-0000-00000E1A0000}"/>
    <cellStyle name="Normal 5 3 3 8 2 2" xfId="8613" xr:uid="{00000000-0005-0000-0000-00000F1A0000}"/>
    <cellStyle name="Normal 5 3 3 8 2 2 2" xfId="17042" xr:uid="{41A510F8-DE87-4F01-AF12-11876B5FD942}"/>
    <cellStyle name="Normal 5 3 3 8 2 3" xfId="12824" xr:uid="{099A79ED-7177-4845-9E2E-E40EC4E68E5B}"/>
    <cellStyle name="Normal 5 3 3 8 3" xfId="6468" xr:uid="{00000000-0005-0000-0000-0000101A0000}"/>
    <cellStyle name="Normal 5 3 3 8 3 2" xfId="14897" xr:uid="{073328FF-DCF9-4D7E-9309-A417F3E6C7CE}"/>
    <cellStyle name="Normal 5 3 3 8 4" xfId="10679" xr:uid="{59ADF545-0389-466B-A169-ECE4039500F4}"/>
    <cellStyle name="Normal 5 3 3 9" xfId="2596" xr:uid="{00000000-0005-0000-0000-0000111A0000}"/>
    <cellStyle name="Normal 5 3 3 9 2" xfId="6881" xr:uid="{00000000-0005-0000-0000-0000121A0000}"/>
    <cellStyle name="Normal 5 3 3 9 2 2" xfId="15310" xr:uid="{294E48A6-6163-4FD6-8487-E2F7975BDA3F}"/>
    <cellStyle name="Normal 5 3 3 9 3" xfId="11092" xr:uid="{80A72F83-2100-4741-A93F-4970FAB8CDE2}"/>
    <cellStyle name="Normal 5 3 4" xfId="449" xr:uid="{00000000-0005-0000-0000-0000131A0000}"/>
    <cellStyle name="Normal 5 3 4 10" xfId="9035" xr:uid="{F2CCA956-DC13-46EA-9F54-AB428CEC6E2B}"/>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2 2" xfId="15813" xr:uid="{AA1BA549-126B-4CC1-8668-5E7FA4C9817A}"/>
    <cellStyle name="Normal 5 3 4 2 2 2 2 3" xfId="11595" xr:uid="{3561B245-9E2B-4CD2-8C4E-F8663D489425}"/>
    <cellStyle name="Normal 5 3 4 2 2 2 3" xfId="5239" xr:uid="{00000000-0005-0000-0000-0000191A0000}"/>
    <cellStyle name="Normal 5 3 4 2 2 2 3 2" xfId="13668" xr:uid="{DBC93DDE-648E-496F-A8C7-7C94BCA9BE11}"/>
    <cellStyle name="Normal 5 3 4 2 2 2 4" xfId="9450" xr:uid="{7947F968-1839-4B00-9599-5A5D5F085E35}"/>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2 2" xfId="16226" xr:uid="{375F425F-CBF1-4001-98F2-FF10EAB5CDC9}"/>
    <cellStyle name="Normal 5 3 4 2 2 3 2 3" xfId="12008" xr:uid="{04EF0CDC-C27B-4FDA-9A54-C23BF517F038}"/>
    <cellStyle name="Normal 5 3 4 2 2 3 3" xfId="5652" xr:uid="{00000000-0005-0000-0000-00001D1A0000}"/>
    <cellStyle name="Normal 5 3 4 2 2 3 3 2" xfId="14081" xr:uid="{FE39A82B-13C3-4E9D-A89C-DF070990704A}"/>
    <cellStyle name="Normal 5 3 4 2 2 3 4" xfId="9863" xr:uid="{C924DCCA-3C7E-41F4-8D68-494718992051}"/>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2 2" xfId="16639" xr:uid="{814B0AFA-DD05-4432-9AE2-F9BD5820FB61}"/>
    <cellStyle name="Normal 5 3 4 2 2 4 2 3" xfId="12421" xr:uid="{58C6D440-7B64-4136-818C-D927137A7F5A}"/>
    <cellStyle name="Normal 5 3 4 2 2 4 3" xfId="6065" xr:uid="{00000000-0005-0000-0000-0000211A0000}"/>
    <cellStyle name="Normal 5 3 4 2 2 4 3 2" xfId="14494" xr:uid="{F4DDCF18-BDB4-4F00-9B05-21C5618620F7}"/>
    <cellStyle name="Normal 5 3 4 2 2 4 4" xfId="10276" xr:uid="{600972BA-5A81-4E77-91DD-DB6BAA026698}"/>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2 2" xfId="17052" xr:uid="{333ABE52-7952-4FAF-B258-3521B3AC867A}"/>
    <cellStyle name="Normal 5 3 4 2 2 5 2 3" xfId="12834" xr:uid="{260E0026-6BAE-476F-982F-9A20E34321C3}"/>
    <cellStyle name="Normal 5 3 4 2 2 5 3" xfId="6478" xr:uid="{00000000-0005-0000-0000-0000251A0000}"/>
    <cellStyle name="Normal 5 3 4 2 2 5 3 2" xfId="14907" xr:uid="{F92E1F78-E7CF-4D83-A8EE-BD0D6D753488}"/>
    <cellStyle name="Normal 5 3 4 2 2 5 4" xfId="10689" xr:uid="{D86EF354-183E-4C51-9FD0-15C591952A2C}"/>
    <cellStyle name="Normal 5 3 4 2 2 6" xfId="2606" xr:uid="{00000000-0005-0000-0000-0000261A0000}"/>
    <cellStyle name="Normal 5 3 4 2 2 6 2" xfId="6891" xr:uid="{00000000-0005-0000-0000-0000271A0000}"/>
    <cellStyle name="Normal 5 3 4 2 2 6 2 2" xfId="15320" xr:uid="{311D3FB3-EBA2-402D-BA2B-E8E2656D06DD}"/>
    <cellStyle name="Normal 5 3 4 2 2 6 3" xfId="11102" xr:uid="{DB85C7F3-9AA5-4CA9-99BC-2DDDD961CF09}"/>
    <cellStyle name="Normal 5 3 4 2 2 7" xfId="4826" xr:uid="{00000000-0005-0000-0000-0000281A0000}"/>
    <cellStyle name="Normal 5 3 4 2 2 7 2" xfId="13255" xr:uid="{FD86FDAA-E3EB-4CEF-B007-9C822DE0E77A}"/>
    <cellStyle name="Normal 5 3 4 2 2 8" xfId="9037" xr:uid="{F22B09F4-E2B9-4EF0-81CD-C56304D2FCC4}"/>
    <cellStyle name="Normal 5 3 4 2 3" xfId="925" xr:uid="{00000000-0005-0000-0000-0000291A0000}"/>
    <cellStyle name="Normal 5 3 4 2 3 2" xfId="3159" xr:uid="{00000000-0005-0000-0000-00002A1A0000}"/>
    <cellStyle name="Normal 5 3 4 2 3 2 2" xfId="7383" xr:uid="{00000000-0005-0000-0000-00002B1A0000}"/>
    <cellStyle name="Normal 5 3 4 2 3 2 2 2" xfId="15812" xr:uid="{1FAF2C6B-DEFC-44EE-B372-41F4A05AB26A}"/>
    <cellStyle name="Normal 5 3 4 2 3 2 3" xfId="11594" xr:uid="{CAF0EA93-4EFF-4BA5-9C6C-A2C57450C18F}"/>
    <cellStyle name="Normal 5 3 4 2 3 3" xfId="5238" xr:uid="{00000000-0005-0000-0000-00002C1A0000}"/>
    <cellStyle name="Normal 5 3 4 2 3 3 2" xfId="13667" xr:uid="{2D0F9225-597C-475C-A808-3E838C35E891}"/>
    <cellStyle name="Normal 5 3 4 2 3 4" xfId="9449" xr:uid="{F6944FC8-0370-4E2F-B52E-ED57718ABEDA}"/>
    <cellStyle name="Normal 5 3 4 2 4" xfId="1342" xr:uid="{00000000-0005-0000-0000-00002D1A0000}"/>
    <cellStyle name="Normal 5 3 4 2 4 2" xfId="3572" xr:uid="{00000000-0005-0000-0000-00002E1A0000}"/>
    <cellStyle name="Normal 5 3 4 2 4 2 2" xfId="7796" xr:uid="{00000000-0005-0000-0000-00002F1A0000}"/>
    <cellStyle name="Normal 5 3 4 2 4 2 2 2" xfId="16225" xr:uid="{37A9CC9E-92DD-4C98-BFF3-7EECEBE8E3D3}"/>
    <cellStyle name="Normal 5 3 4 2 4 2 3" xfId="12007" xr:uid="{FB8D49C5-E687-4029-9D4E-5CCD3D86E295}"/>
    <cellStyle name="Normal 5 3 4 2 4 3" xfId="5651" xr:uid="{00000000-0005-0000-0000-0000301A0000}"/>
    <cellStyle name="Normal 5 3 4 2 4 3 2" xfId="14080" xr:uid="{EF79D489-BD9C-4D4B-8349-58005673002B}"/>
    <cellStyle name="Normal 5 3 4 2 4 4" xfId="9862" xr:uid="{B312D358-5B31-40EE-B912-B1B985169379}"/>
    <cellStyle name="Normal 5 3 4 2 5" xfId="1755" xr:uid="{00000000-0005-0000-0000-0000311A0000}"/>
    <cellStyle name="Normal 5 3 4 2 5 2" xfId="3985" xr:uid="{00000000-0005-0000-0000-0000321A0000}"/>
    <cellStyle name="Normal 5 3 4 2 5 2 2" xfId="8209" xr:uid="{00000000-0005-0000-0000-0000331A0000}"/>
    <cellStyle name="Normal 5 3 4 2 5 2 2 2" xfId="16638" xr:uid="{7276B3F7-B40E-4554-A252-5CBD7CE97242}"/>
    <cellStyle name="Normal 5 3 4 2 5 2 3" xfId="12420" xr:uid="{01641542-EC15-4ADC-B3F2-5903A2C2523C}"/>
    <cellStyle name="Normal 5 3 4 2 5 3" xfId="6064" xr:uid="{00000000-0005-0000-0000-0000341A0000}"/>
    <cellStyle name="Normal 5 3 4 2 5 3 2" xfId="14493" xr:uid="{0D4BE3B1-C73B-47C6-B165-77611CD70EC4}"/>
    <cellStyle name="Normal 5 3 4 2 5 4" xfId="10275" xr:uid="{6FC8706A-6B86-4509-B615-9855142032FC}"/>
    <cellStyle name="Normal 5 3 4 2 6" xfId="2169" xr:uid="{00000000-0005-0000-0000-0000351A0000}"/>
    <cellStyle name="Normal 5 3 4 2 6 2" xfId="4398" xr:uid="{00000000-0005-0000-0000-0000361A0000}"/>
    <cellStyle name="Normal 5 3 4 2 6 2 2" xfId="8622" xr:uid="{00000000-0005-0000-0000-0000371A0000}"/>
    <cellStyle name="Normal 5 3 4 2 6 2 2 2" xfId="17051" xr:uid="{8567B7D3-C588-4F0E-A4DD-5464020B4F6A}"/>
    <cellStyle name="Normal 5 3 4 2 6 2 3" xfId="12833" xr:uid="{995FD1B0-7C60-4D21-9496-26EDD219AEA7}"/>
    <cellStyle name="Normal 5 3 4 2 6 3" xfId="6477" xr:uid="{00000000-0005-0000-0000-0000381A0000}"/>
    <cellStyle name="Normal 5 3 4 2 6 3 2" xfId="14906" xr:uid="{F894ED0B-9CF3-4F46-9C7F-71C04E845BE3}"/>
    <cellStyle name="Normal 5 3 4 2 6 4" xfId="10688" xr:uid="{5F807F3D-BBCC-4262-BED6-80EFA2E68C92}"/>
    <cellStyle name="Normal 5 3 4 2 7" xfId="2605" xr:uid="{00000000-0005-0000-0000-0000391A0000}"/>
    <cellStyle name="Normal 5 3 4 2 7 2" xfId="6890" xr:uid="{00000000-0005-0000-0000-00003A1A0000}"/>
    <cellStyle name="Normal 5 3 4 2 7 2 2" xfId="15319" xr:uid="{9044CEB0-E353-4998-B129-80BF3A43C2CB}"/>
    <cellStyle name="Normal 5 3 4 2 7 3" xfId="11101" xr:uid="{303158F8-494E-4014-A774-F3FF30BDC43C}"/>
    <cellStyle name="Normal 5 3 4 2 8" xfId="4825" xr:uid="{00000000-0005-0000-0000-00003B1A0000}"/>
    <cellStyle name="Normal 5 3 4 2 8 2" xfId="13254" xr:uid="{6BDC49A1-0BF8-4C47-B2A8-4D3C8D314DC7}"/>
    <cellStyle name="Normal 5 3 4 2 9" xfId="9036" xr:uid="{3294698E-9504-443D-8750-10D458F5D929}"/>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2 2" xfId="15814" xr:uid="{EF73AE37-0B5C-41A5-A47F-37106FC8625F}"/>
    <cellStyle name="Normal 5 3 4 3 2 2 3" xfId="11596" xr:uid="{2D62BFB6-7552-4116-B07D-4822ED7AF7C2}"/>
    <cellStyle name="Normal 5 3 4 3 2 3" xfId="5240" xr:uid="{00000000-0005-0000-0000-0000401A0000}"/>
    <cellStyle name="Normal 5 3 4 3 2 3 2" xfId="13669" xr:uid="{19595EA5-E6C8-48DC-B3CE-A537C1B0BB89}"/>
    <cellStyle name="Normal 5 3 4 3 2 4" xfId="9451" xr:uid="{BD992D38-E967-494F-A6E0-F26CD0E1A0A4}"/>
    <cellStyle name="Normal 5 3 4 3 3" xfId="1344" xr:uid="{00000000-0005-0000-0000-0000411A0000}"/>
    <cellStyle name="Normal 5 3 4 3 3 2" xfId="3574" xr:uid="{00000000-0005-0000-0000-0000421A0000}"/>
    <cellStyle name="Normal 5 3 4 3 3 2 2" xfId="7798" xr:uid="{00000000-0005-0000-0000-0000431A0000}"/>
    <cellStyle name="Normal 5 3 4 3 3 2 2 2" xfId="16227" xr:uid="{332FAF9F-F169-47DF-8F0F-833915A7B276}"/>
    <cellStyle name="Normal 5 3 4 3 3 2 3" xfId="12009" xr:uid="{58704870-9570-494D-85A3-F8D855CD7905}"/>
    <cellStyle name="Normal 5 3 4 3 3 3" xfId="5653" xr:uid="{00000000-0005-0000-0000-0000441A0000}"/>
    <cellStyle name="Normal 5 3 4 3 3 3 2" xfId="14082" xr:uid="{155B2610-9E52-4B69-B3CE-C548D6ABDBCB}"/>
    <cellStyle name="Normal 5 3 4 3 3 4" xfId="9864" xr:uid="{E0780D87-2E66-465B-87DB-AA34C4F00D07}"/>
    <cellStyle name="Normal 5 3 4 3 4" xfId="1757" xr:uid="{00000000-0005-0000-0000-0000451A0000}"/>
    <cellStyle name="Normal 5 3 4 3 4 2" xfId="3987" xr:uid="{00000000-0005-0000-0000-0000461A0000}"/>
    <cellStyle name="Normal 5 3 4 3 4 2 2" xfId="8211" xr:uid="{00000000-0005-0000-0000-0000471A0000}"/>
    <cellStyle name="Normal 5 3 4 3 4 2 2 2" xfId="16640" xr:uid="{B170E168-9CCD-47D6-A0C7-286A10AEB2E4}"/>
    <cellStyle name="Normal 5 3 4 3 4 2 3" xfId="12422" xr:uid="{9A8673D4-78BA-4A1E-BBC8-E801C13D515F}"/>
    <cellStyle name="Normal 5 3 4 3 4 3" xfId="6066" xr:uid="{00000000-0005-0000-0000-0000481A0000}"/>
    <cellStyle name="Normal 5 3 4 3 4 3 2" xfId="14495" xr:uid="{481D3F1E-3CA3-4A26-9D77-BC73D0E5AE4B}"/>
    <cellStyle name="Normal 5 3 4 3 4 4" xfId="10277" xr:uid="{92835FF7-D25A-4444-9E17-92702050069D}"/>
    <cellStyle name="Normal 5 3 4 3 5" xfId="2171" xr:uid="{00000000-0005-0000-0000-0000491A0000}"/>
    <cellStyle name="Normal 5 3 4 3 5 2" xfId="4400" xr:uid="{00000000-0005-0000-0000-00004A1A0000}"/>
    <cellStyle name="Normal 5 3 4 3 5 2 2" xfId="8624" xr:uid="{00000000-0005-0000-0000-00004B1A0000}"/>
    <cellStyle name="Normal 5 3 4 3 5 2 2 2" xfId="17053" xr:uid="{4F904DDA-5631-4EDC-A980-8B60443CAF5C}"/>
    <cellStyle name="Normal 5 3 4 3 5 2 3" xfId="12835" xr:uid="{1080AEBC-2A6F-4BF7-9A67-A2D25033C264}"/>
    <cellStyle name="Normal 5 3 4 3 5 3" xfId="6479" xr:uid="{00000000-0005-0000-0000-00004C1A0000}"/>
    <cellStyle name="Normal 5 3 4 3 5 3 2" xfId="14908" xr:uid="{C9B06F85-0ECE-43B0-9F64-FA8C1FC416FA}"/>
    <cellStyle name="Normal 5 3 4 3 5 4" xfId="10690" xr:uid="{11C39664-448D-4C54-98EE-5D36B56B971F}"/>
    <cellStyle name="Normal 5 3 4 3 6" xfId="2607" xr:uid="{00000000-0005-0000-0000-00004D1A0000}"/>
    <cellStyle name="Normal 5 3 4 3 6 2" xfId="6892" xr:uid="{00000000-0005-0000-0000-00004E1A0000}"/>
    <cellStyle name="Normal 5 3 4 3 6 2 2" xfId="15321" xr:uid="{D833622F-53ED-4FDD-AFD9-E6C67D533C5B}"/>
    <cellStyle name="Normal 5 3 4 3 6 3" xfId="11103" xr:uid="{F4899EA0-2E42-4D4F-A6CF-098D22EFC8FA}"/>
    <cellStyle name="Normal 5 3 4 3 7" xfId="4827" xr:uid="{00000000-0005-0000-0000-00004F1A0000}"/>
    <cellStyle name="Normal 5 3 4 3 7 2" xfId="13256" xr:uid="{8A8546F2-DDBB-4B9A-8CFF-E7E473632DC7}"/>
    <cellStyle name="Normal 5 3 4 3 8" xfId="9038" xr:uid="{FA9CB53E-C6C1-479C-95D4-4B3EAEFAA9F3}"/>
    <cellStyle name="Normal 5 3 4 4" xfId="924" xr:uid="{00000000-0005-0000-0000-0000501A0000}"/>
    <cellStyle name="Normal 5 3 4 4 2" xfId="3158" xr:uid="{00000000-0005-0000-0000-0000511A0000}"/>
    <cellStyle name="Normal 5 3 4 4 2 2" xfId="7382" xr:uid="{00000000-0005-0000-0000-0000521A0000}"/>
    <cellStyle name="Normal 5 3 4 4 2 2 2" xfId="15811" xr:uid="{963BE5B1-D0A7-41E8-9F59-4ECF769465E5}"/>
    <cellStyle name="Normal 5 3 4 4 2 3" xfId="11593" xr:uid="{0233A7CC-028B-4190-BF06-6013DCF2EAB8}"/>
    <cellStyle name="Normal 5 3 4 4 3" xfId="5237" xr:uid="{00000000-0005-0000-0000-0000531A0000}"/>
    <cellStyle name="Normal 5 3 4 4 3 2" xfId="13666" xr:uid="{E66D776D-E27B-4AAE-9433-1175387AF00D}"/>
    <cellStyle name="Normal 5 3 4 4 4" xfId="9448" xr:uid="{5FB4B0C8-23F8-4C92-B70B-455A51463028}"/>
    <cellStyle name="Normal 5 3 4 5" xfId="1341" xr:uid="{00000000-0005-0000-0000-0000541A0000}"/>
    <cellStyle name="Normal 5 3 4 5 2" xfId="3571" xr:uid="{00000000-0005-0000-0000-0000551A0000}"/>
    <cellStyle name="Normal 5 3 4 5 2 2" xfId="7795" xr:uid="{00000000-0005-0000-0000-0000561A0000}"/>
    <cellStyle name="Normal 5 3 4 5 2 2 2" xfId="16224" xr:uid="{E61EB166-99D1-4BFB-B849-2E7058229006}"/>
    <cellStyle name="Normal 5 3 4 5 2 3" xfId="12006" xr:uid="{4E9B1602-241F-443B-9797-9226FA205692}"/>
    <cellStyle name="Normal 5 3 4 5 3" xfId="5650" xr:uid="{00000000-0005-0000-0000-0000571A0000}"/>
    <cellStyle name="Normal 5 3 4 5 3 2" xfId="14079" xr:uid="{E469B040-FA73-43D8-A9BC-F9400DE860BA}"/>
    <cellStyle name="Normal 5 3 4 5 4" xfId="9861" xr:uid="{B2B7B927-B45A-4E7B-86A0-4AA94AC02C88}"/>
    <cellStyle name="Normal 5 3 4 6" xfId="1754" xr:uid="{00000000-0005-0000-0000-0000581A0000}"/>
    <cellStyle name="Normal 5 3 4 6 2" xfId="3984" xr:uid="{00000000-0005-0000-0000-0000591A0000}"/>
    <cellStyle name="Normal 5 3 4 6 2 2" xfId="8208" xr:uid="{00000000-0005-0000-0000-00005A1A0000}"/>
    <cellStyle name="Normal 5 3 4 6 2 2 2" xfId="16637" xr:uid="{2AD3C615-D03E-49E0-8959-8C8361FD9DDA}"/>
    <cellStyle name="Normal 5 3 4 6 2 3" xfId="12419" xr:uid="{580139CF-B120-4800-B571-61870641B249}"/>
    <cellStyle name="Normal 5 3 4 6 3" xfId="6063" xr:uid="{00000000-0005-0000-0000-00005B1A0000}"/>
    <cellStyle name="Normal 5 3 4 6 3 2" xfId="14492" xr:uid="{889749B2-C6DD-4BFF-B037-786FDFEB2A0B}"/>
    <cellStyle name="Normal 5 3 4 6 4" xfId="10274" xr:uid="{75A21F4F-CA96-41C1-96A4-B3B76B066A44}"/>
    <cellStyle name="Normal 5 3 4 7" xfId="2168" xr:uid="{00000000-0005-0000-0000-00005C1A0000}"/>
    <cellStyle name="Normal 5 3 4 7 2" xfId="4397" xr:uid="{00000000-0005-0000-0000-00005D1A0000}"/>
    <cellStyle name="Normal 5 3 4 7 2 2" xfId="8621" xr:uid="{00000000-0005-0000-0000-00005E1A0000}"/>
    <cellStyle name="Normal 5 3 4 7 2 2 2" xfId="17050" xr:uid="{DBB829B3-9F5F-488E-9F15-6551F0CACBDA}"/>
    <cellStyle name="Normal 5 3 4 7 2 3" xfId="12832" xr:uid="{ABF4C555-4024-4927-8F5B-4A471451D18E}"/>
    <cellStyle name="Normal 5 3 4 7 3" xfId="6476" xr:uid="{00000000-0005-0000-0000-00005F1A0000}"/>
    <cellStyle name="Normal 5 3 4 7 3 2" xfId="14905" xr:uid="{5D8295EE-B0F4-4F69-9B21-D9EA5C0053C8}"/>
    <cellStyle name="Normal 5 3 4 7 4" xfId="10687" xr:uid="{CA99CCCB-E9FE-4FDA-9E03-253407B8C909}"/>
    <cellStyle name="Normal 5 3 4 8" xfId="2604" xr:uid="{00000000-0005-0000-0000-0000601A0000}"/>
    <cellStyle name="Normal 5 3 4 8 2" xfId="6889" xr:uid="{00000000-0005-0000-0000-0000611A0000}"/>
    <cellStyle name="Normal 5 3 4 8 2 2" xfId="15318" xr:uid="{3CB15E41-85E6-4D87-8C5C-AA0DF9EF1B93}"/>
    <cellStyle name="Normal 5 3 4 8 3" xfId="11100" xr:uid="{E17D22A7-9EF0-43F8-9B29-E40FE1E34561}"/>
    <cellStyle name="Normal 5 3 4 9" xfId="4824" xr:uid="{00000000-0005-0000-0000-0000621A0000}"/>
    <cellStyle name="Normal 5 3 4 9 2" xfId="13253" xr:uid="{16063E1F-028B-43B1-95B7-8666F45D14E1}"/>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2 2" xfId="15816" xr:uid="{2C26987B-F930-4880-9CE1-F58BDC32AD53}"/>
    <cellStyle name="Normal 5 3 5 2 2 2 3" xfId="11598" xr:uid="{161C48B5-5031-4EC7-B227-CC9D5F32E7E9}"/>
    <cellStyle name="Normal 5 3 5 2 2 3" xfId="5242" xr:uid="{00000000-0005-0000-0000-0000681A0000}"/>
    <cellStyle name="Normal 5 3 5 2 2 3 2" xfId="13671" xr:uid="{54B0618E-E1FA-4A1A-B81F-74C74A534883}"/>
    <cellStyle name="Normal 5 3 5 2 2 4" xfId="9453" xr:uid="{C9C99891-353E-4DBC-9742-40540173A171}"/>
    <cellStyle name="Normal 5 3 5 2 3" xfId="1346" xr:uid="{00000000-0005-0000-0000-0000691A0000}"/>
    <cellStyle name="Normal 5 3 5 2 3 2" xfId="3576" xr:uid="{00000000-0005-0000-0000-00006A1A0000}"/>
    <cellStyle name="Normal 5 3 5 2 3 2 2" xfId="7800" xr:uid="{00000000-0005-0000-0000-00006B1A0000}"/>
    <cellStyle name="Normal 5 3 5 2 3 2 2 2" xfId="16229" xr:uid="{359C6A1A-40CD-4709-B59F-449A54F52C32}"/>
    <cellStyle name="Normal 5 3 5 2 3 2 3" xfId="12011" xr:uid="{910CFD61-98FA-40F2-A2BC-8F80AD6154E9}"/>
    <cellStyle name="Normal 5 3 5 2 3 3" xfId="5655" xr:uid="{00000000-0005-0000-0000-00006C1A0000}"/>
    <cellStyle name="Normal 5 3 5 2 3 3 2" xfId="14084" xr:uid="{1A76C2C8-A0E3-4F99-85C1-C87916C7EA94}"/>
    <cellStyle name="Normal 5 3 5 2 3 4" xfId="9866" xr:uid="{F356ADF4-B8F9-4922-86F9-74AC452DA122}"/>
    <cellStyle name="Normal 5 3 5 2 4" xfId="1759" xr:uid="{00000000-0005-0000-0000-00006D1A0000}"/>
    <cellStyle name="Normal 5 3 5 2 4 2" xfId="3989" xr:uid="{00000000-0005-0000-0000-00006E1A0000}"/>
    <cellStyle name="Normal 5 3 5 2 4 2 2" xfId="8213" xr:uid="{00000000-0005-0000-0000-00006F1A0000}"/>
    <cellStyle name="Normal 5 3 5 2 4 2 2 2" xfId="16642" xr:uid="{80678B91-48A1-4843-B61A-7F4736696AF9}"/>
    <cellStyle name="Normal 5 3 5 2 4 2 3" xfId="12424" xr:uid="{0E628FE9-6444-4D82-BC7A-B39079A05D54}"/>
    <cellStyle name="Normal 5 3 5 2 4 3" xfId="6068" xr:uid="{00000000-0005-0000-0000-0000701A0000}"/>
    <cellStyle name="Normal 5 3 5 2 4 3 2" xfId="14497" xr:uid="{CB42FC64-8351-475F-9B4C-A156CD58F041}"/>
    <cellStyle name="Normal 5 3 5 2 4 4" xfId="10279" xr:uid="{BF46E26E-3B1D-4889-AB69-87C218E7D17F}"/>
    <cellStyle name="Normal 5 3 5 2 5" xfId="2173" xr:uid="{00000000-0005-0000-0000-0000711A0000}"/>
    <cellStyle name="Normal 5 3 5 2 5 2" xfId="4402" xr:uid="{00000000-0005-0000-0000-0000721A0000}"/>
    <cellStyle name="Normal 5 3 5 2 5 2 2" xfId="8626" xr:uid="{00000000-0005-0000-0000-0000731A0000}"/>
    <cellStyle name="Normal 5 3 5 2 5 2 2 2" xfId="17055" xr:uid="{F6D442B3-FA2D-4DB0-A7B0-AC860612E4E3}"/>
    <cellStyle name="Normal 5 3 5 2 5 2 3" xfId="12837" xr:uid="{1DB1A780-1D1F-45CC-8966-954B74F0380F}"/>
    <cellStyle name="Normal 5 3 5 2 5 3" xfId="6481" xr:uid="{00000000-0005-0000-0000-0000741A0000}"/>
    <cellStyle name="Normal 5 3 5 2 5 3 2" xfId="14910" xr:uid="{E2AB7B5B-64CC-4B37-8F4B-D1CCFBBD1ABB}"/>
    <cellStyle name="Normal 5 3 5 2 5 4" xfId="10692" xr:uid="{326A2C8B-5063-445B-8D3F-DA1ACAB8B94A}"/>
    <cellStyle name="Normal 5 3 5 2 6" xfId="2609" xr:uid="{00000000-0005-0000-0000-0000751A0000}"/>
    <cellStyle name="Normal 5 3 5 2 6 2" xfId="6894" xr:uid="{00000000-0005-0000-0000-0000761A0000}"/>
    <cellStyle name="Normal 5 3 5 2 6 2 2" xfId="15323" xr:uid="{BE1EDA65-3EF6-40C8-B80C-20868558DAD9}"/>
    <cellStyle name="Normal 5 3 5 2 6 3" xfId="11105" xr:uid="{214470B1-6C3A-41F1-9D81-716935A1B2E3}"/>
    <cellStyle name="Normal 5 3 5 2 7" xfId="4829" xr:uid="{00000000-0005-0000-0000-0000771A0000}"/>
    <cellStyle name="Normal 5 3 5 2 7 2" xfId="13258" xr:uid="{08548781-C095-4078-9343-604C3C3D59D4}"/>
    <cellStyle name="Normal 5 3 5 2 8" xfId="9040" xr:uid="{C6A1F2BE-F266-4DE7-9D13-2E70CEEC671D}"/>
    <cellStyle name="Normal 5 3 5 3" xfId="928" xr:uid="{00000000-0005-0000-0000-0000781A0000}"/>
    <cellStyle name="Normal 5 3 5 3 2" xfId="3162" xr:uid="{00000000-0005-0000-0000-0000791A0000}"/>
    <cellStyle name="Normal 5 3 5 3 2 2" xfId="7386" xr:uid="{00000000-0005-0000-0000-00007A1A0000}"/>
    <cellStyle name="Normal 5 3 5 3 2 2 2" xfId="15815" xr:uid="{3AE23A60-74A2-4CD8-8ECE-33DAADDABEC7}"/>
    <cellStyle name="Normal 5 3 5 3 2 3" xfId="11597" xr:uid="{B6757B01-86DA-499F-9637-FF3317C65A3A}"/>
    <cellStyle name="Normal 5 3 5 3 3" xfId="5241" xr:uid="{00000000-0005-0000-0000-00007B1A0000}"/>
    <cellStyle name="Normal 5 3 5 3 3 2" xfId="13670" xr:uid="{3AD7CD32-AA69-491F-BB33-A6DCFDACA3D9}"/>
    <cellStyle name="Normal 5 3 5 3 4" xfId="9452" xr:uid="{F3AC8560-6C07-4567-A1B9-6DB25F101B93}"/>
    <cellStyle name="Normal 5 3 5 4" xfId="1345" xr:uid="{00000000-0005-0000-0000-00007C1A0000}"/>
    <cellStyle name="Normal 5 3 5 4 2" xfId="3575" xr:uid="{00000000-0005-0000-0000-00007D1A0000}"/>
    <cellStyle name="Normal 5 3 5 4 2 2" xfId="7799" xr:uid="{00000000-0005-0000-0000-00007E1A0000}"/>
    <cellStyle name="Normal 5 3 5 4 2 2 2" xfId="16228" xr:uid="{F9D9473F-6FBB-47DF-8989-8774C400A726}"/>
    <cellStyle name="Normal 5 3 5 4 2 3" xfId="12010" xr:uid="{5ADC25C7-5C7A-4190-AA87-0FE413B6F5A1}"/>
    <cellStyle name="Normal 5 3 5 4 3" xfId="5654" xr:uid="{00000000-0005-0000-0000-00007F1A0000}"/>
    <cellStyle name="Normal 5 3 5 4 3 2" xfId="14083" xr:uid="{63093379-BDA2-40AC-9910-B0011555DB85}"/>
    <cellStyle name="Normal 5 3 5 4 4" xfId="9865" xr:uid="{F960629B-28A7-4FB8-AF96-43053DE15A97}"/>
    <cellStyle name="Normal 5 3 5 5" xfId="1758" xr:uid="{00000000-0005-0000-0000-0000801A0000}"/>
    <cellStyle name="Normal 5 3 5 5 2" xfId="3988" xr:uid="{00000000-0005-0000-0000-0000811A0000}"/>
    <cellStyle name="Normal 5 3 5 5 2 2" xfId="8212" xr:uid="{00000000-0005-0000-0000-0000821A0000}"/>
    <cellStyle name="Normal 5 3 5 5 2 2 2" xfId="16641" xr:uid="{DE413C5A-75AE-4AAC-8B9E-C9C7350D8880}"/>
    <cellStyle name="Normal 5 3 5 5 2 3" xfId="12423" xr:uid="{83E8390C-FC1D-4C23-996B-30948F76DD4A}"/>
    <cellStyle name="Normal 5 3 5 5 3" xfId="6067" xr:uid="{00000000-0005-0000-0000-0000831A0000}"/>
    <cellStyle name="Normal 5 3 5 5 3 2" xfId="14496" xr:uid="{279715CB-9CA1-4352-A55A-384377CE3B7D}"/>
    <cellStyle name="Normal 5 3 5 5 4" xfId="10278" xr:uid="{9A130056-D0A9-4330-983C-51EBD2084BB9}"/>
    <cellStyle name="Normal 5 3 5 6" xfId="2172" xr:uid="{00000000-0005-0000-0000-0000841A0000}"/>
    <cellStyle name="Normal 5 3 5 6 2" xfId="4401" xr:uid="{00000000-0005-0000-0000-0000851A0000}"/>
    <cellStyle name="Normal 5 3 5 6 2 2" xfId="8625" xr:uid="{00000000-0005-0000-0000-0000861A0000}"/>
    <cellStyle name="Normal 5 3 5 6 2 2 2" xfId="17054" xr:uid="{6FA03C24-7ED6-4BDA-8733-C91119AA4167}"/>
    <cellStyle name="Normal 5 3 5 6 2 3" xfId="12836" xr:uid="{3CCE8256-4837-40A4-836A-051167F401CC}"/>
    <cellStyle name="Normal 5 3 5 6 3" xfId="6480" xr:uid="{00000000-0005-0000-0000-0000871A0000}"/>
    <cellStyle name="Normal 5 3 5 6 3 2" xfId="14909" xr:uid="{0F218F88-100F-485C-AC93-455259A92EA4}"/>
    <cellStyle name="Normal 5 3 5 6 4" xfId="10691" xr:uid="{AD045FAE-D235-449C-9198-FFF240056E3D}"/>
    <cellStyle name="Normal 5 3 5 7" xfId="2608" xr:uid="{00000000-0005-0000-0000-0000881A0000}"/>
    <cellStyle name="Normal 5 3 5 7 2" xfId="6893" xr:uid="{00000000-0005-0000-0000-0000891A0000}"/>
    <cellStyle name="Normal 5 3 5 7 2 2" xfId="15322" xr:uid="{101BDC6E-B20A-4308-9D8A-5DA350D882C1}"/>
    <cellStyle name="Normal 5 3 5 7 3" xfId="11104" xr:uid="{7572DD59-FBB1-4E79-9DF8-33EAF043AF74}"/>
    <cellStyle name="Normal 5 3 5 8" xfId="4828" xr:uid="{00000000-0005-0000-0000-00008A1A0000}"/>
    <cellStyle name="Normal 5 3 5 8 2" xfId="13257" xr:uid="{4989098B-C672-4849-AFBD-EE859644B93F}"/>
    <cellStyle name="Normal 5 3 5 9" xfId="9039" xr:uid="{4428A2C5-F8B0-4D8E-A6C8-FAEA4A43FB0B}"/>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2 2" xfId="15817" xr:uid="{46DE42CB-38D4-437F-871C-1C9B7870A5D7}"/>
    <cellStyle name="Normal 5 3 6 2 2 3" xfId="11599" xr:uid="{89BBA5F2-6020-40D7-99B8-E436F40409DF}"/>
    <cellStyle name="Normal 5 3 6 2 3" xfId="5243" xr:uid="{00000000-0005-0000-0000-00008F1A0000}"/>
    <cellStyle name="Normal 5 3 6 2 3 2" xfId="13672" xr:uid="{0CE41AD7-6E02-4B97-B119-195D19DBF5C6}"/>
    <cellStyle name="Normal 5 3 6 2 4" xfId="9454" xr:uid="{56F94D93-162F-4888-8B16-6444A38A2182}"/>
    <cellStyle name="Normal 5 3 6 3" xfId="1347" xr:uid="{00000000-0005-0000-0000-0000901A0000}"/>
    <cellStyle name="Normal 5 3 6 3 2" xfId="3577" xr:uid="{00000000-0005-0000-0000-0000911A0000}"/>
    <cellStyle name="Normal 5 3 6 3 2 2" xfId="7801" xr:uid="{00000000-0005-0000-0000-0000921A0000}"/>
    <cellStyle name="Normal 5 3 6 3 2 2 2" xfId="16230" xr:uid="{16575F07-1146-4F55-8558-528BCCBBF6FA}"/>
    <cellStyle name="Normal 5 3 6 3 2 3" xfId="12012" xr:uid="{55421E4C-754B-4759-B302-7423283957CA}"/>
    <cellStyle name="Normal 5 3 6 3 3" xfId="5656" xr:uid="{00000000-0005-0000-0000-0000931A0000}"/>
    <cellStyle name="Normal 5 3 6 3 3 2" xfId="14085" xr:uid="{4678F0C4-F3A4-4C03-9EAF-A4D2397D36E8}"/>
    <cellStyle name="Normal 5 3 6 3 4" xfId="9867" xr:uid="{4A5CCDFA-D108-4256-8ABD-1C4B6C217895}"/>
    <cellStyle name="Normal 5 3 6 4" xfId="1760" xr:uid="{00000000-0005-0000-0000-0000941A0000}"/>
    <cellStyle name="Normal 5 3 6 4 2" xfId="3990" xr:uid="{00000000-0005-0000-0000-0000951A0000}"/>
    <cellStyle name="Normal 5 3 6 4 2 2" xfId="8214" xr:uid="{00000000-0005-0000-0000-0000961A0000}"/>
    <cellStyle name="Normal 5 3 6 4 2 2 2" xfId="16643" xr:uid="{052ACB65-2E1D-47B8-A1FC-1DE4233EE0BD}"/>
    <cellStyle name="Normal 5 3 6 4 2 3" xfId="12425" xr:uid="{50CDB4DC-24BA-4E13-BF80-B305BEA9BDCD}"/>
    <cellStyle name="Normal 5 3 6 4 3" xfId="6069" xr:uid="{00000000-0005-0000-0000-0000971A0000}"/>
    <cellStyle name="Normal 5 3 6 4 3 2" xfId="14498" xr:uid="{1420D384-3E84-4A7B-B9CF-FB3C2D7D2817}"/>
    <cellStyle name="Normal 5 3 6 4 4" xfId="10280" xr:uid="{B7F2F2BE-178E-4564-91A1-33A4EFBD8A92}"/>
    <cellStyle name="Normal 5 3 6 5" xfId="2174" xr:uid="{00000000-0005-0000-0000-0000981A0000}"/>
    <cellStyle name="Normal 5 3 6 5 2" xfId="4403" xr:uid="{00000000-0005-0000-0000-0000991A0000}"/>
    <cellStyle name="Normal 5 3 6 5 2 2" xfId="8627" xr:uid="{00000000-0005-0000-0000-00009A1A0000}"/>
    <cellStyle name="Normal 5 3 6 5 2 2 2" xfId="17056" xr:uid="{55673D80-82C1-4C68-8CEB-2AFF5D088605}"/>
    <cellStyle name="Normal 5 3 6 5 2 3" xfId="12838" xr:uid="{892C223B-8193-43B5-88C3-A9F26993730D}"/>
    <cellStyle name="Normal 5 3 6 5 3" xfId="6482" xr:uid="{00000000-0005-0000-0000-00009B1A0000}"/>
    <cellStyle name="Normal 5 3 6 5 3 2" xfId="14911" xr:uid="{5F5917DF-70DB-418B-9143-67CBCA2B4129}"/>
    <cellStyle name="Normal 5 3 6 5 4" xfId="10693" xr:uid="{4B372B0C-A6F0-4F97-BEAB-2FF7A4531E44}"/>
    <cellStyle name="Normal 5 3 6 6" xfId="2610" xr:uid="{00000000-0005-0000-0000-00009C1A0000}"/>
    <cellStyle name="Normal 5 3 6 6 2" xfId="6895" xr:uid="{00000000-0005-0000-0000-00009D1A0000}"/>
    <cellStyle name="Normal 5 3 6 6 2 2" xfId="15324" xr:uid="{2DBFE7FD-F39C-4BEA-B7B4-964A634EBCF1}"/>
    <cellStyle name="Normal 5 3 6 6 3" xfId="11106" xr:uid="{E367A986-3C1C-4E32-BE31-5ECB4A1584F3}"/>
    <cellStyle name="Normal 5 3 6 7" xfId="4830" xr:uid="{00000000-0005-0000-0000-00009E1A0000}"/>
    <cellStyle name="Normal 5 3 6 7 2" xfId="13259" xr:uid="{DFBF2986-916A-4EDB-8DC1-E2587E37152A}"/>
    <cellStyle name="Normal 5 3 6 8" xfId="9041" xr:uid="{48F98285-2F3D-4E08-B852-0D2EF26BDC92}"/>
    <cellStyle name="Normal 5 3 7" xfId="914" xr:uid="{00000000-0005-0000-0000-00009F1A0000}"/>
    <cellStyle name="Normal 5 3 7 2" xfId="3149" xr:uid="{00000000-0005-0000-0000-0000A01A0000}"/>
    <cellStyle name="Normal 5 3 7 2 2" xfId="7373" xr:uid="{00000000-0005-0000-0000-0000A11A0000}"/>
    <cellStyle name="Normal 5 3 7 2 2 2" xfId="15802" xr:uid="{3813D82E-0671-44F3-A607-B68C418DE803}"/>
    <cellStyle name="Normal 5 3 7 2 3" xfId="11584" xr:uid="{7225B594-156E-40FA-BD34-3A3AC6706DF9}"/>
    <cellStyle name="Normal 5 3 7 3" xfId="5228" xr:uid="{00000000-0005-0000-0000-0000A21A0000}"/>
    <cellStyle name="Normal 5 3 7 3 2" xfId="13657" xr:uid="{73C35641-BAFD-4472-9C66-F96BA799EC14}"/>
    <cellStyle name="Normal 5 3 7 4" xfId="9439" xr:uid="{F79D8F15-9410-40FC-8284-81E327134F4E}"/>
    <cellStyle name="Normal 5 3 8" xfId="1332" xr:uid="{00000000-0005-0000-0000-0000A31A0000}"/>
    <cellStyle name="Normal 5 3 8 2" xfId="3562" xr:uid="{00000000-0005-0000-0000-0000A41A0000}"/>
    <cellStyle name="Normal 5 3 8 2 2" xfId="7786" xr:uid="{00000000-0005-0000-0000-0000A51A0000}"/>
    <cellStyle name="Normal 5 3 8 2 2 2" xfId="16215" xr:uid="{10624B99-1D43-403F-A136-8E41C7481EF8}"/>
    <cellStyle name="Normal 5 3 8 2 3" xfId="11997" xr:uid="{85245FA8-122E-439C-8B6A-CA15BBDDF247}"/>
    <cellStyle name="Normal 5 3 8 3" xfId="5641" xr:uid="{00000000-0005-0000-0000-0000A61A0000}"/>
    <cellStyle name="Normal 5 3 8 3 2" xfId="14070" xr:uid="{F6383CE1-0A68-49EE-A63C-D8DF1AB8F1F1}"/>
    <cellStyle name="Normal 5 3 8 4" xfId="9852" xr:uid="{D53327BB-57ED-4BEC-B6A0-9400F16F1107}"/>
    <cellStyle name="Normal 5 3 9" xfId="1745" xr:uid="{00000000-0005-0000-0000-0000A71A0000}"/>
    <cellStyle name="Normal 5 3 9 2" xfId="3975" xr:uid="{00000000-0005-0000-0000-0000A81A0000}"/>
    <cellStyle name="Normal 5 3 9 2 2" xfId="8199" xr:uid="{00000000-0005-0000-0000-0000A91A0000}"/>
    <cellStyle name="Normal 5 3 9 2 2 2" xfId="16628" xr:uid="{CAF08FB2-B984-4F20-AA76-1D8EA6D90B08}"/>
    <cellStyle name="Normal 5 3 9 2 3" xfId="12410" xr:uid="{3650C185-C438-4863-BD19-11A179BDBD28}"/>
    <cellStyle name="Normal 5 3 9 3" xfId="6054" xr:uid="{00000000-0005-0000-0000-0000AA1A0000}"/>
    <cellStyle name="Normal 5 3 9 3 2" xfId="14483" xr:uid="{C5B8154B-DF16-4893-A188-831D77DEBF32}"/>
    <cellStyle name="Normal 5 3 9 4" xfId="10265" xr:uid="{120CF2F6-3D17-4F00-A949-AB7729D5EF81}"/>
    <cellStyle name="Normal 5 4" xfId="456" xr:uid="{00000000-0005-0000-0000-0000AB1A0000}"/>
    <cellStyle name="Normal 5 4 10" xfId="4831" xr:uid="{00000000-0005-0000-0000-0000AC1A0000}"/>
    <cellStyle name="Normal 5 4 10 2" xfId="13260" xr:uid="{23F0D76E-2B20-4204-AF2A-C88BC30039EE}"/>
    <cellStyle name="Normal 5 4 11" xfId="9042" xr:uid="{E02E7C4C-1B6A-4AC7-AAE8-6FD33E06B8E2}"/>
    <cellStyle name="Normal 5 4 2" xfId="457" xr:uid="{00000000-0005-0000-0000-0000AD1A0000}"/>
    <cellStyle name="Normal 5 4 2 10" xfId="9043" xr:uid="{C309A7B4-98E6-40EA-ACA5-54B972E31E9E}"/>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2 2" xfId="15821" xr:uid="{E7186724-CA0B-495B-B6D2-924F8ADB968B}"/>
    <cellStyle name="Normal 5 4 2 2 2 2 2 3" xfId="11603" xr:uid="{98C32C6A-392F-4FA1-84B0-553C391309C6}"/>
    <cellStyle name="Normal 5 4 2 2 2 2 3" xfId="5247" xr:uid="{00000000-0005-0000-0000-0000B31A0000}"/>
    <cellStyle name="Normal 5 4 2 2 2 2 3 2" xfId="13676" xr:uid="{6258593F-A9A9-4A3C-8374-6FDAD997AEEB}"/>
    <cellStyle name="Normal 5 4 2 2 2 2 4" xfId="9458" xr:uid="{0E64A752-1373-48D0-B631-66C1068B6E24}"/>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2 2" xfId="16234" xr:uid="{C51FAADC-1FBE-4B70-97FC-2D4EEF6A6514}"/>
    <cellStyle name="Normal 5 4 2 2 2 3 2 3" xfId="12016" xr:uid="{2CC18B2F-CE6B-425D-8DCC-53612FC29A0E}"/>
    <cellStyle name="Normal 5 4 2 2 2 3 3" xfId="5660" xr:uid="{00000000-0005-0000-0000-0000B71A0000}"/>
    <cellStyle name="Normal 5 4 2 2 2 3 3 2" xfId="14089" xr:uid="{620A19A1-DE8B-482F-88D1-A78FEEC09174}"/>
    <cellStyle name="Normal 5 4 2 2 2 3 4" xfId="9871" xr:uid="{1487972D-B086-44DF-A585-8ED7654804FA}"/>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2 2" xfId="16647" xr:uid="{6D36DE22-1E05-4FF8-9E3D-DBFA46C66BBA}"/>
    <cellStyle name="Normal 5 4 2 2 2 4 2 3" xfId="12429" xr:uid="{B59A947C-D84E-4296-B290-2CF60E0F518B}"/>
    <cellStyle name="Normal 5 4 2 2 2 4 3" xfId="6073" xr:uid="{00000000-0005-0000-0000-0000BB1A0000}"/>
    <cellStyle name="Normal 5 4 2 2 2 4 3 2" xfId="14502" xr:uid="{6EFFA1A3-7A9D-4BBB-A684-84C4BE0AD306}"/>
    <cellStyle name="Normal 5 4 2 2 2 4 4" xfId="10284" xr:uid="{72BE68DA-8D89-41C8-BD5A-35D29E55FC9A}"/>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2 2" xfId="17060" xr:uid="{6545E9A1-9DE7-4656-9962-54CB5EED694B}"/>
    <cellStyle name="Normal 5 4 2 2 2 5 2 3" xfId="12842" xr:uid="{AFD392B9-166B-429D-A89E-6E1A4A946F84}"/>
    <cellStyle name="Normal 5 4 2 2 2 5 3" xfId="6486" xr:uid="{00000000-0005-0000-0000-0000BF1A0000}"/>
    <cellStyle name="Normal 5 4 2 2 2 5 3 2" xfId="14915" xr:uid="{AA352AF6-9A08-459F-8DCB-2F78FF26ED45}"/>
    <cellStyle name="Normal 5 4 2 2 2 5 4" xfId="10697" xr:uid="{FF09EE16-A62A-443F-AC18-287481556E78}"/>
    <cellStyle name="Normal 5 4 2 2 2 6" xfId="2614" xr:uid="{00000000-0005-0000-0000-0000C01A0000}"/>
    <cellStyle name="Normal 5 4 2 2 2 6 2" xfId="6899" xr:uid="{00000000-0005-0000-0000-0000C11A0000}"/>
    <cellStyle name="Normal 5 4 2 2 2 6 2 2" xfId="15328" xr:uid="{535D4F03-3DC5-4E5C-8CB1-33AE2681C823}"/>
    <cellStyle name="Normal 5 4 2 2 2 6 3" xfId="11110" xr:uid="{9E0915E3-B3CB-46D2-BC7D-E42EB40EE59F}"/>
    <cellStyle name="Normal 5 4 2 2 2 7" xfId="4834" xr:uid="{00000000-0005-0000-0000-0000C21A0000}"/>
    <cellStyle name="Normal 5 4 2 2 2 7 2" xfId="13263" xr:uid="{F684291F-41AB-4347-957F-1B342D5E59D8}"/>
    <cellStyle name="Normal 5 4 2 2 2 8" xfId="9045" xr:uid="{BDDDF8BC-9F80-41C1-B783-4AF4DA3AB313}"/>
    <cellStyle name="Normal 5 4 2 2 3" xfId="933" xr:uid="{00000000-0005-0000-0000-0000C31A0000}"/>
    <cellStyle name="Normal 5 4 2 2 3 2" xfId="3167" xr:uid="{00000000-0005-0000-0000-0000C41A0000}"/>
    <cellStyle name="Normal 5 4 2 2 3 2 2" xfId="7391" xr:uid="{00000000-0005-0000-0000-0000C51A0000}"/>
    <cellStyle name="Normal 5 4 2 2 3 2 2 2" xfId="15820" xr:uid="{C766EF46-F968-48DE-9DD4-1343F64B93FF}"/>
    <cellStyle name="Normal 5 4 2 2 3 2 3" xfId="11602" xr:uid="{065989F0-7584-41AE-85EA-6A6D0BF40B66}"/>
    <cellStyle name="Normal 5 4 2 2 3 3" xfId="5246" xr:uid="{00000000-0005-0000-0000-0000C61A0000}"/>
    <cellStyle name="Normal 5 4 2 2 3 3 2" xfId="13675" xr:uid="{89230495-470A-436A-AC38-8502286BE3FB}"/>
    <cellStyle name="Normal 5 4 2 2 3 4" xfId="9457" xr:uid="{4F13B562-DD12-42B7-ACCD-F1DBE375D7E8}"/>
    <cellStyle name="Normal 5 4 2 2 4" xfId="1350" xr:uid="{00000000-0005-0000-0000-0000C71A0000}"/>
    <cellStyle name="Normal 5 4 2 2 4 2" xfId="3580" xr:uid="{00000000-0005-0000-0000-0000C81A0000}"/>
    <cellStyle name="Normal 5 4 2 2 4 2 2" xfId="7804" xr:uid="{00000000-0005-0000-0000-0000C91A0000}"/>
    <cellStyle name="Normal 5 4 2 2 4 2 2 2" xfId="16233" xr:uid="{44044EF8-984B-4862-AC6D-63F84FC4046B}"/>
    <cellStyle name="Normal 5 4 2 2 4 2 3" xfId="12015" xr:uid="{05E1F93A-5716-4B36-86AF-95B4373ACE7E}"/>
    <cellStyle name="Normal 5 4 2 2 4 3" xfId="5659" xr:uid="{00000000-0005-0000-0000-0000CA1A0000}"/>
    <cellStyle name="Normal 5 4 2 2 4 3 2" xfId="14088" xr:uid="{ADE5BB4A-4D1C-4DEE-B2AE-FD664A64D6E4}"/>
    <cellStyle name="Normal 5 4 2 2 4 4" xfId="9870" xr:uid="{B98B582D-2274-4F4D-A1D8-2CC4AA5DB808}"/>
    <cellStyle name="Normal 5 4 2 2 5" xfId="1763" xr:uid="{00000000-0005-0000-0000-0000CB1A0000}"/>
    <cellStyle name="Normal 5 4 2 2 5 2" xfId="3993" xr:uid="{00000000-0005-0000-0000-0000CC1A0000}"/>
    <cellStyle name="Normal 5 4 2 2 5 2 2" xfId="8217" xr:uid="{00000000-0005-0000-0000-0000CD1A0000}"/>
    <cellStyle name="Normal 5 4 2 2 5 2 2 2" xfId="16646" xr:uid="{56F88F51-D66B-4B05-985C-1AEA31E22464}"/>
    <cellStyle name="Normal 5 4 2 2 5 2 3" xfId="12428" xr:uid="{B03DF0A0-1A6D-4548-B841-727DE5C44A17}"/>
    <cellStyle name="Normal 5 4 2 2 5 3" xfId="6072" xr:uid="{00000000-0005-0000-0000-0000CE1A0000}"/>
    <cellStyle name="Normal 5 4 2 2 5 3 2" xfId="14501" xr:uid="{0F28EA1E-FA3C-4CA8-8CB2-EF090E0FED72}"/>
    <cellStyle name="Normal 5 4 2 2 5 4" xfId="10283" xr:uid="{9C0A8620-6BFC-4CB0-8DC0-DCBA55844DB2}"/>
    <cellStyle name="Normal 5 4 2 2 6" xfId="2177" xr:uid="{00000000-0005-0000-0000-0000CF1A0000}"/>
    <cellStyle name="Normal 5 4 2 2 6 2" xfId="4406" xr:uid="{00000000-0005-0000-0000-0000D01A0000}"/>
    <cellStyle name="Normal 5 4 2 2 6 2 2" xfId="8630" xr:uid="{00000000-0005-0000-0000-0000D11A0000}"/>
    <cellStyle name="Normal 5 4 2 2 6 2 2 2" xfId="17059" xr:uid="{5DC31C93-0B88-44DA-B5FC-31C65AF580FE}"/>
    <cellStyle name="Normal 5 4 2 2 6 2 3" xfId="12841" xr:uid="{F6F1220D-EC65-4FB8-A6ED-81EA1E5B7C38}"/>
    <cellStyle name="Normal 5 4 2 2 6 3" xfId="6485" xr:uid="{00000000-0005-0000-0000-0000D21A0000}"/>
    <cellStyle name="Normal 5 4 2 2 6 3 2" xfId="14914" xr:uid="{BAB791E4-3E2E-4AF7-BD72-B2F7F378AA90}"/>
    <cellStyle name="Normal 5 4 2 2 6 4" xfId="10696" xr:uid="{AC758D47-EDED-4C92-82E9-DCFD7633F143}"/>
    <cellStyle name="Normal 5 4 2 2 7" xfId="2613" xr:uid="{00000000-0005-0000-0000-0000D31A0000}"/>
    <cellStyle name="Normal 5 4 2 2 7 2" xfId="6898" xr:uid="{00000000-0005-0000-0000-0000D41A0000}"/>
    <cellStyle name="Normal 5 4 2 2 7 2 2" xfId="15327" xr:uid="{3F2039EA-715D-4E76-91D1-419814E27923}"/>
    <cellStyle name="Normal 5 4 2 2 7 3" xfId="11109" xr:uid="{A7126D08-D7F1-4AF0-BDED-705E692933EA}"/>
    <cellStyle name="Normal 5 4 2 2 8" xfId="4833" xr:uid="{00000000-0005-0000-0000-0000D51A0000}"/>
    <cellStyle name="Normal 5 4 2 2 8 2" xfId="13262" xr:uid="{01D9384B-DF68-4B05-989A-20C3C33E7CFA}"/>
    <cellStyle name="Normal 5 4 2 2 9" xfId="9044" xr:uid="{AAB6C7D7-0144-4519-B00C-4A56552EF065}"/>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2 2" xfId="15822" xr:uid="{5AFF4CC4-DCE1-494D-AAD8-ECD81123D621}"/>
    <cellStyle name="Normal 5 4 2 3 2 2 3" xfId="11604" xr:uid="{1E0C1966-A114-45BD-A139-5E6D2FA0F57E}"/>
    <cellStyle name="Normal 5 4 2 3 2 3" xfId="5248" xr:uid="{00000000-0005-0000-0000-0000DA1A0000}"/>
    <cellStyle name="Normal 5 4 2 3 2 3 2" xfId="13677" xr:uid="{5B52AC83-609E-4B83-951C-831008C094E6}"/>
    <cellStyle name="Normal 5 4 2 3 2 4" xfId="9459" xr:uid="{9144F616-C9D6-4BFA-9EBF-431BA4499DC1}"/>
    <cellStyle name="Normal 5 4 2 3 3" xfId="1352" xr:uid="{00000000-0005-0000-0000-0000DB1A0000}"/>
    <cellStyle name="Normal 5 4 2 3 3 2" xfId="3582" xr:uid="{00000000-0005-0000-0000-0000DC1A0000}"/>
    <cellStyle name="Normal 5 4 2 3 3 2 2" xfId="7806" xr:uid="{00000000-0005-0000-0000-0000DD1A0000}"/>
    <cellStyle name="Normal 5 4 2 3 3 2 2 2" xfId="16235" xr:uid="{953B2D67-5E24-4686-A98C-A2D63ACFA446}"/>
    <cellStyle name="Normal 5 4 2 3 3 2 3" xfId="12017" xr:uid="{92D13C25-0892-4985-951D-860E53737CEF}"/>
    <cellStyle name="Normal 5 4 2 3 3 3" xfId="5661" xr:uid="{00000000-0005-0000-0000-0000DE1A0000}"/>
    <cellStyle name="Normal 5 4 2 3 3 3 2" xfId="14090" xr:uid="{183221C6-3815-49CF-9171-8615E7376206}"/>
    <cellStyle name="Normal 5 4 2 3 3 4" xfId="9872" xr:uid="{9B04B6BA-9A5E-4BD7-A125-E1C5D54F844A}"/>
    <cellStyle name="Normal 5 4 2 3 4" xfId="1765" xr:uid="{00000000-0005-0000-0000-0000DF1A0000}"/>
    <cellStyle name="Normal 5 4 2 3 4 2" xfId="3995" xr:uid="{00000000-0005-0000-0000-0000E01A0000}"/>
    <cellStyle name="Normal 5 4 2 3 4 2 2" xfId="8219" xr:uid="{00000000-0005-0000-0000-0000E11A0000}"/>
    <cellStyle name="Normal 5 4 2 3 4 2 2 2" xfId="16648" xr:uid="{346264DE-235C-40C7-B5A8-37624235F62F}"/>
    <cellStyle name="Normal 5 4 2 3 4 2 3" xfId="12430" xr:uid="{4B9AFDA1-DF91-425F-81AD-97697A88BD89}"/>
    <cellStyle name="Normal 5 4 2 3 4 3" xfId="6074" xr:uid="{00000000-0005-0000-0000-0000E21A0000}"/>
    <cellStyle name="Normal 5 4 2 3 4 3 2" xfId="14503" xr:uid="{2E1E9BF5-555D-4F06-B195-837F391CDF94}"/>
    <cellStyle name="Normal 5 4 2 3 4 4" xfId="10285" xr:uid="{9663A50A-C0C3-4359-9E68-019602A31EF3}"/>
    <cellStyle name="Normal 5 4 2 3 5" xfId="2179" xr:uid="{00000000-0005-0000-0000-0000E31A0000}"/>
    <cellStyle name="Normal 5 4 2 3 5 2" xfId="4408" xr:uid="{00000000-0005-0000-0000-0000E41A0000}"/>
    <cellStyle name="Normal 5 4 2 3 5 2 2" xfId="8632" xr:uid="{00000000-0005-0000-0000-0000E51A0000}"/>
    <cellStyle name="Normal 5 4 2 3 5 2 2 2" xfId="17061" xr:uid="{58A1D411-7431-4763-9C29-3F0E168EE578}"/>
    <cellStyle name="Normal 5 4 2 3 5 2 3" xfId="12843" xr:uid="{A131E691-C3CF-4CE7-9206-1C380783243B}"/>
    <cellStyle name="Normal 5 4 2 3 5 3" xfId="6487" xr:uid="{00000000-0005-0000-0000-0000E61A0000}"/>
    <cellStyle name="Normal 5 4 2 3 5 3 2" xfId="14916" xr:uid="{15A167FF-1F64-43F1-9B07-5D016BB6A2CF}"/>
    <cellStyle name="Normal 5 4 2 3 5 4" xfId="10698" xr:uid="{7641F3CA-4205-43AD-AC41-B913C8E0624F}"/>
    <cellStyle name="Normal 5 4 2 3 6" xfId="2615" xr:uid="{00000000-0005-0000-0000-0000E71A0000}"/>
    <cellStyle name="Normal 5 4 2 3 6 2" xfId="6900" xr:uid="{00000000-0005-0000-0000-0000E81A0000}"/>
    <cellStyle name="Normal 5 4 2 3 6 2 2" xfId="15329" xr:uid="{250ACB84-3391-4720-9253-283D464A9A09}"/>
    <cellStyle name="Normal 5 4 2 3 6 3" xfId="11111" xr:uid="{3281A1A0-6E59-4FB6-8960-B1066CA01EFA}"/>
    <cellStyle name="Normal 5 4 2 3 7" xfId="4835" xr:uid="{00000000-0005-0000-0000-0000E91A0000}"/>
    <cellStyle name="Normal 5 4 2 3 7 2" xfId="13264" xr:uid="{CB6C66AD-4C7B-4510-BAC3-95E585730389}"/>
    <cellStyle name="Normal 5 4 2 3 8" xfId="9046" xr:uid="{8EB6CC30-0F0F-476D-B6E7-2D82F9540242}"/>
    <cellStyle name="Normal 5 4 2 4" xfId="932" xr:uid="{00000000-0005-0000-0000-0000EA1A0000}"/>
    <cellStyle name="Normal 5 4 2 4 2" xfId="3166" xr:uid="{00000000-0005-0000-0000-0000EB1A0000}"/>
    <cellStyle name="Normal 5 4 2 4 2 2" xfId="7390" xr:uid="{00000000-0005-0000-0000-0000EC1A0000}"/>
    <cellStyle name="Normal 5 4 2 4 2 2 2" xfId="15819" xr:uid="{C7C0F692-98EF-43E6-991C-55CE06B8BD96}"/>
    <cellStyle name="Normal 5 4 2 4 2 3" xfId="11601" xr:uid="{4CAEB034-BE44-432A-A74F-E843A4E7A257}"/>
    <cellStyle name="Normal 5 4 2 4 3" xfId="5245" xr:uid="{00000000-0005-0000-0000-0000ED1A0000}"/>
    <cellStyle name="Normal 5 4 2 4 3 2" xfId="13674" xr:uid="{17021DE6-2758-42F0-A1E2-2D359A629673}"/>
    <cellStyle name="Normal 5 4 2 4 4" xfId="9456" xr:uid="{214A12E1-A474-4027-B527-0478E7B16508}"/>
    <cellStyle name="Normal 5 4 2 5" xfId="1349" xr:uid="{00000000-0005-0000-0000-0000EE1A0000}"/>
    <cellStyle name="Normal 5 4 2 5 2" xfId="3579" xr:uid="{00000000-0005-0000-0000-0000EF1A0000}"/>
    <cellStyle name="Normal 5 4 2 5 2 2" xfId="7803" xr:uid="{00000000-0005-0000-0000-0000F01A0000}"/>
    <cellStyle name="Normal 5 4 2 5 2 2 2" xfId="16232" xr:uid="{9AA20D18-9489-4A15-8426-89890D6DA5C9}"/>
    <cellStyle name="Normal 5 4 2 5 2 3" xfId="12014" xr:uid="{1F896EAA-1440-4350-800F-52CB7D8B3183}"/>
    <cellStyle name="Normal 5 4 2 5 3" xfId="5658" xr:uid="{00000000-0005-0000-0000-0000F11A0000}"/>
    <cellStyle name="Normal 5 4 2 5 3 2" xfId="14087" xr:uid="{DB2B732A-6501-4D60-973F-4C0868AF6F1E}"/>
    <cellStyle name="Normal 5 4 2 5 4" xfId="9869" xr:uid="{BFBBF20D-5223-4DBB-B363-4EB4793F5D21}"/>
    <cellStyle name="Normal 5 4 2 6" xfId="1762" xr:uid="{00000000-0005-0000-0000-0000F21A0000}"/>
    <cellStyle name="Normal 5 4 2 6 2" xfId="3992" xr:uid="{00000000-0005-0000-0000-0000F31A0000}"/>
    <cellStyle name="Normal 5 4 2 6 2 2" xfId="8216" xr:uid="{00000000-0005-0000-0000-0000F41A0000}"/>
    <cellStyle name="Normal 5 4 2 6 2 2 2" xfId="16645" xr:uid="{3D8206E5-E9A1-4A8F-BA5A-74863B85E054}"/>
    <cellStyle name="Normal 5 4 2 6 2 3" xfId="12427" xr:uid="{4206D48F-C8A6-4949-B4A2-0C804BAC43BC}"/>
    <cellStyle name="Normal 5 4 2 6 3" xfId="6071" xr:uid="{00000000-0005-0000-0000-0000F51A0000}"/>
    <cellStyle name="Normal 5 4 2 6 3 2" xfId="14500" xr:uid="{22EC7D92-4ED7-4ADB-8C25-C6A7BBDFABE9}"/>
    <cellStyle name="Normal 5 4 2 6 4" xfId="10282" xr:uid="{36133AC0-3C4E-4102-8DE1-62E773031425}"/>
    <cellStyle name="Normal 5 4 2 7" xfId="2176" xr:uid="{00000000-0005-0000-0000-0000F61A0000}"/>
    <cellStyle name="Normal 5 4 2 7 2" xfId="4405" xr:uid="{00000000-0005-0000-0000-0000F71A0000}"/>
    <cellStyle name="Normal 5 4 2 7 2 2" xfId="8629" xr:uid="{00000000-0005-0000-0000-0000F81A0000}"/>
    <cellStyle name="Normal 5 4 2 7 2 2 2" xfId="17058" xr:uid="{66D12319-C969-4B19-B46F-7051FB65808E}"/>
    <cellStyle name="Normal 5 4 2 7 2 3" xfId="12840" xr:uid="{0CCD35EA-FE64-4706-89AB-51F5498FDDF9}"/>
    <cellStyle name="Normal 5 4 2 7 3" xfId="6484" xr:uid="{00000000-0005-0000-0000-0000F91A0000}"/>
    <cellStyle name="Normal 5 4 2 7 3 2" xfId="14913" xr:uid="{29ACB09E-E25F-4FD1-826B-32377E127585}"/>
    <cellStyle name="Normal 5 4 2 7 4" xfId="10695" xr:uid="{9D8DF569-7B56-48F8-851A-7D3FD63BE9A1}"/>
    <cellStyle name="Normal 5 4 2 8" xfId="2612" xr:uid="{00000000-0005-0000-0000-0000FA1A0000}"/>
    <cellStyle name="Normal 5 4 2 8 2" xfId="6897" xr:uid="{00000000-0005-0000-0000-0000FB1A0000}"/>
    <cellStyle name="Normal 5 4 2 8 2 2" xfId="15326" xr:uid="{A9306DF8-3AF8-4021-9EE0-880CD6EAE152}"/>
    <cellStyle name="Normal 5 4 2 8 3" xfId="11108" xr:uid="{9AA3A149-0B8A-4790-863F-99CECC8DF057}"/>
    <cellStyle name="Normal 5 4 2 9" xfId="4832" xr:uid="{00000000-0005-0000-0000-0000FC1A0000}"/>
    <cellStyle name="Normal 5 4 2 9 2" xfId="13261" xr:uid="{D639F968-CA62-4FED-B361-92C3C1D3237F}"/>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2 2" xfId="15824" xr:uid="{12A3890B-39D7-48D3-99B4-63C33FBDCB9C}"/>
    <cellStyle name="Normal 5 4 3 2 2 2 3" xfId="11606" xr:uid="{6710C600-B5F4-4CC0-9123-B911EC83A1CF}"/>
    <cellStyle name="Normal 5 4 3 2 2 3" xfId="5250" xr:uid="{00000000-0005-0000-0000-0000021B0000}"/>
    <cellStyle name="Normal 5 4 3 2 2 3 2" xfId="13679" xr:uid="{7865DE2E-E3BE-4AAF-9C51-D4005CF36A30}"/>
    <cellStyle name="Normal 5 4 3 2 2 4" xfId="9461" xr:uid="{E05AA4AE-0F40-4D78-ABB8-0EF7AD482627}"/>
    <cellStyle name="Normal 5 4 3 2 3" xfId="1354" xr:uid="{00000000-0005-0000-0000-0000031B0000}"/>
    <cellStyle name="Normal 5 4 3 2 3 2" xfId="3584" xr:uid="{00000000-0005-0000-0000-0000041B0000}"/>
    <cellStyle name="Normal 5 4 3 2 3 2 2" xfId="7808" xr:uid="{00000000-0005-0000-0000-0000051B0000}"/>
    <cellStyle name="Normal 5 4 3 2 3 2 2 2" xfId="16237" xr:uid="{B1A1219D-D38F-4F40-928D-B66066720494}"/>
    <cellStyle name="Normal 5 4 3 2 3 2 3" xfId="12019" xr:uid="{AA7A103A-D76D-4B07-8576-971350007584}"/>
    <cellStyle name="Normal 5 4 3 2 3 3" xfId="5663" xr:uid="{00000000-0005-0000-0000-0000061B0000}"/>
    <cellStyle name="Normal 5 4 3 2 3 3 2" xfId="14092" xr:uid="{83D32780-EBA9-4EDC-A0F0-C88838E9B64F}"/>
    <cellStyle name="Normal 5 4 3 2 3 4" xfId="9874" xr:uid="{02CB3AB3-2287-4A14-B22B-D6235D3F1CAD}"/>
    <cellStyle name="Normal 5 4 3 2 4" xfId="1767" xr:uid="{00000000-0005-0000-0000-0000071B0000}"/>
    <cellStyle name="Normal 5 4 3 2 4 2" xfId="3997" xr:uid="{00000000-0005-0000-0000-0000081B0000}"/>
    <cellStyle name="Normal 5 4 3 2 4 2 2" xfId="8221" xr:uid="{00000000-0005-0000-0000-0000091B0000}"/>
    <cellStyle name="Normal 5 4 3 2 4 2 2 2" xfId="16650" xr:uid="{A2B0CC57-E047-495B-A7DC-AC9C9CDD6350}"/>
    <cellStyle name="Normal 5 4 3 2 4 2 3" xfId="12432" xr:uid="{F2CD7B95-93BD-4AF8-9FF0-16E174FA8721}"/>
    <cellStyle name="Normal 5 4 3 2 4 3" xfId="6076" xr:uid="{00000000-0005-0000-0000-00000A1B0000}"/>
    <cellStyle name="Normal 5 4 3 2 4 3 2" xfId="14505" xr:uid="{AA8A0C1C-C1A8-473A-B7B8-77BEA1C89B55}"/>
    <cellStyle name="Normal 5 4 3 2 4 4" xfId="10287" xr:uid="{E8A98E04-37A2-4D6E-A3F4-21FEC9377284}"/>
    <cellStyle name="Normal 5 4 3 2 5" xfId="2181" xr:uid="{00000000-0005-0000-0000-00000B1B0000}"/>
    <cellStyle name="Normal 5 4 3 2 5 2" xfId="4410" xr:uid="{00000000-0005-0000-0000-00000C1B0000}"/>
    <cellStyle name="Normal 5 4 3 2 5 2 2" xfId="8634" xr:uid="{00000000-0005-0000-0000-00000D1B0000}"/>
    <cellStyle name="Normal 5 4 3 2 5 2 2 2" xfId="17063" xr:uid="{9A835421-86E6-4103-A642-0B45FA6782A9}"/>
    <cellStyle name="Normal 5 4 3 2 5 2 3" xfId="12845" xr:uid="{75ECAABF-36B6-49A2-9FDE-9FB7981737E3}"/>
    <cellStyle name="Normal 5 4 3 2 5 3" xfId="6489" xr:uid="{00000000-0005-0000-0000-00000E1B0000}"/>
    <cellStyle name="Normal 5 4 3 2 5 3 2" xfId="14918" xr:uid="{2F54D4A1-3FE7-4A85-B871-22806BB9508F}"/>
    <cellStyle name="Normal 5 4 3 2 5 4" xfId="10700" xr:uid="{0EE98211-79AE-4A22-9948-CBF6CAABC467}"/>
    <cellStyle name="Normal 5 4 3 2 6" xfId="2617" xr:uid="{00000000-0005-0000-0000-00000F1B0000}"/>
    <cellStyle name="Normal 5 4 3 2 6 2" xfId="6902" xr:uid="{00000000-0005-0000-0000-0000101B0000}"/>
    <cellStyle name="Normal 5 4 3 2 6 2 2" xfId="15331" xr:uid="{DC060DEB-9733-4BFF-987A-665BEFCB26C7}"/>
    <cellStyle name="Normal 5 4 3 2 6 3" xfId="11113" xr:uid="{4985063B-27EB-48E9-9D0B-ADCCE9FB0436}"/>
    <cellStyle name="Normal 5 4 3 2 7" xfId="4837" xr:uid="{00000000-0005-0000-0000-0000111B0000}"/>
    <cellStyle name="Normal 5 4 3 2 7 2" xfId="13266" xr:uid="{2E6BE178-D9CC-4727-878F-D4088D87D294}"/>
    <cellStyle name="Normal 5 4 3 2 8" xfId="9048" xr:uid="{E191CA5C-92C9-49C8-A209-7C6597DF0CC9}"/>
    <cellStyle name="Normal 5 4 3 3" xfId="936" xr:uid="{00000000-0005-0000-0000-0000121B0000}"/>
    <cellStyle name="Normal 5 4 3 3 2" xfId="3170" xr:uid="{00000000-0005-0000-0000-0000131B0000}"/>
    <cellStyle name="Normal 5 4 3 3 2 2" xfId="7394" xr:uid="{00000000-0005-0000-0000-0000141B0000}"/>
    <cellStyle name="Normal 5 4 3 3 2 2 2" xfId="15823" xr:uid="{532F56DA-40F2-4646-A3B5-3F0E4C969F6B}"/>
    <cellStyle name="Normal 5 4 3 3 2 3" xfId="11605" xr:uid="{4A632314-483E-4742-A7AE-753CDB1057BC}"/>
    <cellStyle name="Normal 5 4 3 3 3" xfId="5249" xr:uid="{00000000-0005-0000-0000-0000151B0000}"/>
    <cellStyle name="Normal 5 4 3 3 3 2" xfId="13678" xr:uid="{B4E6A41F-2140-4D73-9239-6749D8BC7654}"/>
    <cellStyle name="Normal 5 4 3 3 4" xfId="9460" xr:uid="{3DE0DDF1-91A2-424D-AC09-D86F4AB93F39}"/>
    <cellStyle name="Normal 5 4 3 4" xfId="1353" xr:uid="{00000000-0005-0000-0000-0000161B0000}"/>
    <cellStyle name="Normal 5 4 3 4 2" xfId="3583" xr:uid="{00000000-0005-0000-0000-0000171B0000}"/>
    <cellStyle name="Normal 5 4 3 4 2 2" xfId="7807" xr:uid="{00000000-0005-0000-0000-0000181B0000}"/>
    <cellStyle name="Normal 5 4 3 4 2 2 2" xfId="16236" xr:uid="{69FB7FD4-159F-4AFB-A9A3-3995548DBB1B}"/>
    <cellStyle name="Normal 5 4 3 4 2 3" xfId="12018" xr:uid="{ACC3A9BA-F182-41D0-8AAF-E03D069A7B07}"/>
    <cellStyle name="Normal 5 4 3 4 3" xfId="5662" xr:uid="{00000000-0005-0000-0000-0000191B0000}"/>
    <cellStyle name="Normal 5 4 3 4 3 2" xfId="14091" xr:uid="{4A398510-7ADA-4E42-B9CF-DB56F61BF816}"/>
    <cellStyle name="Normal 5 4 3 4 4" xfId="9873" xr:uid="{1BFEA905-FB96-4122-9366-47B0411195D2}"/>
    <cellStyle name="Normal 5 4 3 5" xfId="1766" xr:uid="{00000000-0005-0000-0000-00001A1B0000}"/>
    <cellStyle name="Normal 5 4 3 5 2" xfId="3996" xr:uid="{00000000-0005-0000-0000-00001B1B0000}"/>
    <cellStyle name="Normal 5 4 3 5 2 2" xfId="8220" xr:uid="{00000000-0005-0000-0000-00001C1B0000}"/>
    <cellStyle name="Normal 5 4 3 5 2 2 2" xfId="16649" xr:uid="{0DE5F941-1213-4D2A-8386-1BAB7EA0DD58}"/>
    <cellStyle name="Normal 5 4 3 5 2 3" xfId="12431" xr:uid="{E74A5DCC-5A2C-4289-B868-76FC24165DA7}"/>
    <cellStyle name="Normal 5 4 3 5 3" xfId="6075" xr:uid="{00000000-0005-0000-0000-00001D1B0000}"/>
    <cellStyle name="Normal 5 4 3 5 3 2" xfId="14504" xr:uid="{6C7CEFC2-725B-4FFD-9923-F1AF99C00736}"/>
    <cellStyle name="Normal 5 4 3 5 4" xfId="10286" xr:uid="{8C3AEB65-F3AA-4E02-A546-1551091DF56D}"/>
    <cellStyle name="Normal 5 4 3 6" xfId="2180" xr:uid="{00000000-0005-0000-0000-00001E1B0000}"/>
    <cellStyle name="Normal 5 4 3 6 2" xfId="4409" xr:uid="{00000000-0005-0000-0000-00001F1B0000}"/>
    <cellStyle name="Normal 5 4 3 6 2 2" xfId="8633" xr:uid="{00000000-0005-0000-0000-0000201B0000}"/>
    <cellStyle name="Normal 5 4 3 6 2 2 2" xfId="17062" xr:uid="{D3BBB710-AE4D-4A5F-A97C-74DD375759F5}"/>
    <cellStyle name="Normal 5 4 3 6 2 3" xfId="12844" xr:uid="{E6A5F00B-4409-49EA-AB4C-389BB0093305}"/>
    <cellStyle name="Normal 5 4 3 6 3" xfId="6488" xr:uid="{00000000-0005-0000-0000-0000211B0000}"/>
    <cellStyle name="Normal 5 4 3 6 3 2" xfId="14917" xr:uid="{51A4A567-DC9B-4DD6-A6C0-8095E931046D}"/>
    <cellStyle name="Normal 5 4 3 6 4" xfId="10699" xr:uid="{8B631153-40DC-459F-AD3A-14B20B80B088}"/>
    <cellStyle name="Normal 5 4 3 7" xfId="2616" xr:uid="{00000000-0005-0000-0000-0000221B0000}"/>
    <cellStyle name="Normal 5 4 3 7 2" xfId="6901" xr:uid="{00000000-0005-0000-0000-0000231B0000}"/>
    <cellStyle name="Normal 5 4 3 7 2 2" xfId="15330" xr:uid="{2DA74287-C287-4AF3-BA95-7BB70F3A12DD}"/>
    <cellStyle name="Normal 5 4 3 7 3" xfId="11112" xr:uid="{2FE9AAC5-3E5C-4BF6-AC98-4891530501BA}"/>
    <cellStyle name="Normal 5 4 3 8" xfId="4836" xr:uid="{00000000-0005-0000-0000-0000241B0000}"/>
    <cellStyle name="Normal 5 4 3 8 2" xfId="13265" xr:uid="{46BD1D77-C085-4BF5-B7ED-3AC1A9797809}"/>
    <cellStyle name="Normal 5 4 3 9" xfId="9047" xr:uid="{C6B542DF-C123-46CF-9FF9-3481211E91E3}"/>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2 2" xfId="15825" xr:uid="{7CAF6895-316D-4BA7-AC62-FD7AF82BC0D9}"/>
    <cellStyle name="Normal 5 4 4 2 2 3" xfId="11607" xr:uid="{CEC0D19E-77D9-41C4-A35E-AEC71C44BBFD}"/>
    <cellStyle name="Normal 5 4 4 2 3" xfId="5251" xr:uid="{00000000-0005-0000-0000-0000291B0000}"/>
    <cellStyle name="Normal 5 4 4 2 3 2" xfId="13680" xr:uid="{69C3D134-9240-4725-8323-DEB5BF81FD5F}"/>
    <cellStyle name="Normal 5 4 4 2 4" xfId="9462" xr:uid="{DF3A28CA-9821-4E45-A762-C67E68FB80EA}"/>
    <cellStyle name="Normal 5 4 4 3" xfId="1355" xr:uid="{00000000-0005-0000-0000-00002A1B0000}"/>
    <cellStyle name="Normal 5 4 4 3 2" xfId="3585" xr:uid="{00000000-0005-0000-0000-00002B1B0000}"/>
    <cellStyle name="Normal 5 4 4 3 2 2" xfId="7809" xr:uid="{00000000-0005-0000-0000-00002C1B0000}"/>
    <cellStyle name="Normal 5 4 4 3 2 2 2" xfId="16238" xr:uid="{4BC94603-9DED-4D91-8F0C-1955576F04A9}"/>
    <cellStyle name="Normal 5 4 4 3 2 3" xfId="12020" xr:uid="{B135BC08-705F-4FA4-A590-6A24B5B11FB7}"/>
    <cellStyle name="Normal 5 4 4 3 3" xfId="5664" xr:uid="{00000000-0005-0000-0000-00002D1B0000}"/>
    <cellStyle name="Normal 5 4 4 3 3 2" xfId="14093" xr:uid="{DC44BC08-447B-432B-A746-93CAB1BE263F}"/>
    <cellStyle name="Normal 5 4 4 3 4" xfId="9875" xr:uid="{7997FFD3-B228-47C6-ACCD-F28429BDAAB0}"/>
    <cellStyle name="Normal 5 4 4 4" xfId="1768" xr:uid="{00000000-0005-0000-0000-00002E1B0000}"/>
    <cellStyle name="Normal 5 4 4 4 2" xfId="3998" xr:uid="{00000000-0005-0000-0000-00002F1B0000}"/>
    <cellStyle name="Normal 5 4 4 4 2 2" xfId="8222" xr:uid="{00000000-0005-0000-0000-0000301B0000}"/>
    <cellStyle name="Normal 5 4 4 4 2 2 2" xfId="16651" xr:uid="{EE965322-0298-45DD-B680-3EB05D667AAD}"/>
    <cellStyle name="Normal 5 4 4 4 2 3" xfId="12433" xr:uid="{5CAD3B8C-5860-40C2-90F5-321950D7B817}"/>
    <cellStyle name="Normal 5 4 4 4 3" xfId="6077" xr:uid="{00000000-0005-0000-0000-0000311B0000}"/>
    <cellStyle name="Normal 5 4 4 4 3 2" xfId="14506" xr:uid="{F4738D4B-11D0-43B8-8785-F9C279B030A5}"/>
    <cellStyle name="Normal 5 4 4 4 4" xfId="10288" xr:uid="{AB5B2E1D-ACC4-4A2B-9133-4EBAF04C2DCE}"/>
    <cellStyle name="Normal 5 4 4 5" xfId="2182" xr:uid="{00000000-0005-0000-0000-0000321B0000}"/>
    <cellStyle name="Normal 5 4 4 5 2" xfId="4411" xr:uid="{00000000-0005-0000-0000-0000331B0000}"/>
    <cellStyle name="Normal 5 4 4 5 2 2" xfId="8635" xr:uid="{00000000-0005-0000-0000-0000341B0000}"/>
    <cellStyle name="Normal 5 4 4 5 2 2 2" xfId="17064" xr:uid="{30837C8B-57CE-4240-AAC7-B869176B5845}"/>
    <cellStyle name="Normal 5 4 4 5 2 3" xfId="12846" xr:uid="{884435C7-ECCF-4AF6-864F-716C5B37DFFF}"/>
    <cellStyle name="Normal 5 4 4 5 3" xfId="6490" xr:uid="{00000000-0005-0000-0000-0000351B0000}"/>
    <cellStyle name="Normal 5 4 4 5 3 2" xfId="14919" xr:uid="{F80C8EAF-EA21-40F4-A3A8-9E1EE05F1685}"/>
    <cellStyle name="Normal 5 4 4 5 4" xfId="10701" xr:uid="{D3FB1C9D-CB2B-4749-8BCD-D94BF89EB0A3}"/>
    <cellStyle name="Normal 5 4 4 6" xfId="2618" xr:uid="{00000000-0005-0000-0000-0000361B0000}"/>
    <cellStyle name="Normal 5 4 4 6 2" xfId="6903" xr:uid="{00000000-0005-0000-0000-0000371B0000}"/>
    <cellStyle name="Normal 5 4 4 6 2 2" xfId="15332" xr:uid="{0BE98A69-53AF-4F67-AA9B-9E87EA76EF21}"/>
    <cellStyle name="Normal 5 4 4 6 3" xfId="11114" xr:uid="{16774815-994C-42CE-B808-BF911B9D89CF}"/>
    <cellStyle name="Normal 5 4 4 7" xfId="4838" xr:uid="{00000000-0005-0000-0000-0000381B0000}"/>
    <cellStyle name="Normal 5 4 4 7 2" xfId="13267" xr:uid="{8D2A023E-0761-4978-A724-15646FFD0BF1}"/>
    <cellStyle name="Normal 5 4 4 8" xfId="9049" xr:uid="{00976D27-20AA-4BE6-A3D7-5763468C2D50}"/>
    <cellStyle name="Normal 5 4 5" xfId="931" xr:uid="{00000000-0005-0000-0000-0000391B0000}"/>
    <cellStyle name="Normal 5 4 5 2" xfId="3165" xr:uid="{00000000-0005-0000-0000-00003A1B0000}"/>
    <cellStyle name="Normal 5 4 5 2 2" xfId="7389" xr:uid="{00000000-0005-0000-0000-00003B1B0000}"/>
    <cellStyle name="Normal 5 4 5 2 2 2" xfId="15818" xr:uid="{3F75035F-80CA-438E-9148-3FD918B1E580}"/>
    <cellStyle name="Normal 5 4 5 2 3" xfId="11600" xr:uid="{C1FA2739-B986-4A9C-BFF0-D1BC91530C4D}"/>
    <cellStyle name="Normal 5 4 5 3" xfId="5244" xr:uid="{00000000-0005-0000-0000-00003C1B0000}"/>
    <cellStyle name="Normal 5 4 5 3 2" xfId="13673" xr:uid="{5750E719-1595-4876-9DB1-49D26CAB474A}"/>
    <cellStyle name="Normal 5 4 5 4" xfId="9455" xr:uid="{59A3CF5C-472C-4CF9-A01B-F98CAA054E58}"/>
    <cellStyle name="Normal 5 4 6" xfId="1348" xr:uid="{00000000-0005-0000-0000-00003D1B0000}"/>
    <cellStyle name="Normal 5 4 6 2" xfId="3578" xr:uid="{00000000-0005-0000-0000-00003E1B0000}"/>
    <cellStyle name="Normal 5 4 6 2 2" xfId="7802" xr:uid="{00000000-0005-0000-0000-00003F1B0000}"/>
    <cellStyle name="Normal 5 4 6 2 2 2" xfId="16231" xr:uid="{1C730B64-9832-4A0A-A40E-725B3988D27F}"/>
    <cellStyle name="Normal 5 4 6 2 3" xfId="12013" xr:uid="{7EE7D7D1-4025-4CFE-8C90-B19FC6A9791F}"/>
    <cellStyle name="Normal 5 4 6 3" xfId="5657" xr:uid="{00000000-0005-0000-0000-0000401B0000}"/>
    <cellStyle name="Normal 5 4 6 3 2" xfId="14086" xr:uid="{7A3C696E-72EC-484B-B53C-8989218AD97F}"/>
    <cellStyle name="Normal 5 4 6 4" xfId="9868" xr:uid="{1E2C73DD-CC59-4963-860E-CE64EE12F9A4}"/>
    <cellStyle name="Normal 5 4 7" xfId="1761" xr:uid="{00000000-0005-0000-0000-0000411B0000}"/>
    <cellStyle name="Normal 5 4 7 2" xfId="3991" xr:uid="{00000000-0005-0000-0000-0000421B0000}"/>
    <cellStyle name="Normal 5 4 7 2 2" xfId="8215" xr:uid="{00000000-0005-0000-0000-0000431B0000}"/>
    <cellStyle name="Normal 5 4 7 2 2 2" xfId="16644" xr:uid="{05981A49-5F3D-4EBB-B094-8ED7A673F0A7}"/>
    <cellStyle name="Normal 5 4 7 2 3" xfId="12426" xr:uid="{70633785-AABC-4980-9325-978E376965B0}"/>
    <cellStyle name="Normal 5 4 7 3" xfId="6070" xr:uid="{00000000-0005-0000-0000-0000441B0000}"/>
    <cellStyle name="Normal 5 4 7 3 2" xfId="14499" xr:uid="{8AD223AE-62A6-4ABC-92AD-6D077E5963A8}"/>
    <cellStyle name="Normal 5 4 7 4" xfId="10281" xr:uid="{4560ED86-BE1C-45B3-9944-667BD36AF960}"/>
    <cellStyle name="Normal 5 4 8" xfId="2175" xr:uid="{00000000-0005-0000-0000-0000451B0000}"/>
    <cellStyle name="Normal 5 4 8 2" xfId="4404" xr:uid="{00000000-0005-0000-0000-0000461B0000}"/>
    <cellStyle name="Normal 5 4 8 2 2" xfId="8628" xr:uid="{00000000-0005-0000-0000-0000471B0000}"/>
    <cellStyle name="Normal 5 4 8 2 2 2" xfId="17057" xr:uid="{2E1B6954-E241-4C95-9C51-B2921D4AC5F5}"/>
    <cellStyle name="Normal 5 4 8 2 3" xfId="12839" xr:uid="{7FF99F56-8260-4BC2-B2C4-A5FEA2A27A2B}"/>
    <cellStyle name="Normal 5 4 8 3" xfId="6483" xr:uid="{00000000-0005-0000-0000-0000481B0000}"/>
    <cellStyle name="Normal 5 4 8 3 2" xfId="14912" xr:uid="{3630191F-AC16-4B77-8D11-5BE2ACEF6F9A}"/>
    <cellStyle name="Normal 5 4 8 4" xfId="10694" xr:uid="{AA573B9E-063D-45C0-B32E-387D99195CB4}"/>
    <cellStyle name="Normal 5 4 9" xfId="2611" xr:uid="{00000000-0005-0000-0000-0000491B0000}"/>
    <cellStyle name="Normal 5 4 9 2" xfId="6896" xr:uid="{00000000-0005-0000-0000-00004A1B0000}"/>
    <cellStyle name="Normal 5 4 9 2 2" xfId="15325" xr:uid="{3FF01958-FD2B-40D3-A776-2B1DBCDBF9CD}"/>
    <cellStyle name="Normal 5 4 9 3" xfId="11107" xr:uid="{B335A57E-08E2-4309-8325-C5235329E58D}"/>
    <cellStyle name="Normal 5 5" xfId="464" xr:uid="{00000000-0005-0000-0000-00004B1B0000}"/>
    <cellStyle name="Normal 5 5 10" xfId="9050" xr:uid="{7C24C6F8-39F1-4EB0-94F6-A719DB0839BE}"/>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2 2" xfId="15828" xr:uid="{76D46700-E837-4ED1-A327-A32C43DAE74F}"/>
    <cellStyle name="Normal 5 5 2 2 2 2 3" xfId="11610" xr:uid="{8D0415BF-E3FB-4B40-AC11-58C88E031388}"/>
    <cellStyle name="Normal 5 5 2 2 2 3" xfId="5254" xr:uid="{00000000-0005-0000-0000-0000511B0000}"/>
    <cellStyle name="Normal 5 5 2 2 2 3 2" xfId="13683" xr:uid="{59D39A58-30A9-4368-A59A-E4904354919F}"/>
    <cellStyle name="Normal 5 5 2 2 2 4" xfId="9465" xr:uid="{2B7AA647-A909-4FFD-B679-ED2CDD168FDD}"/>
    <cellStyle name="Normal 5 5 2 2 3" xfId="1358" xr:uid="{00000000-0005-0000-0000-0000521B0000}"/>
    <cellStyle name="Normal 5 5 2 2 3 2" xfId="3588" xr:uid="{00000000-0005-0000-0000-0000531B0000}"/>
    <cellStyle name="Normal 5 5 2 2 3 2 2" xfId="7812" xr:uid="{00000000-0005-0000-0000-0000541B0000}"/>
    <cellStyle name="Normal 5 5 2 2 3 2 2 2" xfId="16241" xr:uid="{11994B2A-F10D-4EBD-9294-624DB37CD8A8}"/>
    <cellStyle name="Normal 5 5 2 2 3 2 3" xfId="12023" xr:uid="{CFA8E196-9276-42F6-9421-5FDCF9251D4E}"/>
    <cellStyle name="Normal 5 5 2 2 3 3" xfId="5667" xr:uid="{00000000-0005-0000-0000-0000551B0000}"/>
    <cellStyle name="Normal 5 5 2 2 3 3 2" xfId="14096" xr:uid="{D2523C41-8885-49E3-98B6-A20449529BE4}"/>
    <cellStyle name="Normal 5 5 2 2 3 4" xfId="9878" xr:uid="{646E29EC-6328-42F3-8919-BF1A7D6F0DA7}"/>
    <cellStyle name="Normal 5 5 2 2 4" xfId="1771" xr:uid="{00000000-0005-0000-0000-0000561B0000}"/>
    <cellStyle name="Normal 5 5 2 2 4 2" xfId="4001" xr:uid="{00000000-0005-0000-0000-0000571B0000}"/>
    <cellStyle name="Normal 5 5 2 2 4 2 2" xfId="8225" xr:uid="{00000000-0005-0000-0000-0000581B0000}"/>
    <cellStyle name="Normal 5 5 2 2 4 2 2 2" xfId="16654" xr:uid="{F24DA564-D3AA-4AF5-8180-B7929687875E}"/>
    <cellStyle name="Normal 5 5 2 2 4 2 3" xfId="12436" xr:uid="{8BF0ECC2-82A6-417D-931F-491E9681E494}"/>
    <cellStyle name="Normal 5 5 2 2 4 3" xfId="6080" xr:uid="{00000000-0005-0000-0000-0000591B0000}"/>
    <cellStyle name="Normal 5 5 2 2 4 3 2" xfId="14509" xr:uid="{C938D6F0-721A-4046-A397-730AE91287F8}"/>
    <cellStyle name="Normal 5 5 2 2 4 4" xfId="10291" xr:uid="{7492A609-F25F-4FF6-99B6-AB1A2CAAFF2E}"/>
    <cellStyle name="Normal 5 5 2 2 5" xfId="2185" xr:uid="{00000000-0005-0000-0000-00005A1B0000}"/>
    <cellStyle name="Normal 5 5 2 2 5 2" xfId="4414" xr:uid="{00000000-0005-0000-0000-00005B1B0000}"/>
    <cellStyle name="Normal 5 5 2 2 5 2 2" xfId="8638" xr:uid="{00000000-0005-0000-0000-00005C1B0000}"/>
    <cellStyle name="Normal 5 5 2 2 5 2 2 2" xfId="17067" xr:uid="{E1F455BC-43C5-44B7-802A-FF480F0753D4}"/>
    <cellStyle name="Normal 5 5 2 2 5 2 3" xfId="12849" xr:uid="{A0BEEFE9-970C-48DB-BDB4-6D177B4537D6}"/>
    <cellStyle name="Normal 5 5 2 2 5 3" xfId="6493" xr:uid="{00000000-0005-0000-0000-00005D1B0000}"/>
    <cellStyle name="Normal 5 5 2 2 5 3 2" xfId="14922" xr:uid="{1C611E22-5C7C-4601-B621-14A54B888BB3}"/>
    <cellStyle name="Normal 5 5 2 2 5 4" xfId="10704" xr:uid="{66B0EE57-F4A6-46F8-813A-CC323C933E40}"/>
    <cellStyle name="Normal 5 5 2 2 6" xfId="2621" xr:uid="{00000000-0005-0000-0000-00005E1B0000}"/>
    <cellStyle name="Normal 5 5 2 2 6 2" xfId="6906" xr:uid="{00000000-0005-0000-0000-00005F1B0000}"/>
    <cellStyle name="Normal 5 5 2 2 6 2 2" xfId="15335" xr:uid="{527A0202-728D-4B6C-A9AA-4980959663E4}"/>
    <cellStyle name="Normal 5 5 2 2 6 3" xfId="11117" xr:uid="{B7F7A8CF-4942-495B-94C2-F121F8707A6C}"/>
    <cellStyle name="Normal 5 5 2 2 7" xfId="4841" xr:uid="{00000000-0005-0000-0000-0000601B0000}"/>
    <cellStyle name="Normal 5 5 2 2 7 2" xfId="13270" xr:uid="{BA68A6F8-DCFC-48A4-B4E3-E469839FF28A}"/>
    <cellStyle name="Normal 5 5 2 2 8" xfId="9052" xr:uid="{E08476CA-4709-41A2-9492-2B63B35981F1}"/>
    <cellStyle name="Normal 5 5 2 3" xfId="940" xr:uid="{00000000-0005-0000-0000-0000611B0000}"/>
    <cellStyle name="Normal 5 5 2 3 2" xfId="3174" xr:uid="{00000000-0005-0000-0000-0000621B0000}"/>
    <cellStyle name="Normal 5 5 2 3 2 2" xfId="7398" xr:uid="{00000000-0005-0000-0000-0000631B0000}"/>
    <cellStyle name="Normal 5 5 2 3 2 2 2" xfId="15827" xr:uid="{D1110CF8-9850-4839-99D1-FD212809BB53}"/>
    <cellStyle name="Normal 5 5 2 3 2 3" xfId="11609" xr:uid="{82BFEF0C-98AA-4C5D-A8CF-33E1343A72A2}"/>
    <cellStyle name="Normal 5 5 2 3 3" xfId="5253" xr:uid="{00000000-0005-0000-0000-0000641B0000}"/>
    <cellStyle name="Normal 5 5 2 3 3 2" xfId="13682" xr:uid="{763A7B81-25B4-4397-82FF-A2621CF9DF88}"/>
    <cellStyle name="Normal 5 5 2 3 4" xfId="9464" xr:uid="{AC2B3F01-5456-432D-9DA2-B99EC80880BE}"/>
    <cellStyle name="Normal 5 5 2 4" xfId="1357" xr:uid="{00000000-0005-0000-0000-0000651B0000}"/>
    <cellStyle name="Normal 5 5 2 4 2" xfId="3587" xr:uid="{00000000-0005-0000-0000-0000661B0000}"/>
    <cellStyle name="Normal 5 5 2 4 2 2" xfId="7811" xr:uid="{00000000-0005-0000-0000-0000671B0000}"/>
    <cellStyle name="Normal 5 5 2 4 2 2 2" xfId="16240" xr:uid="{7C4BEEC4-7A11-4F55-B4DD-EDB6666DC7B1}"/>
    <cellStyle name="Normal 5 5 2 4 2 3" xfId="12022" xr:uid="{AAECA230-2BC2-4A7B-A805-41C3249FCFDA}"/>
    <cellStyle name="Normal 5 5 2 4 3" xfId="5666" xr:uid="{00000000-0005-0000-0000-0000681B0000}"/>
    <cellStyle name="Normal 5 5 2 4 3 2" xfId="14095" xr:uid="{40B74BD5-2011-4063-90B8-92D10D95987D}"/>
    <cellStyle name="Normal 5 5 2 4 4" xfId="9877" xr:uid="{1F7EA673-2D79-41D3-893A-F850C9E60705}"/>
    <cellStyle name="Normal 5 5 2 5" xfId="1770" xr:uid="{00000000-0005-0000-0000-0000691B0000}"/>
    <cellStyle name="Normal 5 5 2 5 2" xfId="4000" xr:uid="{00000000-0005-0000-0000-00006A1B0000}"/>
    <cellStyle name="Normal 5 5 2 5 2 2" xfId="8224" xr:uid="{00000000-0005-0000-0000-00006B1B0000}"/>
    <cellStyle name="Normal 5 5 2 5 2 2 2" xfId="16653" xr:uid="{4F545F58-FDA0-4108-8DFA-EEA9C5C59405}"/>
    <cellStyle name="Normal 5 5 2 5 2 3" xfId="12435" xr:uid="{EACE6CCD-A2B0-4E33-9D5D-310FB1C52C09}"/>
    <cellStyle name="Normal 5 5 2 5 3" xfId="6079" xr:uid="{00000000-0005-0000-0000-00006C1B0000}"/>
    <cellStyle name="Normal 5 5 2 5 3 2" xfId="14508" xr:uid="{1609FD5D-C4E2-44E9-9BFC-FDF697EFF561}"/>
    <cellStyle name="Normal 5 5 2 5 4" xfId="10290" xr:uid="{80E2537C-34AD-4869-AD14-1EB523C4220A}"/>
    <cellStyle name="Normal 5 5 2 6" xfId="2184" xr:uid="{00000000-0005-0000-0000-00006D1B0000}"/>
    <cellStyle name="Normal 5 5 2 6 2" xfId="4413" xr:uid="{00000000-0005-0000-0000-00006E1B0000}"/>
    <cellStyle name="Normal 5 5 2 6 2 2" xfId="8637" xr:uid="{00000000-0005-0000-0000-00006F1B0000}"/>
    <cellStyle name="Normal 5 5 2 6 2 2 2" xfId="17066" xr:uid="{2A83550F-1E02-4D76-BC90-FD4E05525A76}"/>
    <cellStyle name="Normal 5 5 2 6 2 3" xfId="12848" xr:uid="{7C8B36C7-5C03-4703-94E0-A38BF82C346D}"/>
    <cellStyle name="Normal 5 5 2 6 3" xfId="6492" xr:uid="{00000000-0005-0000-0000-0000701B0000}"/>
    <cellStyle name="Normal 5 5 2 6 3 2" xfId="14921" xr:uid="{39A07AD6-F40D-4B60-BFCF-EEE72BE67C49}"/>
    <cellStyle name="Normal 5 5 2 6 4" xfId="10703" xr:uid="{9AFAF8C2-B6AF-4E82-BEA5-75E0B935CC2D}"/>
    <cellStyle name="Normal 5 5 2 7" xfId="2620" xr:uid="{00000000-0005-0000-0000-0000711B0000}"/>
    <cellStyle name="Normal 5 5 2 7 2" xfId="6905" xr:uid="{00000000-0005-0000-0000-0000721B0000}"/>
    <cellStyle name="Normal 5 5 2 7 2 2" xfId="15334" xr:uid="{E945C89D-42FB-4F4C-B2D5-A3F92E050CCD}"/>
    <cellStyle name="Normal 5 5 2 7 3" xfId="11116" xr:uid="{55056D54-C4E6-4B81-B6FC-B4A3C0E2C8E9}"/>
    <cellStyle name="Normal 5 5 2 8" xfId="4840" xr:uid="{00000000-0005-0000-0000-0000731B0000}"/>
    <cellStyle name="Normal 5 5 2 8 2" xfId="13269" xr:uid="{7571F8C2-9D6E-4A0F-B6BD-659B6B3D2477}"/>
    <cellStyle name="Normal 5 5 2 9" xfId="9051" xr:uid="{ECC8BF2E-3DF2-4185-8503-EDCF645585C1}"/>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2 2" xfId="15829" xr:uid="{CDB8F0AE-6BE0-4389-AC59-4CE60AFE460F}"/>
    <cellStyle name="Normal 5 5 3 2 2 3" xfId="11611" xr:uid="{03125348-7AAB-475F-8114-BFC8A3B4EB6B}"/>
    <cellStyle name="Normal 5 5 3 2 3" xfId="5255" xr:uid="{00000000-0005-0000-0000-0000781B0000}"/>
    <cellStyle name="Normal 5 5 3 2 3 2" xfId="13684" xr:uid="{1261CF76-88F3-47D7-89B5-7D31451195BA}"/>
    <cellStyle name="Normal 5 5 3 2 4" xfId="9466" xr:uid="{02DEF3DC-9522-4DEA-AC2C-3DD761679593}"/>
    <cellStyle name="Normal 5 5 3 3" xfId="1359" xr:uid="{00000000-0005-0000-0000-0000791B0000}"/>
    <cellStyle name="Normal 5 5 3 3 2" xfId="3589" xr:uid="{00000000-0005-0000-0000-00007A1B0000}"/>
    <cellStyle name="Normal 5 5 3 3 2 2" xfId="7813" xr:uid="{00000000-0005-0000-0000-00007B1B0000}"/>
    <cellStyle name="Normal 5 5 3 3 2 2 2" xfId="16242" xr:uid="{F1AD7C19-B6D1-479E-80D3-B3561831D5F3}"/>
    <cellStyle name="Normal 5 5 3 3 2 3" xfId="12024" xr:uid="{C308F32A-D9D2-4EF3-918B-E56FB6AACD20}"/>
    <cellStyle name="Normal 5 5 3 3 3" xfId="5668" xr:uid="{00000000-0005-0000-0000-00007C1B0000}"/>
    <cellStyle name="Normal 5 5 3 3 3 2" xfId="14097" xr:uid="{BD7ECF0B-918B-47B4-AE20-F670BF396D56}"/>
    <cellStyle name="Normal 5 5 3 3 4" xfId="9879" xr:uid="{E53E315D-E135-44F0-A4AA-32829D2C56E9}"/>
    <cellStyle name="Normal 5 5 3 4" xfId="1772" xr:uid="{00000000-0005-0000-0000-00007D1B0000}"/>
    <cellStyle name="Normal 5 5 3 4 2" xfId="4002" xr:uid="{00000000-0005-0000-0000-00007E1B0000}"/>
    <cellStyle name="Normal 5 5 3 4 2 2" xfId="8226" xr:uid="{00000000-0005-0000-0000-00007F1B0000}"/>
    <cellStyle name="Normal 5 5 3 4 2 2 2" xfId="16655" xr:uid="{16BB590C-0F22-4698-9CC1-ABBDED85CC7E}"/>
    <cellStyle name="Normal 5 5 3 4 2 3" xfId="12437" xr:uid="{7CEFF023-7E8C-4BC8-A973-B5E4A0E79B51}"/>
    <cellStyle name="Normal 5 5 3 4 3" xfId="6081" xr:uid="{00000000-0005-0000-0000-0000801B0000}"/>
    <cellStyle name="Normal 5 5 3 4 3 2" xfId="14510" xr:uid="{5320A5C1-326C-42E9-A50E-0DAAFAA409FC}"/>
    <cellStyle name="Normal 5 5 3 4 4" xfId="10292" xr:uid="{112DD4D0-3A7D-4CDA-B48C-D38B9425220E}"/>
    <cellStyle name="Normal 5 5 3 5" xfId="2186" xr:uid="{00000000-0005-0000-0000-0000811B0000}"/>
    <cellStyle name="Normal 5 5 3 5 2" xfId="4415" xr:uid="{00000000-0005-0000-0000-0000821B0000}"/>
    <cellStyle name="Normal 5 5 3 5 2 2" xfId="8639" xr:uid="{00000000-0005-0000-0000-0000831B0000}"/>
    <cellStyle name="Normal 5 5 3 5 2 2 2" xfId="17068" xr:uid="{5A13E608-6B2D-4E14-85F3-6B222FC252F8}"/>
    <cellStyle name="Normal 5 5 3 5 2 3" xfId="12850" xr:uid="{C670E188-3656-4D25-9DBC-194DCFC01FA5}"/>
    <cellStyle name="Normal 5 5 3 5 3" xfId="6494" xr:uid="{00000000-0005-0000-0000-0000841B0000}"/>
    <cellStyle name="Normal 5 5 3 5 3 2" xfId="14923" xr:uid="{AD145E15-1D74-4B0F-AD7D-5D6B9653F79C}"/>
    <cellStyle name="Normal 5 5 3 5 4" xfId="10705" xr:uid="{D1858A82-F96B-491F-8294-996692F76E1B}"/>
    <cellStyle name="Normal 5 5 3 6" xfId="2622" xr:uid="{00000000-0005-0000-0000-0000851B0000}"/>
    <cellStyle name="Normal 5 5 3 6 2" xfId="6907" xr:uid="{00000000-0005-0000-0000-0000861B0000}"/>
    <cellStyle name="Normal 5 5 3 6 2 2" xfId="15336" xr:uid="{45E22625-005A-474D-8F5E-71BB4A3D3A8F}"/>
    <cellStyle name="Normal 5 5 3 6 3" xfId="11118" xr:uid="{B883088D-7704-41C6-9D1B-83BFAC37B09D}"/>
    <cellStyle name="Normal 5 5 3 7" xfId="4842" xr:uid="{00000000-0005-0000-0000-0000871B0000}"/>
    <cellStyle name="Normal 5 5 3 7 2" xfId="13271" xr:uid="{3DD381C6-E094-42E2-A2BC-D977FCFE6715}"/>
    <cellStyle name="Normal 5 5 3 8" xfId="9053" xr:uid="{BC10B530-E0F6-4411-BEFC-1292F6DECD01}"/>
    <cellStyle name="Normal 5 5 4" xfId="939" xr:uid="{00000000-0005-0000-0000-0000881B0000}"/>
    <cellStyle name="Normal 5 5 4 2" xfId="3173" xr:uid="{00000000-0005-0000-0000-0000891B0000}"/>
    <cellStyle name="Normal 5 5 4 2 2" xfId="7397" xr:uid="{00000000-0005-0000-0000-00008A1B0000}"/>
    <cellStyle name="Normal 5 5 4 2 2 2" xfId="15826" xr:uid="{A63C4921-9FDB-4D30-B463-7678C2F37817}"/>
    <cellStyle name="Normal 5 5 4 2 3" xfId="11608" xr:uid="{4DC44451-8434-442B-8E39-8D64EB0B5A8C}"/>
    <cellStyle name="Normal 5 5 4 3" xfId="5252" xr:uid="{00000000-0005-0000-0000-00008B1B0000}"/>
    <cellStyle name="Normal 5 5 4 3 2" xfId="13681" xr:uid="{6DD2E38A-CEC8-47F1-90B8-566802C4D2ED}"/>
    <cellStyle name="Normal 5 5 4 4" xfId="9463" xr:uid="{6A62B377-57FB-429F-8BFA-65659972FA1C}"/>
    <cellStyle name="Normal 5 5 5" xfId="1356" xr:uid="{00000000-0005-0000-0000-00008C1B0000}"/>
    <cellStyle name="Normal 5 5 5 2" xfId="3586" xr:uid="{00000000-0005-0000-0000-00008D1B0000}"/>
    <cellStyle name="Normal 5 5 5 2 2" xfId="7810" xr:uid="{00000000-0005-0000-0000-00008E1B0000}"/>
    <cellStyle name="Normal 5 5 5 2 2 2" xfId="16239" xr:uid="{2841D9D7-6A48-41D6-8B05-E1EF1E5583B7}"/>
    <cellStyle name="Normal 5 5 5 2 3" xfId="12021" xr:uid="{2A6B7572-86E3-433F-8C25-89C556D8F231}"/>
    <cellStyle name="Normal 5 5 5 3" xfId="5665" xr:uid="{00000000-0005-0000-0000-00008F1B0000}"/>
    <cellStyle name="Normal 5 5 5 3 2" xfId="14094" xr:uid="{97AA570E-3600-4937-83DE-65DDC873E64D}"/>
    <cellStyle name="Normal 5 5 5 4" xfId="9876" xr:uid="{0D599E1B-E0B6-42B1-9BDD-1BF85C832C02}"/>
    <cellStyle name="Normal 5 5 6" xfId="1769" xr:uid="{00000000-0005-0000-0000-0000901B0000}"/>
    <cellStyle name="Normal 5 5 6 2" xfId="3999" xr:uid="{00000000-0005-0000-0000-0000911B0000}"/>
    <cellStyle name="Normal 5 5 6 2 2" xfId="8223" xr:uid="{00000000-0005-0000-0000-0000921B0000}"/>
    <cellStyle name="Normal 5 5 6 2 2 2" xfId="16652" xr:uid="{293699AE-3610-4B9F-9849-135B2FD54FB4}"/>
    <cellStyle name="Normal 5 5 6 2 3" xfId="12434" xr:uid="{82BAB0F3-5F99-4E4E-8955-EC77196DE090}"/>
    <cellStyle name="Normal 5 5 6 3" xfId="6078" xr:uid="{00000000-0005-0000-0000-0000931B0000}"/>
    <cellStyle name="Normal 5 5 6 3 2" xfId="14507" xr:uid="{7F73967C-70E9-4369-ACF6-B86ECA729363}"/>
    <cellStyle name="Normal 5 5 6 4" xfId="10289" xr:uid="{74663AFC-726A-43A2-90FB-34A609B6D9BF}"/>
    <cellStyle name="Normal 5 5 7" xfId="2183" xr:uid="{00000000-0005-0000-0000-0000941B0000}"/>
    <cellStyle name="Normal 5 5 7 2" xfId="4412" xr:uid="{00000000-0005-0000-0000-0000951B0000}"/>
    <cellStyle name="Normal 5 5 7 2 2" xfId="8636" xr:uid="{00000000-0005-0000-0000-0000961B0000}"/>
    <cellStyle name="Normal 5 5 7 2 2 2" xfId="17065" xr:uid="{36C91048-4B4A-4AC2-9447-6B85D42203A4}"/>
    <cellStyle name="Normal 5 5 7 2 3" xfId="12847" xr:uid="{5C95F3F0-022C-4D2D-8633-85D97B36FD07}"/>
    <cellStyle name="Normal 5 5 7 3" xfId="6491" xr:uid="{00000000-0005-0000-0000-0000971B0000}"/>
    <cellStyle name="Normal 5 5 7 3 2" xfId="14920" xr:uid="{9717DABC-09A0-4075-AFDE-0DF318A48DF5}"/>
    <cellStyle name="Normal 5 5 7 4" xfId="10702" xr:uid="{DC6E0B89-C201-4F1E-88DA-B2B413E87E04}"/>
    <cellStyle name="Normal 5 5 8" xfId="2619" xr:uid="{00000000-0005-0000-0000-0000981B0000}"/>
    <cellStyle name="Normal 5 5 8 2" xfId="6904" xr:uid="{00000000-0005-0000-0000-0000991B0000}"/>
    <cellStyle name="Normal 5 5 8 2 2" xfId="15333" xr:uid="{36BBB767-07B7-4979-AA4C-093DB3D4BDC7}"/>
    <cellStyle name="Normal 5 5 8 3" xfId="11115" xr:uid="{1460FC65-C431-435D-9565-6AD39E40DD09}"/>
    <cellStyle name="Normal 5 5 9" xfId="4839" xr:uid="{00000000-0005-0000-0000-00009A1B0000}"/>
    <cellStyle name="Normal 5 5 9 2" xfId="13268" xr:uid="{A337E44A-E0E0-4823-A757-EC5BF6FD728E}"/>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2 2" xfId="15831" xr:uid="{A01B41DD-5E4A-4E5A-821C-D689271E9E55}"/>
    <cellStyle name="Normal 5 6 2 2 2 3" xfId="11613" xr:uid="{4090B291-5E91-496B-8BE5-49E96DE23798}"/>
    <cellStyle name="Normal 5 6 2 2 3" xfId="5257" xr:uid="{00000000-0005-0000-0000-0000A01B0000}"/>
    <cellStyle name="Normal 5 6 2 2 3 2" xfId="13686" xr:uid="{F7B14580-1CA7-42A7-A100-22B87835EE05}"/>
    <cellStyle name="Normal 5 6 2 2 4" xfId="9468" xr:uid="{A21D9C4C-D65C-4439-AF75-6F73EDCB22A9}"/>
    <cellStyle name="Normal 5 6 2 3" xfId="1361" xr:uid="{00000000-0005-0000-0000-0000A11B0000}"/>
    <cellStyle name="Normal 5 6 2 3 2" xfId="3591" xr:uid="{00000000-0005-0000-0000-0000A21B0000}"/>
    <cellStyle name="Normal 5 6 2 3 2 2" xfId="7815" xr:uid="{00000000-0005-0000-0000-0000A31B0000}"/>
    <cellStyle name="Normal 5 6 2 3 2 2 2" xfId="16244" xr:uid="{551AF0FE-734E-44F3-933C-822B4B332685}"/>
    <cellStyle name="Normal 5 6 2 3 2 3" xfId="12026" xr:uid="{2E5DA602-39A2-4104-9C6D-2890CDFB6988}"/>
    <cellStyle name="Normal 5 6 2 3 3" xfId="5670" xr:uid="{00000000-0005-0000-0000-0000A41B0000}"/>
    <cellStyle name="Normal 5 6 2 3 3 2" xfId="14099" xr:uid="{F994FFCC-7845-454D-9943-83E9DD09F120}"/>
    <cellStyle name="Normal 5 6 2 3 4" xfId="9881" xr:uid="{2B320BC4-315C-46FC-BF39-C1B64FAE1676}"/>
    <cellStyle name="Normal 5 6 2 4" xfId="1774" xr:uid="{00000000-0005-0000-0000-0000A51B0000}"/>
    <cellStyle name="Normal 5 6 2 4 2" xfId="4004" xr:uid="{00000000-0005-0000-0000-0000A61B0000}"/>
    <cellStyle name="Normal 5 6 2 4 2 2" xfId="8228" xr:uid="{00000000-0005-0000-0000-0000A71B0000}"/>
    <cellStyle name="Normal 5 6 2 4 2 2 2" xfId="16657" xr:uid="{D041C5CD-38CF-41C4-83C6-D50F69DFF28C}"/>
    <cellStyle name="Normal 5 6 2 4 2 3" xfId="12439" xr:uid="{56D5CDF8-4DF1-43FA-AEA8-7FF2DFFEAEA2}"/>
    <cellStyle name="Normal 5 6 2 4 3" xfId="6083" xr:uid="{00000000-0005-0000-0000-0000A81B0000}"/>
    <cellStyle name="Normal 5 6 2 4 3 2" xfId="14512" xr:uid="{63AA4762-8DCA-48D8-BE42-3182DF517DD7}"/>
    <cellStyle name="Normal 5 6 2 4 4" xfId="10294" xr:uid="{B2993048-90BD-415A-9152-C09A6A3FFE54}"/>
    <cellStyle name="Normal 5 6 2 5" xfId="2188" xr:uid="{00000000-0005-0000-0000-0000A91B0000}"/>
    <cellStyle name="Normal 5 6 2 5 2" xfId="4417" xr:uid="{00000000-0005-0000-0000-0000AA1B0000}"/>
    <cellStyle name="Normal 5 6 2 5 2 2" xfId="8641" xr:uid="{00000000-0005-0000-0000-0000AB1B0000}"/>
    <cellStyle name="Normal 5 6 2 5 2 2 2" xfId="17070" xr:uid="{BC22CCF2-1378-45C0-BE87-03301805AC6B}"/>
    <cellStyle name="Normal 5 6 2 5 2 3" xfId="12852" xr:uid="{ED3B1E87-6A10-42DE-8797-7B0D67370A85}"/>
    <cellStyle name="Normal 5 6 2 5 3" xfId="6496" xr:uid="{00000000-0005-0000-0000-0000AC1B0000}"/>
    <cellStyle name="Normal 5 6 2 5 3 2" xfId="14925" xr:uid="{E6781FDA-30B2-496C-8B05-8C04F1C539CC}"/>
    <cellStyle name="Normal 5 6 2 5 4" xfId="10707" xr:uid="{8C2D4C40-2D55-4686-B3D1-E78736942861}"/>
    <cellStyle name="Normal 5 6 2 6" xfId="2624" xr:uid="{00000000-0005-0000-0000-0000AD1B0000}"/>
    <cellStyle name="Normal 5 6 2 6 2" xfId="6909" xr:uid="{00000000-0005-0000-0000-0000AE1B0000}"/>
    <cellStyle name="Normal 5 6 2 6 2 2" xfId="15338" xr:uid="{52189ACB-2F49-4CAA-901D-EE88E3F497EE}"/>
    <cellStyle name="Normal 5 6 2 6 3" xfId="11120" xr:uid="{22E3BFE8-5FC3-4275-99CB-2B47635813CB}"/>
    <cellStyle name="Normal 5 6 2 7" xfId="4844" xr:uid="{00000000-0005-0000-0000-0000AF1B0000}"/>
    <cellStyle name="Normal 5 6 2 7 2" xfId="13273" xr:uid="{0911289E-E60C-4944-A2AC-327E53AFE79A}"/>
    <cellStyle name="Normal 5 6 2 8" xfId="9055" xr:uid="{14D1673A-2B99-4F38-AB18-37A7BAA59765}"/>
    <cellStyle name="Normal 5 6 3" xfId="943" xr:uid="{00000000-0005-0000-0000-0000B01B0000}"/>
    <cellStyle name="Normal 5 6 3 2" xfId="3177" xr:uid="{00000000-0005-0000-0000-0000B11B0000}"/>
    <cellStyle name="Normal 5 6 3 2 2" xfId="7401" xr:uid="{00000000-0005-0000-0000-0000B21B0000}"/>
    <cellStyle name="Normal 5 6 3 2 2 2" xfId="15830" xr:uid="{5C690E8A-48A3-418B-9B9A-B37CB634C4D0}"/>
    <cellStyle name="Normal 5 6 3 2 3" xfId="11612" xr:uid="{D2FEB173-0DD9-4C29-9DFE-DBEE881ED720}"/>
    <cellStyle name="Normal 5 6 3 3" xfId="5256" xr:uid="{00000000-0005-0000-0000-0000B31B0000}"/>
    <cellStyle name="Normal 5 6 3 3 2" xfId="13685" xr:uid="{9A7A6746-61C2-49BC-864C-FD007EAA246A}"/>
    <cellStyle name="Normal 5 6 3 4" xfId="9467" xr:uid="{BE4F303D-A084-4F9D-88DB-CCE45D92244A}"/>
    <cellStyle name="Normal 5 6 4" xfId="1360" xr:uid="{00000000-0005-0000-0000-0000B41B0000}"/>
    <cellStyle name="Normal 5 6 4 2" xfId="3590" xr:uid="{00000000-0005-0000-0000-0000B51B0000}"/>
    <cellStyle name="Normal 5 6 4 2 2" xfId="7814" xr:uid="{00000000-0005-0000-0000-0000B61B0000}"/>
    <cellStyle name="Normal 5 6 4 2 2 2" xfId="16243" xr:uid="{F47AD655-A5FE-40A6-8EA5-3F74FF462E7E}"/>
    <cellStyle name="Normal 5 6 4 2 3" xfId="12025" xr:uid="{E86DCD73-BD5F-4D60-ACD5-D98B9E9ED07F}"/>
    <cellStyle name="Normal 5 6 4 3" xfId="5669" xr:uid="{00000000-0005-0000-0000-0000B71B0000}"/>
    <cellStyle name="Normal 5 6 4 3 2" xfId="14098" xr:uid="{1D12E07C-B591-488F-A3F4-277D0EF2357D}"/>
    <cellStyle name="Normal 5 6 4 4" xfId="9880" xr:uid="{23669842-4D5E-439F-83C1-E42EA5696DEC}"/>
    <cellStyle name="Normal 5 6 5" xfId="1773" xr:uid="{00000000-0005-0000-0000-0000B81B0000}"/>
    <cellStyle name="Normal 5 6 5 2" xfId="4003" xr:uid="{00000000-0005-0000-0000-0000B91B0000}"/>
    <cellStyle name="Normal 5 6 5 2 2" xfId="8227" xr:uid="{00000000-0005-0000-0000-0000BA1B0000}"/>
    <cellStyle name="Normal 5 6 5 2 2 2" xfId="16656" xr:uid="{0AD971B0-201E-4512-8A2C-FD9457921EBD}"/>
    <cellStyle name="Normal 5 6 5 2 3" xfId="12438" xr:uid="{2BA46462-756D-4113-A73F-B4082C8405E6}"/>
    <cellStyle name="Normal 5 6 5 3" xfId="6082" xr:uid="{00000000-0005-0000-0000-0000BB1B0000}"/>
    <cellStyle name="Normal 5 6 5 3 2" xfId="14511" xr:uid="{DBD39AB1-692A-4C64-B7DF-C367383CBB7C}"/>
    <cellStyle name="Normal 5 6 5 4" xfId="10293" xr:uid="{0634E806-20D4-4CA1-A4F6-4C5739DD8150}"/>
    <cellStyle name="Normal 5 6 6" xfId="2187" xr:uid="{00000000-0005-0000-0000-0000BC1B0000}"/>
    <cellStyle name="Normal 5 6 6 2" xfId="4416" xr:uid="{00000000-0005-0000-0000-0000BD1B0000}"/>
    <cellStyle name="Normal 5 6 6 2 2" xfId="8640" xr:uid="{00000000-0005-0000-0000-0000BE1B0000}"/>
    <cellStyle name="Normal 5 6 6 2 2 2" xfId="17069" xr:uid="{4ECE029C-53BD-43F4-82FA-BEB19CD813AD}"/>
    <cellStyle name="Normal 5 6 6 2 3" xfId="12851" xr:uid="{FF78A708-4295-4ED0-8C94-760082AF9573}"/>
    <cellStyle name="Normal 5 6 6 3" xfId="6495" xr:uid="{00000000-0005-0000-0000-0000BF1B0000}"/>
    <cellStyle name="Normal 5 6 6 3 2" xfId="14924" xr:uid="{E1A5BD5B-CC4F-4427-83C8-4D42CC601A8E}"/>
    <cellStyle name="Normal 5 6 6 4" xfId="10706" xr:uid="{D48B54B6-B300-485A-A81C-F982B629C923}"/>
    <cellStyle name="Normal 5 6 7" xfId="2623" xr:uid="{00000000-0005-0000-0000-0000C01B0000}"/>
    <cellStyle name="Normal 5 6 7 2" xfId="6908" xr:uid="{00000000-0005-0000-0000-0000C11B0000}"/>
    <cellStyle name="Normal 5 6 7 2 2" xfId="15337" xr:uid="{846A44DE-0BFD-49A0-91FB-77C4B135DFEA}"/>
    <cellStyle name="Normal 5 6 7 3" xfId="11119" xr:uid="{310DA405-7FAA-4FD2-B080-C06001CF543E}"/>
    <cellStyle name="Normal 5 6 8" xfId="4843" xr:uid="{00000000-0005-0000-0000-0000C21B0000}"/>
    <cellStyle name="Normal 5 6 8 2" xfId="13272" xr:uid="{EF8776BA-9DA0-4C57-AA4F-2AB0AB7282C2}"/>
    <cellStyle name="Normal 5 6 9" xfId="9054" xr:uid="{5B580509-F627-4567-820D-E5436531C74F}"/>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2 2" xfId="15832" xr:uid="{24927BBF-A23F-4B2D-90E5-29A1C3A92010}"/>
    <cellStyle name="Normal 5 7 2 2 3" xfId="11614" xr:uid="{0C6F1A15-DCF1-4E02-81D6-E5B12459614F}"/>
    <cellStyle name="Normal 5 7 2 3" xfId="5258" xr:uid="{00000000-0005-0000-0000-0000C71B0000}"/>
    <cellStyle name="Normal 5 7 2 3 2" xfId="13687" xr:uid="{4F3E3399-975D-480B-AD4A-D9BEE50FBD0F}"/>
    <cellStyle name="Normal 5 7 2 4" xfId="9469" xr:uid="{3127EFFB-1299-4B6C-ADB3-4ED907F4D876}"/>
    <cellStyle name="Normal 5 7 3" xfId="1362" xr:uid="{00000000-0005-0000-0000-0000C81B0000}"/>
    <cellStyle name="Normal 5 7 3 2" xfId="3592" xr:uid="{00000000-0005-0000-0000-0000C91B0000}"/>
    <cellStyle name="Normal 5 7 3 2 2" xfId="7816" xr:uid="{00000000-0005-0000-0000-0000CA1B0000}"/>
    <cellStyle name="Normal 5 7 3 2 2 2" xfId="16245" xr:uid="{46A11621-8042-42C0-869F-61038F3EA0FE}"/>
    <cellStyle name="Normal 5 7 3 2 3" xfId="12027" xr:uid="{1F241057-4430-4470-B013-078EC8065FB9}"/>
    <cellStyle name="Normal 5 7 3 3" xfId="5671" xr:uid="{00000000-0005-0000-0000-0000CB1B0000}"/>
    <cellStyle name="Normal 5 7 3 3 2" xfId="14100" xr:uid="{6EF93F3B-385B-4D23-A059-57C7472007C5}"/>
    <cellStyle name="Normal 5 7 3 4" xfId="9882" xr:uid="{72D06DE0-A661-4264-92DA-59B9D0D8177F}"/>
    <cellStyle name="Normal 5 7 4" xfId="1775" xr:uid="{00000000-0005-0000-0000-0000CC1B0000}"/>
    <cellStyle name="Normal 5 7 4 2" xfId="4005" xr:uid="{00000000-0005-0000-0000-0000CD1B0000}"/>
    <cellStyle name="Normal 5 7 4 2 2" xfId="8229" xr:uid="{00000000-0005-0000-0000-0000CE1B0000}"/>
    <cellStyle name="Normal 5 7 4 2 2 2" xfId="16658" xr:uid="{9FE84759-92E2-4FFF-B483-E1BDA2E81A07}"/>
    <cellStyle name="Normal 5 7 4 2 3" xfId="12440" xr:uid="{7AB327DB-6994-47D5-9EB9-AD52DAAB0591}"/>
    <cellStyle name="Normal 5 7 4 3" xfId="6084" xr:uid="{00000000-0005-0000-0000-0000CF1B0000}"/>
    <cellStyle name="Normal 5 7 4 3 2" xfId="14513" xr:uid="{6262C664-0FB3-4939-A898-52A2991C63E4}"/>
    <cellStyle name="Normal 5 7 4 4" xfId="10295" xr:uid="{1BBFFFDC-7136-4825-9C2F-0A3E27B6ED64}"/>
    <cellStyle name="Normal 5 7 5" xfId="2189" xr:uid="{00000000-0005-0000-0000-0000D01B0000}"/>
    <cellStyle name="Normal 5 7 5 2" xfId="4418" xr:uid="{00000000-0005-0000-0000-0000D11B0000}"/>
    <cellStyle name="Normal 5 7 5 2 2" xfId="8642" xr:uid="{00000000-0005-0000-0000-0000D21B0000}"/>
    <cellStyle name="Normal 5 7 5 2 2 2" xfId="17071" xr:uid="{0FC72A49-FED2-41FD-8C0B-AF63C1E0684A}"/>
    <cellStyle name="Normal 5 7 5 2 3" xfId="12853" xr:uid="{B5F2A272-7255-4F37-B3B1-3FA2D25860A4}"/>
    <cellStyle name="Normal 5 7 5 3" xfId="6497" xr:uid="{00000000-0005-0000-0000-0000D31B0000}"/>
    <cellStyle name="Normal 5 7 5 3 2" xfId="14926" xr:uid="{2A4DD5DA-1F67-4EBA-89D3-868C47536C91}"/>
    <cellStyle name="Normal 5 7 5 4" xfId="10708" xr:uid="{F06374D4-9A60-4C98-A2BB-63BE862E1042}"/>
    <cellStyle name="Normal 5 7 6" xfId="2625" xr:uid="{00000000-0005-0000-0000-0000D41B0000}"/>
    <cellStyle name="Normal 5 7 6 2" xfId="6910" xr:uid="{00000000-0005-0000-0000-0000D51B0000}"/>
    <cellStyle name="Normal 5 7 6 2 2" xfId="15339" xr:uid="{737B6657-291E-4DCD-9BD6-96D0D52A83BF}"/>
    <cellStyle name="Normal 5 7 6 3" xfId="11121" xr:uid="{DA1B5557-98BE-4758-9F02-E5F02B3DF2D2}"/>
    <cellStyle name="Normal 5 7 7" xfId="4845" xr:uid="{00000000-0005-0000-0000-0000D61B0000}"/>
    <cellStyle name="Normal 5 7 7 2" xfId="13274" xr:uid="{03F2CC35-B025-4AC4-B5DD-2F2964867EE2}"/>
    <cellStyle name="Normal 5 7 8" xfId="9056" xr:uid="{CA769DD4-208A-4F25-A229-00DE71D397AA}"/>
    <cellStyle name="Normal 5 8" xfId="881" xr:uid="{00000000-0005-0000-0000-0000D71B0000}"/>
    <cellStyle name="Normal 5 8 2" xfId="3116" xr:uid="{00000000-0005-0000-0000-0000D81B0000}"/>
    <cellStyle name="Normal 5 8 2 2" xfId="7340" xr:uid="{00000000-0005-0000-0000-0000D91B0000}"/>
    <cellStyle name="Normal 5 8 2 2 2" xfId="15769" xr:uid="{21C126BB-E9A6-4E0F-B649-8249CFFDE029}"/>
    <cellStyle name="Normal 5 8 2 3" xfId="11551" xr:uid="{E37A0670-C070-4DD9-9E52-4DA0D3CC2719}"/>
    <cellStyle name="Normal 5 8 3" xfId="5195" xr:uid="{00000000-0005-0000-0000-0000DA1B0000}"/>
    <cellStyle name="Normal 5 8 3 2" xfId="13624" xr:uid="{6DC7D476-AD88-4D81-A768-A2833490DC0B}"/>
    <cellStyle name="Normal 5 8 4" xfId="9406" xr:uid="{AA81DACC-9C6B-45BE-BAD4-458833BEE72D}"/>
    <cellStyle name="Normal 5 9" xfId="1299" xr:uid="{00000000-0005-0000-0000-0000DB1B0000}"/>
    <cellStyle name="Normal 5 9 2" xfId="3529" xr:uid="{00000000-0005-0000-0000-0000DC1B0000}"/>
    <cellStyle name="Normal 5 9 2 2" xfId="7753" xr:uid="{00000000-0005-0000-0000-0000DD1B0000}"/>
    <cellStyle name="Normal 5 9 2 2 2" xfId="16182" xr:uid="{DC7A1CF4-CDB9-4A39-B8CD-E227D76E7C6B}"/>
    <cellStyle name="Normal 5 9 2 3" xfId="11964" xr:uid="{F97E134E-A44E-4C59-B310-F8CA31FC298C}"/>
    <cellStyle name="Normal 5 9 3" xfId="5608" xr:uid="{00000000-0005-0000-0000-0000DE1B0000}"/>
    <cellStyle name="Normal 5 9 3 2" xfId="14037" xr:uid="{B36F34FB-3C2F-4232-808A-DB716E309745}"/>
    <cellStyle name="Normal 5 9 4" xfId="9819" xr:uid="{46D80847-6F10-4621-921E-4F3F657BB6B7}"/>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2 2" xfId="17072" xr:uid="{A1AFD400-83FB-437B-9777-F445832C899D}"/>
    <cellStyle name="Normal 8 10 2 3" xfId="12854" xr:uid="{50174C82-B575-424A-BF69-DA2428A912CC}"/>
    <cellStyle name="Normal 8 10 3" xfId="6498" xr:uid="{00000000-0005-0000-0000-0000EA1B0000}"/>
    <cellStyle name="Normal 8 10 3 2" xfId="14927" xr:uid="{347A6526-22A4-40D1-8243-28E1632E3A3F}"/>
    <cellStyle name="Normal 8 10 4" xfId="10709" xr:uid="{64B59AEA-297D-4E18-B3BA-22C9CA3C6954}"/>
    <cellStyle name="Normal 8 11" xfId="2626" xr:uid="{00000000-0005-0000-0000-0000EB1B0000}"/>
    <cellStyle name="Normal 8 11 2" xfId="6911" xr:uid="{00000000-0005-0000-0000-0000EC1B0000}"/>
    <cellStyle name="Normal 8 11 2 2" xfId="15340" xr:uid="{311D90E2-7C56-4F7E-BDCF-D9020CA5C021}"/>
    <cellStyle name="Normal 8 11 3" xfId="11122" xr:uid="{EBD228D8-1ED5-472E-865D-DD84CC713D32}"/>
    <cellStyle name="Normal 8 12" xfId="4846" xr:uid="{00000000-0005-0000-0000-0000ED1B0000}"/>
    <cellStyle name="Normal 8 12 2" xfId="13275" xr:uid="{2BDDFFB4-EF51-4A2D-BB5B-E653258FA3D4}"/>
    <cellStyle name="Normal 8 13" xfId="9057" xr:uid="{48409618-E314-42EE-817A-5D3969C1A919}"/>
    <cellStyle name="Normal 8 2" xfId="479" xr:uid="{00000000-0005-0000-0000-0000EE1B0000}"/>
    <cellStyle name="Normal 8 2 10" xfId="2627" xr:uid="{00000000-0005-0000-0000-0000EF1B0000}"/>
    <cellStyle name="Normal 8 2 10 2" xfId="6912" xr:uid="{00000000-0005-0000-0000-0000F01B0000}"/>
    <cellStyle name="Normal 8 2 10 2 2" xfId="15341" xr:uid="{11A03463-2D4D-4122-920A-67BF4FB512E2}"/>
    <cellStyle name="Normal 8 2 10 3" xfId="11123" xr:uid="{032D53A7-85F2-4985-9190-E77D9AE48D25}"/>
    <cellStyle name="Normal 8 2 11" xfId="4847" xr:uid="{00000000-0005-0000-0000-0000F11B0000}"/>
    <cellStyle name="Normal 8 2 11 2" xfId="13276" xr:uid="{7EB3C074-F121-4C4E-9AB8-BEE683292AE7}"/>
    <cellStyle name="Normal 8 2 12" xfId="9058" xr:uid="{142B0F8B-45B3-438F-9518-80434B1CAEC9}"/>
    <cellStyle name="Normal 8 2 2" xfId="480" xr:uid="{00000000-0005-0000-0000-0000F21B0000}"/>
    <cellStyle name="Normal 8 2 2 10" xfId="4848" xr:uid="{00000000-0005-0000-0000-0000F31B0000}"/>
    <cellStyle name="Normal 8 2 2 10 2" xfId="13277" xr:uid="{6F8DCDAD-F816-49D3-9E1A-86FD00F80452}"/>
    <cellStyle name="Normal 8 2 2 11" xfId="9059" xr:uid="{9909E0DF-66F5-4AC5-A02F-984943AD2DBF}"/>
    <cellStyle name="Normal 8 2 2 2" xfId="481" xr:uid="{00000000-0005-0000-0000-0000F41B0000}"/>
    <cellStyle name="Normal 8 2 2 2 10" xfId="9060" xr:uid="{4ABF8D1D-607B-42F4-9FC4-64E7EACB3549}"/>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2 2" xfId="15838" xr:uid="{E9C56F51-E29A-463C-9313-31E76BD21A4F}"/>
    <cellStyle name="Normal 8 2 2 2 2 2 2 2 3" xfId="11620" xr:uid="{573FE6A0-3813-4EB6-8CC7-63C6D19A9CEA}"/>
    <cellStyle name="Normal 8 2 2 2 2 2 2 3" xfId="5264" xr:uid="{00000000-0005-0000-0000-0000FA1B0000}"/>
    <cellStyle name="Normal 8 2 2 2 2 2 2 3 2" xfId="13693" xr:uid="{DEB5248C-3ACB-41E9-B84D-B65EC49A71DF}"/>
    <cellStyle name="Normal 8 2 2 2 2 2 2 4" xfId="9475" xr:uid="{43519FBB-B9CE-46A2-B815-FD2864047FF9}"/>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2 2" xfId="16251" xr:uid="{C77AD170-5C64-466B-AEE2-1023506DBE40}"/>
    <cellStyle name="Normal 8 2 2 2 2 2 3 2 3" xfId="12033" xr:uid="{AE58B908-D631-4917-9234-A981F580219A}"/>
    <cellStyle name="Normal 8 2 2 2 2 2 3 3" xfId="5677" xr:uid="{00000000-0005-0000-0000-0000FE1B0000}"/>
    <cellStyle name="Normal 8 2 2 2 2 2 3 3 2" xfId="14106" xr:uid="{2414B5F2-C199-47B1-9B42-089C5F4DA948}"/>
    <cellStyle name="Normal 8 2 2 2 2 2 3 4" xfId="9888" xr:uid="{6CA88204-F037-4020-BBDF-32E24F423F5D}"/>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2 2" xfId="16664" xr:uid="{81A88165-F560-480E-97D5-84EFCB222F26}"/>
    <cellStyle name="Normal 8 2 2 2 2 2 4 2 3" xfId="12446" xr:uid="{73BD5EB0-436D-419E-8625-840C1AFFFD48}"/>
    <cellStyle name="Normal 8 2 2 2 2 2 4 3" xfId="6090" xr:uid="{00000000-0005-0000-0000-0000021C0000}"/>
    <cellStyle name="Normal 8 2 2 2 2 2 4 3 2" xfId="14519" xr:uid="{1228A1A8-14E8-4826-851D-E85B21C670FF}"/>
    <cellStyle name="Normal 8 2 2 2 2 2 4 4" xfId="10301" xr:uid="{77D82441-B29F-4263-A5F7-7D00C4386D67}"/>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2 2" xfId="17077" xr:uid="{7D74916B-DB8E-4CA6-ADB2-2C599167FFA2}"/>
    <cellStyle name="Normal 8 2 2 2 2 2 5 2 3" xfId="12859" xr:uid="{0F8CFCC9-1E34-4E09-B146-3952970895B9}"/>
    <cellStyle name="Normal 8 2 2 2 2 2 5 3" xfId="6503" xr:uid="{00000000-0005-0000-0000-0000061C0000}"/>
    <cellStyle name="Normal 8 2 2 2 2 2 5 3 2" xfId="14932" xr:uid="{29E3EC1D-01F5-4AFA-8523-7BC0A7E41B73}"/>
    <cellStyle name="Normal 8 2 2 2 2 2 5 4" xfId="10714" xr:uid="{2F396EC7-BF49-47EA-B8FD-47243EC155D3}"/>
    <cellStyle name="Normal 8 2 2 2 2 2 6" xfId="2631" xr:uid="{00000000-0005-0000-0000-0000071C0000}"/>
    <cellStyle name="Normal 8 2 2 2 2 2 6 2" xfId="6916" xr:uid="{00000000-0005-0000-0000-0000081C0000}"/>
    <cellStyle name="Normal 8 2 2 2 2 2 6 2 2" xfId="15345" xr:uid="{E8EEEA7C-A8B9-4BDB-94F9-ADA9567BD143}"/>
    <cellStyle name="Normal 8 2 2 2 2 2 6 3" xfId="11127" xr:uid="{F6792A53-7917-4164-85C3-4062B166B7CA}"/>
    <cellStyle name="Normal 8 2 2 2 2 2 7" xfId="4851" xr:uid="{00000000-0005-0000-0000-0000091C0000}"/>
    <cellStyle name="Normal 8 2 2 2 2 2 7 2" xfId="13280" xr:uid="{1804D7D6-22DE-4345-9F66-80E577B67898}"/>
    <cellStyle name="Normal 8 2 2 2 2 2 8" xfId="9062" xr:uid="{2EE63E7D-14CF-4F4E-9F03-8868ED7B1641}"/>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2 2" xfId="15837" xr:uid="{5BB7C113-24AD-4F4B-8327-BC4BEF8A3A55}"/>
    <cellStyle name="Normal 8 2 2 2 2 3 2 3" xfId="11619" xr:uid="{DDA378A2-D08A-42C1-BC1F-9E36374F46D0}"/>
    <cellStyle name="Normal 8 2 2 2 2 3 3" xfId="5263" xr:uid="{00000000-0005-0000-0000-00000D1C0000}"/>
    <cellStyle name="Normal 8 2 2 2 2 3 3 2" xfId="13692" xr:uid="{0830E7F6-2F97-456F-9755-1786A8D697B2}"/>
    <cellStyle name="Normal 8 2 2 2 2 3 4" xfId="9474" xr:uid="{51A8CBD1-CDAF-4D08-9CD1-FB4969893755}"/>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2 2" xfId="16250" xr:uid="{614978AB-A48F-41F2-81C3-02C0C6F0E6E4}"/>
    <cellStyle name="Normal 8 2 2 2 2 4 2 3" xfId="12032" xr:uid="{F82A5B70-820F-4488-BC96-2B4CE8424023}"/>
    <cellStyle name="Normal 8 2 2 2 2 4 3" xfId="5676" xr:uid="{00000000-0005-0000-0000-0000111C0000}"/>
    <cellStyle name="Normal 8 2 2 2 2 4 3 2" xfId="14105" xr:uid="{7FD2F8AB-96D5-4DD7-BC5E-F0DFF6D211CE}"/>
    <cellStyle name="Normal 8 2 2 2 2 4 4" xfId="9887" xr:uid="{D752F53F-730A-408F-9760-515329059784}"/>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2 2" xfId="16663" xr:uid="{7525AD69-9163-4C6E-9795-42D047C061C1}"/>
    <cellStyle name="Normal 8 2 2 2 2 5 2 3" xfId="12445" xr:uid="{E2266084-E6CD-46C6-B732-4D1D3B7B4F05}"/>
    <cellStyle name="Normal 8 2 2 2 2 5 3" xfId="6089" xr:uid="{00000000-0005-0000-0000-0000151C0000}"/>
    <cellStyle name="Normal 8 2 2 2 2 5 3 2" xfId="14518" xr:uid="{E447F6FA-AB40-4F4F-9595-E63204845746}"/>
    <cellStyle name="Normal 8 2 2 2 2 5 4" xfId="10300" xr:uid="{D9A7DF60-936D-4B19-A924-D91AAC070B64}"/>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2 2" xfId="17076" xr:uid="{FD179CD5-6FDF-4AB5-AABA-834BFBD17A1E}"/>
    <cellStyle name="Normal 8 2 2 2 2 6 2 3" xfId="12858" xr:uid="{142929F7-938F-4C42-99B9-B524B36F0AB0}"/>
    <cellStyle name="Normal 8 2 2 2 2 6 3" xfId="6502" xr:uid="{00000000-0005-0000-0000-0000191C0000}"/>
    <cellStyle name="Normal 8 2 2 2 2 6 3 2" xfId="14931" xr:uid="{233F0B37-0458-4DE0-8577-E50DB10EF6F6}"/>
    <cellStyle name="Normal 8 2 2 2 2 6 4" xfId="10713" xr:uid="{779CF69F-24CF-4AB0-BF75-08829104F36B}"/>
    <cellStyle name="Normal 8 2 2 2 2 7" xfId="2630" xr:uid="{00000000-0005-0000-0000-00001A1C0000}"/>
    <cellStyle name="Normal 8 2 2 2 2 7 2" xfId="6915" xr:uid="{00000000-0005-0000-0000-00001B1C0000}"/>
    <cellStyle name="Normal 8 2 2 2 2 7 2 2" xfId="15344" xr:uid="{F4EC2409-6188-4F23-B5B5-C43412EB6FFE}"/>
    <cellStyle name="Normal 8 2 2 2 2 7 3" xfId="11126" xr:uid="{79E69674-80CD-4ACF-9DAE-FF694870DAEF}"/>
    <cellStyle name="Normal 8 2 2 2 2 8" xfId="4850" xr:uid="{00000000-0005-0000-0000-00001C1C0000}"/>
    <cellStyle name="Normal 8 2 2 2 2 8 2" xfId="13279" xr:uid="{D9D2D13C-AE22-4CE4-900D-814901FF25F2}"/>
    <cellStyle name="Normal 8 2 2 2 2 9" xfId="9061" xr:uid="{3D1903E9-D4AE-43BA-BDCD-1F83643E6E81}"/>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2 2" xfId="15839" xr:uid="{004FF14A-2667-46EB-8B59-2E4270148359}"/>
    <cellStyle name="Normal 8 2 2 2 3 2 2 3" xfId="11621" xr:uid="{C9637A70-31CC-423A-9039-AD317A65D38D}"/>
    <cellStyle name="Normal 8 2 2 2 3 2 3" xfId="5265" xr:uid="{00000000-0005-0000-0000-0000211C0000}"/>
    <cellStyle name="Normal 8 2 2 2 3 2 3 2" xfId="13694" xr:uid="{6A9C822F-1EB5-4303-8DD1-4E2F964E2711}"/>
    <cellStyle name="Normal 8 2 2 2 3 2 4" xfId="9476" xr:uid="{14501879-43F1-4ED7-9099-3FD84DBD94F7}"/>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2 2" xfId="16252" xr:uid="{AD93490A-C2B4-45FD-AC06-5B9F3D8CB4B2}"/>
    <cellStyle name="Normal 8 2 2 2 3 3 2 3" xfId="12034" xr:uid="{9AFE077A-B981-4348-B482-63B8EAFB389A}"/>
    <cellStyle name="Normal 8 2 2 2 3 3 3" xfId="5678" xr:uid="{00000000-0005-0000-0000-0000251C0000}"/>
    <cellStyle name="Normal 8 2 2 2 3 3 3 2" xfId="14107" xr:uid="{FA87BF0F-12EE-4D9E-9463-33A48C70F7EB}"/>
    <cellStyle name="Normal 8 2 2 2 3 3 4" xfId="9889" xr:uid="{843C3992-1A8F-4B6E-81CA-FDE399A505DE}"/>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2 2" xfId="16665" xr:uid="{C036337C-D437-4414-BDFE-8D531C0AD2BA}"/>
    <cellStyle name="Normal 8 2 2 2 3 4 2 3" xfId="12447" xr:uid="{BBF36824-FE00-4E19-81A7-2CF8387BB18C}"/>
    <cellStyle name="Normal 8 2 2 2 3 4 3" xfId="6091" xr:uid="{00000000-0005-0000-0000-0000291C0000}"/>
    <cellStyle name="Normal 8 2 2 2 3 4 3 2" xfId="14520" xr:uid="{5A5F622D-8B88-4263-873E-6E15E55F7DDC}"/>
    <cellStyle name="Normal 8 2 2 2 3 4 4" xfId="10302" xr:uid="{728AFF7C-6749-4878-84AD-D4E41375E6A8}"/>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2 2" xfId="17078" xr:uid="{8A97E0AA-25BF-4694-8AE0-780492FAB399}"/>
    <cellStyle name="Normal 8 2 2 2 3 5 2 3" xfId="12860" xr:uid="{52153DDC-CBC4-40BA-ABD9-13274B557125}"/>
    <cellStyle name="Normal 8 2 2 2 3 5 3" xfId="6504" xr:uid="{00000000-0005-0000-0000-00002D1C0000}"/>
    <cellStyle name="Normal 8 2 2 2 3 5 3 2" xfId="14933" xr:uid="{69EAD432-9ADD-4387-AFE7-12E60C427ACD}"/>
    <cellStyle name="Normal 8 2 2 2 3 5 4" xfId="10715" xr:uid="{07A71F80-8D6E-4612-909A-21E79BA1B6D0}"/>
    <cellStyle name="Normal 8 2 2 2 3 6" xfId="2632" xr:uid="{00000000-0005-0000-0000-00002E1C0000}"/>
    <cellStyle name="Normal 8 2 2 2 3 6 2" xfId="6917" xr:uid="{00000000-0005-0000-0000-00002F1C0000}"/>
    <cellStyle name="Normal 8 2 2 2 3 6 2 2" xfId="15346" xr:uid="{5B8BBB43-D26B-4598-B24D-089C182031B5}"/>
    <cellStyle name="Normal 8 2 2 2 3 6 3" xfId="11128" xr:uid="{6467AAB1-3808-408F-AF8D-785C38A180AD}"/>
    <cellStyle name="Normal 8 2 2 2 3 7" xfId="4852" xr:uid="{00000000-0005-0000-0000-0000301C0000}"/>
    <cellStyle name="Normal 8 2 2 2 3 7 2" xfId="13281" xr:uid="{F6C08D2F-61B6-4E90-AE09-B31B88D28651}"/>
    <cellStyle name="Normal 8 2 2 2 3 8" xfId="9063" xr:uid="{72A191B6-C99A-45F5-81CB-0B6E93919A3B}"/>
    <cellStyle name="Normal 8 2 2 2 4" xfId="949" xr:uid="{00000000-0005-0000-0000-0000311C0000}"/>
    <cellStyle name="Normal 8 2 2 2 4 2" xfId="3183" xr:uid="{00000000-0005-0000-0000-0000321C0000}"/>
    <cellStyle name="Normal 8 2 2 2 4 2 2" xfId="7407" xr:uid="{00000000-0005-0000-0000-0000331C0000}"/>
    <cellStyle name="Normal 8 2 2 2 4 2 2 2" xfId="15836" xr:uid="{CDB9ACE2-051B-4B4D-908F-41194F63B58E}"/>
    <cellStyle name="Normal 8 2 2 2 4 2 3" xfId="11618" xr:uid="{5EC13E63-7A2F-453E-B37B-E3FFDF3E87FE}"/>
    <cellStyle name="Normal 8 2 2 2 4 3" xfId="5262" xr:uid="{00000000-0005-0000-0000-0000341C0000}"/>
    <cellStyle name="Normal 8 2 2 2 4 3 2" xfId="13691" xr:uid="{EE5AC9AB-9F3E-4176-B40C-FEEAD56E1A0A}"/>
    <cellStyle name="Normal 8 2 2 2 4 4" xfId="9473" xr:uid="{54E59BDD-9B65-4111-8717-DEA0F8C66D8E}"/>
    <cellStyle name="Normal 8 2 2 2 5" xfId="1366" xr:uid="{00000000-0005-0000-0000-0000351C0000}"/>
    <cellStyle name="Normal 8 2 2 2 5 2" xfId="3596" xr:uid="{00000000-0005-0000-0000-0000361C0000}"/>
    <cellStyle name="Normal 8 2 2 2 5 2 2" xfId="7820" xr:uid="{00000000-0005-0000-0000-0000371C0000}"/>
    <cellStyle name="Normal 8 2 2 2 5 2 2 2" xfId="16249" xr:uid="{2CE5FB2C-1760-4018-B816-7619E90AD9E0}"/>
    <cellStyle name="Normal 8 2 2 2 5 2 3" xfId="12031" xr:uid="{404B7589-9405-423D-8071-5A7AC5DEC959}"/>
    <cellStyle name="Normal 8 2 2 2 5 3" xfId="5675" xr:uid="{00000000-0005-0000-0000-0000381C0000}"/>
    <cellStyle name="Normal 8 2 2 2 5 3 2" xfId="14104" xr:uid="{16B2BE93-2543-4D0B-9001-ADADD9DAAD74}"/>
    <cellStyle name="Normal 8 2 2 2 5 4" xfId="9886" xr:uid="{8906DB62-D13E-40AE-BFA4-177A4C5AE158}"/>
    <cellStyle name="Normal 8 2 2 2 6" xfId="1779" xr:uid="{00000000-0005-0000-0000-0000391C0000}"/>
    <cellStyle name="Normal 8 2 2 2 6 2" xfId="4009" xr:uid="{00000000-0005-0000-0000-00003A1C0000}"/>
    <cellStyle name="Normal 8 2 2 2 6 2 2" xfId="8233" xr:uid="{00000000-0005-0000-0000-00003B1C0000}"/>
    <cellStyle name="Normal 8 2 2 2 6 2 2 2" xfId="16662" xr:uid="{49176B6C-EC35-43E0-A0CF-7472C4FAFAAD}"/>
    <cellStyle name="Normal 8 2 2 2 6 2 3" xfId="12444" xr:uid="{D9D87A4F-9DBF-4CDC-BB7F-883059016414}"/>
    <cellStyle name="Normal 8 2 2 2 6 3" xfId="6088" xr:uid="{00000000-0005-0000-0000-00003C1C0000}"/>
    <cellStyle name="Normal 8 2 2 2 6 3 2" xfId="14517" xr:uid="{DE88B4A3-89E3-46C1-8100-8C26186800C3}"/>
    <cellStyle name="Normal 8 2 2 2 6 4" xfId="10299" xr:uid="{46FF88C6-A58E-4608-8F05-57C6D24192C8}"/>
    <cellStyle name="Normal 8 2 2 2 7" xfId="2193" xr:uid="{00000000-0005-0000-0000-00003D1C0000}"/>
    <cellStyle name="Normal 8 2 2 2 7 2" xfId="4422" xr:uid="{00000000-0005-0000-0000-00003E1C0000}"/>
    <cellStyle name="Normal 8 2 2 2 7 2 2" xfId="8646" xr:uid="{00000000-0005-0000-0000-00003F1C0000}"/>
    <cellStyle name="Normal 8 2 2 2 7 2 2 2" xfId="17075" xr:uid="{64B6B978-C475-42BC-A1E4-99349B77E904}"/>
    <cellStyle name="Normal 8 2 2 2 7 2 3" xfId="12857" xr:uid="{0840A3B8-EB98-4F35-8C5F-A0270E9ADD97}"/>
    <cellStyle name="Normal 8 2 2 2 7 3" xfId="6501" xr:uid="{00000000-0005-0000-0000-0000401C0000}"/>
    <cellStyle name="Normal 8 2 2 2 7 3 2" xfId="14930" xr:uid="{8B486FB4-B1B4-4356-8D57-201AA8F8E2B7}"/>
    <cellStyle name="Normal 8 2 2 2 7 4" xfId="10712" xr:uid="{1D21404A-3D65-429D-80D3-0BDEB2AEAC9E}"/>
    <cellStyle name="Normal 8 2 2 2 8" xfId="2629" xr:uid="{00000000-0005-0000-0000-0000411C0000}"/>
    <cellStyle name="Normal 8 2 2 2 8 2" xfId="6914" xr:uid="{00000000-0005-0000-0000-0000421C0000}"/>
    <cellStyle name="Normal 8 2 2 2 8 2 2" xfId="15343" xr:uid="{37C76E77-B97D-486D-87EC-F91A16B182D4}"/>
    <cellStyle name="Normal 8 2 2 2 8 3" xfId="11125" xr:uid="{0CB1B6D1-B825-4652-A1BC-BE1E704A4E79}"/>
    <cellStyle name="Normal 8 2 2 2 9" xfId="4849" xr:uid="{00000000-0005-0000-0000-0000431C0000}"/>
    <cellStyle name="Normal 8 2 2 2 9 2" xfId="13278" xr:uid="{A33B8262-3714-444A-845B-A53A1782B1C8}"/>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2 2" xfId="15841" xr:uid="{C7E47200-C84A-4CFB-93CB-AE265EEB5423}"/>
    <cellStyle name="Normal 8 2 2 3 2 2 2 3" xfId="11623" xr:uid="{C0E462F7-7AB4-45B1-A0E9-459C2ADB917C}"/>
    <cellStyle name="Normal 8 2 2 3 2 2 3" xfId="5267" xr:uid="{00000000-0005-0000-0000-0000491C0000}"/>
    <cellStyle name="Normal 8 2 2 3 2 2 3 2" xfId="13696" xr:uid="{23746EB7-74CA-4BEA-BF35-D9DEE071C679}"/>
    <cellStyle name="Normal 8 2 2 3 2 2 4" xfId="9478" xr:uid="{DD962AB7-5FA1-4C4B-9B6F-4DDE61A0E64F}"/>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2 2" xfId="16254" xr:uid="{058E399B-45AD-4E1B-8ADE-0C0B1FF3E243}"/>
    <cellStyle name="Normal 8 2 2 3 2 3 2 3" xfId="12036" xr:uid="{D6EBEA0D-165C-4BF5-8FF8-0AD9058CC8FD}"/>
    <cellStyle name="Normal 8 2 2 3 2 3 3" xfId="5680" xr:uid="{00000000-0005-0000-0000-00004D1C0000}"/>
    <cellStyle name="Normal 8 2 2 3 2 3 3 2" xfId="14109" xr:uid="{FB61FEB0-09DD-4C9B-9532-D6F75B339961}"/>
    <cellStyle name="Normal 8 2 2 3 2 3 4" xfId="9891" xr:uid="{F2E903CC-A775-4F46-BDE4-4DE3EFDA60D2}"/>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2 2" xfId="16667" xr:uid="{A5487596-CC9F-4C52-955B-7A6EB100447F}"/>
    <cellStyle name="Normal 8 2 2 3 2 4 2 3" xfId="12449" xr:uid="{2DD5E3D3-A6ED-433E-825E-59AC28622540}"/>
    <cellStyle name="Normal 8 2 2 3 2 4 3" xfId="6093" xr:uid="{00000000-0005-0000-0000-0000511C0000}"/>
    <cellStyle name="Normal 8 2 2 3 2 4 3 2" xfId="14522" xr:uid="{8560CB87-6BB1-476C-9BA9-E327EE8ECAD8}"/>
    <cellStyle name="Normal 8 2 2 3 2 4 4" xfId="10304" xr:uid="{657430BE-D770-48AB-AC50-E4D301347C0B}"/>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2 2" xfId="17080" xr:uid="{CC11AAE0-3FD8-4A1C-B4C4-C5478533C12D}"/>
    <cellStyle name="Normal 8 2 2 3 2 5 2 3" xfId="12862" xr:uid="{5A73AA4C-FDCE-4662-896C-E56962EA5AE7}"/>
    <cellStyle name="Normal 8 2 2 3 2 5 3" xfId="6506" xr:uid="{00000000-0005-0000-0000-0000551C0000}"/>
    <cellStyle name="Normal 8 2 2 3 2 5 3 2" xfId="14935" xr:uid="{C75F48FD-6886-40F7-9F41-AF80A10CF733}"/>
    <cellStyle name="Normal 8 2 2 3 2 5 4" xfId="10717" xr:uid="{38E0D2E9-5BB5-4807-8516-512797E671EF}"/>
    <cellStyle name="Normal 8 2 2 3 2 6" xfId="2634" xr:uid="{00000000-0005-0000-0000-0000561C0000}"/>
    <cellStyle name="Normal 8 2 2 3 2 6 2" xfId="6919" xr:uid="{00000000-0005-0000-0000-0000571C0000}"/>
    <cellStyle name="Normal 8 2 2 3 2 6 2 2" xfId="15348" xr:uid="{B115F6F0-8BEA-4E96-BE75-F3085DFB82C5}"/>
    <cellStyle name="Normal 8 2 2 3 2 6 3" xfId="11130" xr:uid="{9B895241-1D38-4B69-B3AC-5F4109299DDF}"/>
    <cellStyle name="Normal 8 2 2 3 2 7" xfId="4854" xr:uid="{00000000-0005-0000-0000-0000581C0000}"/>
    <cellStyle name="Normal 8 2 2 3 2 7 2" xfId="13283" xr:uid="{1C967506-AA9D-4117-BBED-74A7DCCF7EBD}"/>
    <cellStyle name="Normal 8 2 2 3 2 8" xfId="9065" xr:uid="{290EFC34-29CE-491D-A6FE-16ACC77CC805}"/>
    <cellStyle name="Normal 8 2 2 3 3" xfId="953" xr:uid="{00000000-0005-0000-0000-0000591C0000}"/>
    <cellStyle name="Normal 8 2 2 3 3 2" xfId="3187" xr:uid="{00000000-0005-0000-0000-00005A1C0000}"/>
    <cellStyle name="Normal 8 2 2 3 3 2 2" xfId="7411" xr:uid="{00000000-0005-0000-0000-00005B1C0000}"/>
    <cellStyle name="Normal 8 2 2 3 3 2 2 2" xfId="15840" xr:uid="{A9170D5E-080C-4BFC-8892-D6B2C3F7AE30}"/>
    <cellStyle name="Normal 8 2 2 3 3 2 3" xfId="11622" xr:uid="{6CCBF012-CCE3-497F-A239-64FA7C50BAAC}"/>
    <cellStyle name="Normal 8 2 2 3 3 3" xfId="5266" xr:uid="{00000000-0005-0000-0000-00005C1C0000}"/>
    <cellStyle name="Normal 8 2 2 3 3 3 2" xfId="13695" xr:uid="{F2B96450-D43A-45AB-91AF-55A25935730B}"/>
    <cellStyle name="Normal 8 2 2 3 3 4" xfId="9477" xr:uid="{40F3275C-F102-4E0F-81AE-776EC902663F}"/>
    <cellStyle name="Normal 8 2 2 3 4" xfId="1370" xr:uid="{00000000-0005-0000-0000-00005D1C0000}"/>
    <cellStyle name="Normal 8 2 2 3 4 2" xfId="3600" xr:uid="{00000000-0005-0000-0000-00005E1C0000}"/>
    <cellStyle name="Normal 8 2 2 3 4 2 2" xfId="7824" xr:uid="{00000000-0005-0000-0000-00005F1C0000}"/>
    <cellStyle name="Normal 8 2 2 3 4 2 2 2" xfId="16253" xr:uid="{B3DEAFF8-3D7A-432D-976F-ABA2624F5E40}"/>
    <cellStyle name="Normal 8 2 2 3 4 2 3" xfId="12035" xr:uid="{88AF964E-74BE-40B6-B9E1-13E44417CCE5}"/>
    <cellStyle name="Normal 8 2 2 3 4 3" xfId="5679" xr:uid="{00000000-0005-0000-0000-0000601C0000}"/>
    <cellStyle name="Normal 8 2 2 3 4 3 2" xfId="14108" xr:uid="{E3632354-2563-4D39-B5DD-41B1F376B001}"/>
    <cellStyle name="Normal 8 2 2 3 4 4" xfId="9890" xr:uid="{0C092362-D0BB-43A9-A695-AE96DF00E9C6}"/>
    <cellStyle name="Normal 8 2 2 3 5" xfId="1783" xr:uid="{00000000-0005-0000-0000-0000611C0000}"/>
    <cellStyle name="Normal 8 2 2 3 5 2" xfId="4013" xr:uid="{00000000-0005-0000-0000-0000621C0000}"/>
    <cellStyle name="Normal 8 2 2 3 5 2 2" xfId="8237" xr:uid="{00000000-0005-0000-0000-0000631C0000}"/>
    <cellStyle name="Normal 8 2 2 3 5 2 2 2" xfId="16666" xr:uid="{0F84A21A-4A43-49B0-94D0-6B3F1DB092F8}"/>
    <cellStyle name="Normal 8 2 2 3 5 2 3" xfId="12448" xr:uid="{72C0ECC1-5BD8-4A72-9BE0-2B12EC2FA8F0}"/>
    <cellStyle name="Normal 8 2 2 3 5 3" xfId="6092" xr:uid="{00000000-0005-0000-0000-0000641C0000}"/>
    <cellStyle name="Normal 8 2 2 3 5 3 2" xfId="14521" xr:uid="{2FE7F9AB-01CA-4127-B6E0-EEF7528719FE}"/>
    <cellStyle name="Normal 8 2 2 3 5 4" xfId="10303" xr:uid="{FDBDC02B-5330-4575-860A-52DF7A9F1BD8}"/>
    <cellStyle name="Normal 8 2 2 3 6" xfId="2197" xr:uid="{00000000-0005-0000-0000-0000651C0000}"/>
    <cellStyle name="Normal 8 2 2 3 6 2" xfId="4426" xr:uid="{00000000-0005-0000-0000-0000661C0000}"/>
    <cellStyle name="Normal 8 2 2 3 6 2 2" xfId="8650" xr:uid="{00000000-0005-0000-0000-0000671C0000}"/>
    <cellStyle name="Normal 8 2 2 3 6 2 2 2" xfId="17079" xr:uid="{1F035A39-1811-408F-9B95-2063F39AC0C7}"/>
    <cellStyle name="Normal 8 2 2 3 6 2 3" xfId="12861" xr:uid="{21E0F2A9-2043-4956-B680-D77AAA51278B}"/>
    <cellStyle name="Normal 8 2 2 3 6 3" xfId="6505" xr:uid="{00000000-0005-0000-0000-0000681C0000}"/>
    <cellStyle name="Normal 8 2 2 3 6 3 2" xfId="14934" xr:uid="{6F53B015-F4DC-4F0C-B40E-2B0DDB2B9641}"/>
    <cellStyle name="Normal 8 2 2 3 6 4" xfId="10716" xr:uid="{95CC75E4-7672-4FD6-9C59-E32FC0374BCF}"/>
    <cellStyle name="Normal 8 2 2 3 7" xfId="2633" xr:uid="{00000000-0005-0000-0000-0000691C0000}"/>
    <cellStyle name="Normal 8 2 2 3 7 2" xfId="6918" xr:uid="{00000000-0005-0000-0000-00006A1C0000}"/>
    <cellStyle name="Normal 8 2 2 3 7 2 2" xfId="15347" xr:uid="{A7B32B76-3895-4E4B-8DC7-ED13082CAA5C}"/>
    <cellStyle name="Normal 8 2 2 3 7 3" xfId="11129" xr:uid="{D491982A-7769-4D62-AEF8-02E3468DEB44}"/>
    <cellStyle name="Normal 8 2 2 3 8" xfId="4853" xr:uid="{00000000-0005-0000-0000-00006B1C0000}"/>
    <cellStyle name="Normal 8 2 2 3 8 2" xfId="13282" xr:uid="{CC38D4A1-4408-4D76-B088-2827A7954FA5}"/>
    <cellStyle name="Normal 8 2 2 3 9" xfId="9064" xr:uid="{50BE9EC1-E538-445F-86A2-318B3B2B2B41}"/>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2 2" xfId="15842" xr:uid="{B7B81056-CCAD-43DE-B534-41DAAA1D7139}"/>
    <cellStyle name="Normal 8 2 2 4 2 2 3" xfId="11624" xr:uid="{D99DE2BF-7369-4D19-A68B-0C6B538EADE4}"/>
    <cellStyle name="Normal 8 2 2 4 2 3" xfId="5268" xr:uid="{00000000-0005-0000-0000-0000701C0000}"/>
    <cellStyle name="Normal 8 2 2 4 2 3 2" xfId="13697" xr:uid="{1BFB3275-4B9C-4361-8635-DEF94C5DB242}"/>
    <cellStyle name="Normal 8 2 2 4 2 4" xfId="9479" xr:uid="{6C54E69F-17F5-4B34-8EF6-F6ACFE1833B0}"/>
    <cellStyle name="Normal 8 2 2 4 3" xfId="1372" xr:uid="{00000000-0005-0000-0000-0000711C0000}"/>
    <cellStyle name="Normal 8 2 2 4 3 2" xfId="3602" xr:uid="{00000000-0005-0000-0000-0000721C0000}"/>
    <cellStyle name="Normal 8 2 2 4 3 2 2" xfId="7826" xr:uid="{00000000-0005-0000-0000-0000731C0000}"/>
    <cellStyle name="Normal 8 2 2 4 3 2 2 2" xfId="16255" xr:uid="{2A40348A-8ECF-4FA5-AB2D-35DC768DFEBC}"/>
    <cellStyle name="Normal 8 2 2 4 3 2 3" xfId="12037" xr:uid="{2EF6149C-AF37-4D7F-BF55-F0D29BC8D923}"/>
    <cellStyle name="Normal 8 2 2 4 3 3" xfId="5681" xr:uid="{00000000-0005-0000-0000-0000741C0000}"/>
    <cellStyle name="Normal 8 2 2 4 3 3 2" xfId="14110" xr:uid="{23A6A1AF-E7C3-4195-A9EE-E2E6DB98F0B3}"/>
    <cellStyle name="Normal 8 2 2 4 3 4" xfId="9892" xr:uid="{284B7392-C89E-46BB-B7B4-147A1DCEA93B}"/>
    <cellStyle name="Normal 8 2 2 4 4" xfId="1785" xr:uid="{00000000-0005-0000-0000-0000751C0000}"/>
    <cellStyle name="Normal 8 2 2 4 4 2" xfId="4015" xr:uid="{00000000-0005-0000-0000-0000761C0000}"/>
    <cellStyle name="Normal 8 2 2 4 4 2 2" xfId="8239" xr:uid="{00000000-0005-0000-0000-0000771C0000}"/>
    <cellStyle name="Normal 8 2 2 4 4 2 2 2" xfId="16668" xr:uid="{A7A4428C-61A8-4D6E-A63E-718943B8F267}"/>
    <cellStyle name="Normal 8 2 2 4 4 2 3" xfId="12450" xr:uid="{D06A08E2-5E4F-4386-8F34-B0B1DE1F3840}"/>
    <cellStyle name="Normal 8 2 2 4 4 3" xfId="6094" xr:uid="{00000000-0005-0000-0000-0000781C0000}"/>
    <cellStyle name="Normal 8 2 2 4 4 3 2" xfId="14523" xr:uid="{7680A0B9-CA91-40F4-8AE5-B0A4324C98F7}"/>
    <cellStyle name="Normal 8 2 2 4 4 4" xfId="10305" xr:uid="{C3B628C7-86A3-4346-B9DB-C814BD636D50}"/>
    <cellStyle name="Normal 8 2 2 4 5" xfId="2199" xr:uid="{00000000-0005-0000-0000-0000791C0000}"/>
    <cellStyle name="Normal 8 2 2 4 5 2" xfId="4428" xr:uid="{00000000-0005-0000-0000-00007A1C0000}"/>
    <cellStyle name="Normal 8 2 2 4 5 2 2" xfId="8652" xr:uid="{00000000-0005-0000-0000-00007B1C0000}"/>
    <cellStyle name="Normal 8 2 2 4 5 2 2 2" xfId="17081" xr:uid="{AFBEF7C8-B89F-4650-BF28-CDF45625C596}"/>
    <cellStyle name="Normal 8 2 2 4 5 2 3" xfId="12863" xr:uid="{121CA1F6-0C74-473D-83C9-25EEA56F3C3A}"/>
    <cellStyle name="Normal 8 2 2 4 5 3" xfId="6507" xr:uid="{00000000-0005-0000-0000-00007C1C0000}"/>
    <cellStyle name="Normal 8 2 2 4 5 3 2" xfId="14936" xr:uid="{29123EF9-F4BC-4FAB-B17D-BDD2E54C6438}"/>
    <cellStyle name="Normal 8 2 2 4 5 4" xfId="10718" xr:uid="{95398BCD-5B6F-482A-A816-605B16D44B95}"/>
    <cellStyle name="Normal 8 2 2 4 6" xfId="2635" xr:uid="{00000000-0005-0000-0000-00007D1C0000}"/>
    <cellStyle name="Normal 8 2 2 4 6 2" xfId="6920" xr:uid="{00000000-0005-0000-0000-00007E1C0000}"/>
    <cellStyle name="Normal 8 2 2 4 6 2 2" xfId="15349" xr:uid="{8E06FEE3-DBAA-4627-B372-749FE3AF8A22}"/>
    <cellStyle name="Normal 8 2 2 4 6 3" xfId="11131" xr:uid="{576899C7-3475-4689-902B-F98F0A35A8F6}"/>
    <cellStyle name="Normal 8 2 2 4 7" xfId="4855" xr:uid="{00000000-0005-0000-0000-00007F1C0000}"/>
    <cellStyle name="Normal 8 2 2 4 7 2" xfId="13284" xr:uid="{E0BDB8E1-6DC1-4768-A219-AC62C7157872}"/>
    <cellStyle name="Normal 8 2 2 4 8" xfId="9066" xr:uid="{A6F777FA-1AD2-4C80-A8E0-E6B8965E8929}"/>
    <cellStyle name="Normal 8 2 2 5" xfId="948" xr:uid="{00000000-0005-0000-0000-0000801C0000}"/>
    <cellStyle name="Normal 8 2 2 5 2" xfId="3182" xr:uid="{00000000-0005-0000-0000-0000811C0000}"/>
    <cellStyle name="Normal 8 2 2 5 2 2" xfId="7406" xr:uid="{00000000-0005-0000-0000-0000821C0000}"/>
    <cellStyle name="Normal 8 2 2 5 2 2 2" xfId="15835" xr:uid="{3E1CDA02-DAD6-473C-81F4-CD9AA8E29FC8}"/>
    <cellStyle name="Normal 8 2 2 5 2 3" xfId="11617" xr:uid="{86777D05-9D61-4AC4-AE57-EB726DA8CB0B}"/>
    <cellStyle name="Normal 8 2 2 5 3" xfId="5261" xr:uid="{00000000-0005-0000-0000-0000831C0000}"/>
    <cellStyle name="Normal 8 2 2 5 3 2" xfId="13690" xr:uid="{B96B0A0F-476C-447D-98BC-C066968E6A9C}"/>
    <cellStyle name="Normal 8 2 2 5 4" xfId="9472" xr:uid="{1D620346-5B2D-469C-B02C-6843ECB621A4}"/>
    <cellStyle name="Normal 8 2 2 6" xfId="1365" xr:uid="{00000000-0005-0000-0000-0000841C0000}"/>
    <cellStyle name="Normal 8 2 2 6 2" xfId="3595" xr:uid="{00000000-0005-0000-0000-0000851C0000}"/>
    <cellStyle name="Normal 8 2 2 6 2 2" xfId="7819" xr:uid="{00000000-0005-0000-0000-0000861C0000}"/>
    <cellStyle name="Normal 8 2 2 6 2 2 2" xfId="16248" xr:uid="{11C9586A-F3B0-4222-B421-4D30C3667356}"/>
    <cellStyle name="Normal 8 2 2 6 2 3" xfId="12030" xr:uid="{6702109F-A79E-4442-8940-1298DC77D720}"/>
    <cellStyle name="Normal 8 2 2 6 3" xfId="5674" xr:uid="{00000000-0005-0000-0000-0000871C0000}"/>
    <cellStyle name="Normal 8 2 2 6 3 2" xfId="14103" xr:uid="{2B160CE0-9003-45F1-BE0A-580C69F2C4CC}"/>
    <cellStyle name="Normal 8 2 2 6 4" xfId="9885" xr:uid="{96AA4EB6-58B1-4A5A-A618-881AE0F69B98}"/>
    <cellStyle name="Normal 8 2 2 7" xfId="1778" xr:uid="{00000000-0005-0000-0000-0000881C0000}"/>
    <cellStyle name="Normal 8 2 2 7 2" xfId="4008" xr:uid="{00000000-0005-0000-0000-0000891C0000}"/>
    <cellStyle name="Normal 8 2 2 7 2 2" xfId="8232" xr:uid="{00000000-0005-0000-0000-00008A1C0000}"/>
    <cellStyle name="Normal 8 2 2 7 2 2 2" xfId="16661" xr:uid="{0AA97432-92E5-4A32-B0E8-DA5DAEE4BE1C}"/>
    <cellStyle name="Normal 8 2 2 7 2 3" xfId="12443" xr:uid="{F0E2A150-9CC7-43C2-9163-8E35C625CF49}"/>
    <cellStyle name="Normal 8 2 2 7 3" xfId="6087" xr:uid="{00000000-0005-0000-0000-00008B1C0000}"/>
    <cellStyle name="Normal 8 2 2 7 3 2" xfId="14516" xr:uid="{C52BFD80-6861-4AF1-8441-1D9679C66947}"/>
    <cellStyle name="Normal 8 2 2 7 4" xfId="10298" xr:uid="{6B18E03B-7B9C-4FF5-9D4A-7FEE91AA6A7F}"/>
    <cellStyle name="Normal 8 2 2 8" xfId="2192" xr:uid="{00000000-0005-0000-0000-00008C1C0000}"/>
    <cellStyle name="Normal 8 2 2 8 2" xfId="4421" xr:uid="{00000000-0005-0000-0000-00008D1C0000}"/>
    <cellStyle name="Normal 8 2 2 8 2 2" xfId="8645" xr:uid="{00000000-0005-0000-0000-00008E1C0000}"/>
    <cellStyle name="Normal 8 2 2 8 2 2 2" xfId="17074" xr:uid="{9D7CCC18-02D5-4175-97DC-5C29203F70AB}"/>
    <cellStyle name="Normal 8 2 2 8 2 3" xfId="12856" xr:uid="{4ADAD477-8672-4ECD-B85C-799989D17F16}"/>
    <cellStyle name="Normal 8 2 2 8 3" xfId="6500" xr:uid="{00000000-0005-0000-0000-00008F1C0000}"/>
    <cellStyle name="Normal 8 2 2 8 3 2" xfId="14929" xr:uid="{1FE16A7C-8873-4C04-AB38-FA93FA5B0E27}"/>
    <cellStyle name="Normal 8 2 2 8 4" xfId="10711" xr:uid="{F30DC0ED-C06A-433E-937B-29AE1738F0AD}"/>
    <cellStyle name="Normal 8 2 2 9" xfId="2628" xr:uid="{00000000-0005-0000-0000-0000901C0000}"/>
    <cellStyle name="Normal 8 2 2 9 2" xfId="6913" xr:uid="{00000000-0005-0000-0000-0000911C0000}"/>
    <cellStyle name="Normal 8 2 2 9 2 2" xfId="15342" xr:uid="{640B6689-6B1A-4C74-BCF3-3A873581EDFF}"/>
    <cellStyle name="Normal 8 2 2 9 3" xfId="11124" xr:uid="{F62D9404-CF00-4B6B-9309-707E6143BAFD}"/>
    <cellStyle name="Normal 8 2 3" xfId="488" xr:uid="{00000000-0005-0000-0000-0000921C0000}"/>
    <cellStyle name="Normal 8 2 3 10" xfId="9067" xr:uid="{80504E36-DA9A-4BBA-8926-DB35CC88FFA7}"/>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2 2" xfId="15845" xr:uid="{37CCD706-7FDA-41F9-8549-A3FBC497D07A}"/>
    <cellStyle name="Normal 8 2 3 2 2 2 2 3" xfId="11627" xr:uid="{16F7537D-2E30-466B-9E30-A03E60C1505D}"/>
    <cellStyle name="Normal 8 2 3 2 2 2 3" xfId="5271" xr:uid="{00000000-0005-0000-0000-0000981C0000}"/>
    <cellStyle name="Normal 8 2 3 2 2 2 3 2" xfId="13700" xr:uid="{179732AD-F554-47E9-BAA5-B5B5CC007EE5}"/>
    <cellStyle name="Normal 8 2 3 2 2 2 4" xfId="9482" xr:uid="{F1B80D41-E643-4054-9474-CCC0989C82D2}"/>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2 2" xfId="16258" xr:uid="{B9C22000-440E-4D21-BC30-D4F868DB8EA1}"/>
    <cellStyle name="Normal 8 2 3 2 2 3 2 3" xfId="12040" xr:uid="{0DF28C3A-128D-479E-B2A0-BEFB7ED0EF38}"/>
    <cellStyle name="Normal 8 2 3 2 2 3 3" xfId="5684" xr:uid="{00000000-0005-0000-0000-00009C1C0000}"/>
    <cellStyle name="Normal 8 2 3 2 2 3 3 2" xfId="14113" xr:uid="{0D8C56DE-D1B6-4D92-9D20-3AA0A4BDB983}"/>
    <cellStyle name="Normal 8 2 3 2 2 3 4" xfId="9895" xr:uid="{ED0BD2B7-3391-4D6C-B27F-84B10132E70F}"/>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2 2" xfId="16671" xr:uid="{DCEC1C9E-20B5-4288-9672-CF66EEAF0EF4}"/>
    <cellStyle name="Normal 8 2 3 2 2 4 2 3" xfId="12453" xr:uid="{7F9DD66F-AF26-49CA-9951-E29A2E80CA37}"/>
    <cellStyle name="Normal 8 2 3 2 2 4 3" xfId="6097" xr:uid="{00000000-0005-0000-0000-0000A01C0000}"/>
    <cellStyle name="Normal 8 2 3 2 2 4 3 2" xfId="14526" xr:uid="{4A43F4F8-8654-4004-A432-66BF665D10F2}"/>
    <cellStyle name="Normal 8 2 3 2 2 4 4" xfId="10308" xr:uid="{7469ED7F-864B-4C85-882B-E945C2D0045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2 2" xfId="17084" xr:uid="{682FCCF7-8E6B-4203-8DBD-3685D9549A24}"/>
    <cellStyle name="Normal 8 2 3 2 2 5 2 3" xfId="12866" xr:uid="{0761DB0C-D069-4B52-A11C-2DB216BB8B54}"/>
    <cellStyle name="Normal 8 2 3 2 2 5 3" xfId="6510" xr:uid="{00000000-0005-0000-0000-0000A41C0000}"/>
    <cellStyle name="Normal 8 2 3 2 2 5 3 2" xfId="14939" xr:uid="{8CC5DDE9-018A-46A7-AEC5-44C7CD57065F}"/>
    <cellStyle name="Normal 8 2 3 2 2 5 4" xfId="10721" xr:uid="{591CE46B-5E21-4CEF-A77B-14892488EC85}"/>
    <cellStyle name="Normal 8 2 3 2 2 6" xfId="2638" xr:uid="{00000000-0005-0000-0000-0000A51C0000}"/>
    <cellStyle name="Normal 8 2 3 2 2 6 2" xfId="6923" xr:uid="{00000000-0005-0000-0000-0000A61C0000}"/>
    <cellStyle name="Normal 8 2 3 2 2 6 2 2" xfId="15352" xr:uid="{29B07A99-9A39-4C9C-B116-A8012E1CFCB5}"/>
    <cellStyle name="Normal 8 2 3 2 2 6 3" xfId="11134" xr:uid="{9AA777E9-8BEB-4896-AEF9-999E4E778BA9}"/>
    <cellStyle name="Normal 8 2 3 2 2 7" xfId="4858" xr:uid="{00000000-0005-0000-0000-0000A71C0000}"/>
    <cellStyle name="Normal 8 2 3 2 2 7 2" xfId="13287" xr:uid="{8788348D-AC0F-4D2A-B870-77A2026FE2E1}"/>
    <cellStyle name="Normal 8 2 3 2 2 8" xfId="9069" xr:uid="{6E7EF3CD-9038-4EB9-8FF6-BD82AE47C934}"/>
    <cellStyle name="Normal 8 2 3 2 3" xfId="957" xr:uid="{00000000-0005-0000-0000-0000A81C0000}"/>
    <cellStyle name="Normal 8 2 3 2 3 2" xfId="3191" xr:uid="{00000000-0005-0000-0000-0000A91C0000}"/>
    <cellStyle name="Normal 8 2 3 2 3 2 2" xfId="7415" xr:uid="{00000000-0005-0000-0000-0000AA1C0000}"/>
    <cellStyle name="Normal 8 2 3 2 3 2 2 2" xfId="15844" xr:uid="{0802958A-8DB8-4C84-9A8F-F5124E6BD962}"/>
    <cellStyle name="Normal 8 2 3 2 3 2 3" xfId="11626" xr:uid="{199F0B10-8F9A-4F81-BCA2-449A597F943C}"/>
    <cellStyle name="Normal 8 2 3 2 3 3" xfId="5270" xr:uid="{00000000-0005-0000-0000-0000AB1C0000}"/>
    <cellStyle name="Normal 8 2 3 2 3 3 2" xfId="13699" xr:uid="{3DBE046C-85D9-4450-ABE0-EFE8D292EBB8}"/>
    <cellStyle name="Normal 8 2 3 2 3 4" xfId="9481" xr:uid="{4090D3F9-57D4-4CDD-9B7A-473EE0A83C38}"/>
    <cellStyle name="Normal 8 2 3 2 4" xfId="1374" xr:uid="{00000000-0005-0000-0000-0000AC1C0000}"/>
    <cellStyle name="Normal 8 2 3 2 4 2" xfId="3604" xr:uid="{00000000-0005-0000-0000-0000AD1C0000}"/>
    <cellStyle name="Normal 8 2 3 2 4 2 2" xfId="7828" xr:uid="{00000000-0005-0000-0000-0000AE1C0000}"/>
    <cellStyle name="Normal 8 2 3 2 4 2 2 2" xfId="16257" xr:uid="{0A7750E3-FD46-4DA0-9389-55F6E3FDC86B}"/>
    <cellStyle name="Normal 8 2 3 2 4 2 3" xfId="12039" xr:uid="{1D46C301-4CA2-4BB6-A065-50A7DB61B1FC}"/>
    <cellStyle name="Normal 8 2 3 2 4 3" xfId="5683" xr:uid="{00000000-0005-0000-0000-0000AF1C0000}"/>
    <cellStyle name="Normal 8 2 3 2 4 3 2" xfId="14112" xr:uid="{DF29ED74-E22F-4C26-B918-DAD429249717}"/>
    <cellStyle name="Normal 8 2 3 2 4 4" xfId="9894" xr:uid="{9FE4FADD-E885-4C90-83D3-2D22B8C4BFB6}"/>
    <cellStyle name="Normal 8 2 3 2 5" xfId="1787" xr:uid="{00000000-0005-0000-0000-0000B01C0000}"/>
    <cellStyle name="Normal 8 2 3 2 5 2" xfId="4017" xr:uid="{00000000-0005-0000-0000-0000B11C0000}"/>
    <cellStyle name="Normal 8 2 3 2 5 2 2" xfId="8241" xr:uid="{00000000-0005-0000-0000-0000B21C0000}"/>
    <cellStyle name="Normal 8 2 3 2 5 2 2 2" xfId="16670" xr:uid="{4B31D0D8-DBC9-424C-8BF1-2E6910B8837A}"/>
    <cellStyle name="Normal 8 2 3 2 5 2 3" xfId="12452" xr:uid="{7A337EB3-369B-4A8F-8E2A-211F24E7AD9A}"/>
    <cellStyle name="Normal 8 2 3 2 5 3" xfId="6096" xr:uid="{00000000-0005-0000-0000-0000B31C0000}"/>
    <cellStyle name="Normal 8 2 3 2 5 3 2" xfId="14525" xr:uid="{C4066DD4-17EB-4EB3-A9E1-00C0F501FF6B}"/>
    <cellStyle name="Normal 8 2 3 2 5 4" xfId="10307" xr:uid="{7B9F0400-1B07-406F-B194-A27586E816C5}"/>
    <cellStyle name="Normal 8 2 3 2 6" xfId="2201" xr:uid="{00000000-0005-0000-0000-0000B41C0000}"/>
    <cellStyle name="Normal 8 2 3 2 6 2" xfId="4430" xr:uid="{00000000-0005-0000-0000-0000B51C0000}"/>
    <cellStyle name="Normal 8 2 3 2 6 2 2" xfId="8654" xr:uid="{00000000-0005-0000-0000-0000B61C0000}"/>
    <cellStyle name="Normal 8 2 3 2 6 2 2 2" xfId="17083" xr:uid="{CFAFC489-2AB2-4748-B41E-816C8946E927}"/>
    <cellStyle name="Normal 8 2 3 2 6 2 3" xfId="12865" xr:uid="{9E787CAE-CCB8-445E-8FB2-6E83C69A3739}"/>
    <cellStyle name="Normal 8 2 3 2 6 3" xfId="6509" xr:uid="{00000000-0005-0000-0000-0000B71C0000}"/>
    <cellStyle name="Normal 8 2 3 2 6 3 2" xfId="14938" xr:uid="{752781AD-5D3B-4582-A928-C76FC8CA7E63}"/>
    <cellStyle name="Normal 8 2 3 2 6 4" xfId="10720" xr:uid="{45CD0E5D-E437-4ABC-A49C-7E526939C453}"/>
    <cellStyle name="Normal 8 2 3 2 7" xfId="2637" xr:uid="{00000000-0005-0000-0000-0000B81C0000}"/>
    <cellStyle name="Normal 8 2 3 2 7 2" xfId="6922" xr:uid="{00000000-0005-0000-0000-0000B91C0000}"/>
    <cellStyle name="Normal 8 2 3 2 7 2 2" xfId="15351" xr:uid="{5DC0C725-1972-4E81-882F-41F1CAB41BF0}"/>
    <cellStyle name="Normal 8 2 3 2 7 3" xfId="11133" xr:uid="{8E61465B-1CF1-43BA-9207-08146740E3AE}"/>
    <cellStyle name="Normal 8 2 3 2 8" xfId="4857" xr:uid="{00000000-0005-0000-0000-0000BA1C0000}"/>
    <cellStyle name="Normal 8 2 3 2 8 2" xfId="13286" xr:uid="{7D2B8D0E-0263-430A-9C21-D9DB262AC726}"/>
    <cellStyle name="Normal 8 2 3 2 9" xfId="9068" xr:uid="{5E1DD479-D9A4-421F-B73F-BBE5CE80AF91}"/>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2 2" xfId="15846" xr:uid="{7D4A40BE-B858-4689-94CD-D25100CFF9FE}"/>
    <cellStyle name="Normal 8 2 3 3 2 2 3" xfId="11628" xr:uid="{5AB37241-D9D4-4E1B-A042-EA498A22479F}"/>
    <cellStyle name="Normal 8 2 3 3 2 3" xfId="5272" xr:uid="{00000000-0005-0000-0000-0000BF1C0000}"/>
    <cellStyle name="Normal 8 2 3 3 2 3 2" xfId="13701" xr:uid="{E0473EB8-E9D3-4810-A8FA-6A5EC98EDFEF}"/>
    <cellStyle name="Normal 8 2 3 3 2 4" xfId="9483" xr:uid="{1BEB7113-9190-449A-8FDF-B698BA0FB3BF}"/>
    <cellStyle name="Normal 8 2 3 3 3" xfId="1376" xr:uid="{00000000-0005-0000-0000-0000C01C0000}"/>
    <cellStyle name="Normal 8 2 3 3 3 2" xfId="3606" xr:uid="{00000000-0005-0000-0000-0000C11C0000}"/>
    <cellStyle name="Normal 8 2 3 3 3 2 2" xfId="7830" xr:uid="{00000000-0005-0000-0000-0000C21C0000}"/>
    <cellStyle name="Normal 8 2 3 3 3 2 2 2" xfId="16259" xr:uid="{2BCCE4B4-7CF2-4AF2-AC78-E4419C5E8F01}"/>
    <cellStyle name="Normal 8 2 3 3 3 2 3" xfId="12041" xr:uid="{80A90E51-8667-4B3F-A399-19CE47C32FAD}"/>
    <cellStyle name="Normal 8 2 3 3 3 3" xfId="5685" xr:uid="{00000000-0005-0000-0000-0000C31C0000}"/>
    <cellStyle name="Normal 8 2 3 3 3 3 2" xfId="14114" xr:uid="{8E256A2C-A261-4AEB-9A2C-12167E3F795E}"/>
    <cellStyle name="Normal 8 2 3 3 3 4" xfId="9896" xr:uid="{6D10919E-A0EF-4912-A35C-94FE23A38075}"/>
    <cellStyle name="Normal 8 2 3 3 4" xfId="1789" xr:uid="{00000000-0005-0000-0000-0000C41C0000}"/>
    <cellStyle name="Normal 8 2 3 3 4 2" xfId="4019" xr:uid="{00000000-0005-0000-0000-0000C51C0000}"/>
    <cellStyle name="Normal 8 2 3 3 4 2 2" xfId="8243" xr:uid="{00000000-0005-0000-0000-0000C61C0000}"/>
    <cellStyle name="Normal 8 2 3 3 4 2 2 2" xfId="16672" xr:uid="{D389BED2-88B5-4B55-B125-514302F04636}"/>
    <cellStyle name="Normal 8 2 3 3 4 2 3" xfId="12454" xr:uid="{3668715D-1C16-46F3-85A5-7EF159284C39}"/>
    <cellStyle name="Normal 8 2 3 3 4 3" xfId="6098" xr:uid="{00000000-0005-0000-0000-0000C71C0000}"/>
    <cellStyle name="Normal 8 2 3 3 4 3 2" xfId="14527" xr:uid="{1E92E2C8-8E89-410C-9194-0AAADF36EEBF}"/>
    <cellStyle name="Normal 8 2 3 3 4 4" xfId="10309" xr:uid="{8AF940C1-3112-4FF6-A918-7DEABDAB8019}"/>
    <cellStyle name="Normal 8 2 3 3 5" xfId="2203" xr:uid="{00000000-0005-0000-0000-0000C81C0000}"/>
    <cellStyle name="Normal 8 2 3 3 5 2" xfId="4432" xr:uid="{00000000-0005-0000-0000-0000C91C0000}"/>
    <cellStyle name="Normal 8 2 3 3 5 2 2" xfId="8656" xr:uid="{00000000-0005-0000-0000-0000CA1C0000}"/>
    <cellStyle name="Normal 8 2 3 3 5 2 2 2" xfId="17085" xr:uid="{6E916492-550B-47CA-8C39-21276B7A2F31}"/>
    <cellStyle name="Normal 8 2 3 3 5 2 3" xfId="12867" xr:uid="{FFC95555-9CA2-4F87-9918-3A815DFCD02E}"/>
    <cellStyle name="Normal 8 2 3 3 5 3" xfId="6511" xr:uid="{00000000-0005-0000-0000-0000CB1C0000}"/>
    <cellStyle name="Normal 8 2 3 3 5 3 2" xfId="14940" xr:uid="{E76F22FA-3272-4393-A419-01CB05617E6E}"/>
    <cellStyle name="Normal 8 2 3 3 5 4" xfId="10722" xr:uid="{1AA6D11D-4983-4BC1-842E-2855ECA2468F}"/>
    <cellStyle name="Normal 8 2 3 3 6" xfId="2639" xr:uid="{00000000-0005-0000-0000-0000CC1C0000}"/>
    <cellStyle name="Normal 8 2 3 3 6 2" xfId="6924" xr:uid="{00000000-0005-0000-0000-0000CD1C0000}"/>
    <cellStyle name="Normal 8 2 3 3 6 2 2" xfId="15353" xr:uid="{0BD6D749-D918-41C1-AF1F-24E94C8610B0}"/>
    <cellStyle name="Normal 8 2 3 3 6 3" xfId="11135" xr:uid="{B0A0B21C-AEEE-4104-8CC0-D2CB98EAF04D}"/>
    <cellStyle name="Normal 8 2 3 3 7" xfId="4859" xr:uid="{00000000-0005-0000-0000-0000CE1C0000}"/>
    <cellStyle name="Normal 8 2 3 3 7 2" xfId="13288" xr:uid="{990BD7BD-42A9-4FDA-A5BA-67D5D31C18BF}"/>
    <cellStyle name="Normal 8 2 3 3 8" xfId="9070" xr:uid="{9BE2E8BC-BD8D-4A01-A5FC-4F7314963C02}"/>
    <cellStyle name="Normal 8 2 3 4" xfId="956" xr:uid="{00000000-0005-0000-0000-0000CF1C0000}"/>
    <cellStyle name="Normal 8 2 3 4 2" xfId="3190" xr:uid="{00000000-0005-0000-0000-0000D01C0000}"/>
    <cellStyle name="Normal 8 2 3 4 2 2" xfId="7414" xr:uid="{00000000-0005-0000-0000-0000D11C0000}"/>
    <cellStyle name="Normal 8 2 3 4 2 2 2" xfId="15843" xr:uid="{1F71E4BA-35E1-4592-BD4A-3114DF1A5442}"/>
    <cellStyle name="Normal 8 2 3 4 2 3" xfId="11625" xr:uid="{4313A3E0-7110-43CB-98BE-A5942CFF27CA}"/>
    <cellStyle name="Normal 8 2 3 4 3" xfId="5269" xr:uid="{00000000-0005-0000-0000-0000D21C0000}"/>
    <cellStyle name="Normal 8 2 3 4 3 2" xfId="13698" xr:uid="{1B38E429-52DB-4E1E-9175-C5D6C9BE52E9}"/>
    <cellStyle name="Normal 8 2 3 4 4" xfId="9480" xr:uid="{765709FE-713E-4158-B69F-FFF1C9849769}"/>
    <cellStyle name="Normal 8 2 3 5" xfId="1373" xr:uid="{00000000-0005-0000-0000-0000D31C0000}"/>
    <cellStyle name="Normal 8 2 3 5 2" xfId="3603" xr:uid="{00000000-0005-0000-0000-0000D41C0000}"/>
    <cellStyle name="Normal 8 2 3 5 2 2" xfId="7827" xr:uid="{00000000-0005-0000-0000-0000D51C0000}"/>
    <cellStyle name="Normal 8 2 3 5 2 2 2" xfId="16256" xr:uid="{194F5576-756D-44FC-B8DC-433D105CE472}"/>
    <cellStyle name="Normal 8 2 3 5 2 3" xfId="12038" xr:uid="{C0CCE67A-0A21-42C3-BAE5-058272E67025}"/>
    <cellStyle name="Normal 8 2 3 5 3" xfId="5682" xr:uid="{00000000-0005-0000-0000-0000D61C0000}"/>
    <cellStyle name="Normal 8 2 3 5 3 2" xfId="14111" xr:uid="{633A76E5-DFFB-43B7-B0EF-CA147A41864A}"/>
    <cellStyle name="Normal 8 2 3 5 4" xfId="9893" xr:uid="{7A8321B5-0F9A-4E97-924F-A73A55346F5E}"/>
    <cellStyle name="Normal 8 2 3 6" xfId="1786" xr:uid="{00000000-0005-0000-0000-0000D71C0000}"/>
    <cellStyle name="Normal 8 2 3 6 2" xfId="4016" xr:uid="{00000000-0005-0000-0000-0000D81C0000}"/>
    <cellStyle name="Normal 8 2 3 6 2 2" xfId="8240" xr:uid="{00000000-0005-0000-0000-0000D91C0000}"/>
    <cellStyle name="Normal 8 2 3 6 2 2 2" xfId="16669" xr:uid="{60271492-8335-4308-96F7-6EE308DE5A91}"/>
    <cellStyle name="Normal 8 2 3 6 2 3" xfId="12451" xr:uid="{A16F89D9-9669-4A44-8BD7-DD439A2EA5A0}"/>
    <cellStyle name="Normal 8 2 3 6 3" xfId="6095" xr:uid="{00000000-0005-0000-0000-0000DA1C0000}"/>
    <cellStyle name="Normal 8 2 3 6 3 2" xfId="14524" xr:uid="{5B063007-9212-4914-A9A6-E659B962A1F8}"/>
    <cellStyle name="Normal 8 2 3 6 4" xfId="10306" xr:uid="{D5ACB2C7-85B8-450C-ADEC-82EFB28531C8}"/>
    <cellStyle name="Normal 8 2 3 7" xfId="2200" xr:uid="{00000000-0005-0000-0000-0000DB1C0000}"/>
    <cellStyle name="Normal 8 2 3 7 2" xfId="4429" xr:uid="{00000000-0005-0000-0000-0000DC1C0000}"/>
    <cellStyle name="Normal 8 2 3 7 2 2" xfId="8653" xr:uid="{00000000-0005-0000-0000-0000DD1C0000}"/>
    <cellStyle name="Normal 8 2 3 7 2 2 2" xfId="17082" xr:uid="{ECDCB1C9-7FC1-4015-8DA2-AE5598875EC4}"/>
    <cellStyle name="Normal 8 2 3 7 2 3" xfId="12864" xr:uid="{39FD409C-3314-4BB5-97F1-0F3F2AD2149A}"/>
    <cellStyle name="Normal 8 2 3 7 3" xfId="6508" xr:uid="{00000000-0005-0000-0000-0000DE1C0000}"/>
    <cellStyle name="Normal 8 2 3 7 3 2" xfId="14937" xr:uid="{5F683295-6A14-408D-B1DA-1C6FB000EC69}"/>
    <cellStyle name="Normal 8 2 3 7 4" xfId="10719" xr:uid="{BE7ECDD2-0D4C-43F4-8F3F-52FAD1AF83F6}"/>
    <cellStyle name="Normal 8 2 3 8" xfId="2636" xr:uid="{00000000-0005-0000-0000-0000DF1C0000}"/>
    <cellStyle name="Normal 8 2 3 8 2" xfId="6921" xr:uid="{00000000-0005-0000-0000-0000E01C0000}"/>
    <cellStyle name="Normal 8 2 3 8 2 2" xfId="15350" xr:uid="{2DDE6D3C-C35B-4B5D-81F4-4A54DD454579}"/>
    <cellStyle name="Normal 8 2 3 8 3" xfId="11132" xr:uid="{BE2AB102-9809-4408-A803-A47BD5CC86FE}"/>
    <cellStyle name="Normal 8 2 3 9" xfId="4856" xr:uid="{00000000-0005-0000-0000-0000E11C0000}"/>
    <cellStyle name="Normal 8 2 3 9 2" xfId="13285" xr:uid="{7BA87BE8-633A-4EB6-A673-A459B2F87F4B}"/>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2 2" xfId="15848" xr:uid="{DA5E1CFD-0681-4AE7-8C0A-0660B73C51B6}"/>
    <cellStyle name="Normal 8 2 4 2 2 2 3" xfId="11630" xr:uid="{A333AB32-7A0B-45E3-BB01-571E309766CF}"/>
    <cellStyle name="Normal 8 2 4 2 2 3" xfId="5274" xr:uid="{00000000-0005-0000-0000-0000E71C0000}"/>
    <cellStyle name="Normal 8 2 4 2 2 3 2" xfId="13703" xr:uid="{DBFB0705-FF6D-402B-8733-25C131E57047}"/>
    <cellStyle name="Normal 8 2 4 2 2 4" xfId="9485" xr:uid="{D2D0CDA6-E49D-4382-85DC-D5D169CFFA9A}"/>
    <cellStyle name="Normal 8 2 4 2 3" xfId="1378" xr:uid="{00000000-0005-0000-0000-0000E81C0000}"/>
    <cellStyle name="Normal 8 2 4 2 3 2" xfId="3608" xr:uid="{00000000-0005-0000-0000-0000E91C0000}"/>
    <cellStyle name="Normal 8 2 4 2 3 2 2" xfId="7832" xr:uid="{00000000-0005-0000-0000-0000EA1C0000}"/>
    <cellStyle name="Normal 8 2 4 2 3 2 2 2" xfId="16261" xr:uid="{FF53D5E8-33CE-42E2-8B55-9A3C3E15650F}"/>
    <cellStyle name="Normal 8 2 4 2 3 2 3" xfId="12043" xr:uid="{0B15043C-14FF-44BF-B256-E9CA2B13EF20}"/>
    <cellStyle name="Normal 8 2 4 2 3 3" xfId="5687" xr:uid="{00000000-0005-0000-0000-0000EB1C0000}"/>
    <cellStyle name="Normal 8 2 4 2 3 3 2" xfId="14116" xr:uid="{146DFD47-7525-492C-9D08-56B05977E541}"/>
    <cellStyle name="Normal 8 2 4 2 3 4" xfId="9898" xr:uid="{18C07B6E-CCF8-48BF-B008-47F606168E53}"/>
    <cellStyle name="Normal 8 2 4 2 4" xfId="1791" xr:uid="{00000000-0005-0000-0000-0000EC1C0000}"/>
    <cellStyle name="Normal 8 2 4 2 4 2" xfId="4021" xr:uid="{00000000-0005-0000-0000-0000ED1C0000}"/>
    <cellStyle name="Normal 8 2 4 2 4 2 2" xfId="8245" xr:uid="{00000000-0005-0000-0000-0000EE1C0000}"/>
    <cellStyle name="Normal 8 2 4 2 4 2 2 2" xfId="16674" xr:uid="{EACB15D7-3603-4CE2-9C4A-AC9865E7CF04}"/>
    <cellStyle name="Normal 8 2 4 2 4 2 3" xfId="12456" xr:uid="{6B3731E0-B0B9-444E-A1A2-34DC9D67993F}"/>
    <cellStyle name="Normal 8 2 4 2 4 3" xfId="6100" xr:uid="{00000000-0005-0000-0000-0000EF1C0000}"/>
    <cellStyle name="Normal 8 2 4 2 4 3 2" xfId="14529" xr:uid="{A1B36F1E-795E-47FC-A7D5-C1153C1FB0F8}"/>
    <cellStyle name="Normal 8 2 4 2 4 4" xfId="10311" xr:uid="{2F5C5288-452E-4B37-8F9D-FA22F2435F62}"/>
    <cellStyle name="Normal 8 2 4 2 5" xfId="2205" xr:uid="{00000000-0005-0000-0000-0000F01C0000}"/>
    <cellStyle name="Normal 8 2 4 2 5 2" xfId="4434" xr:uid="{00000000-0005-0000-0000-0000F11C0000}"/>
    <cellStyle name="Normal 8 2 4 2 5 2 2" xfId="8658" xr:uid="{00000000-0005-0000-0000-0000F21C0000}"/>
    <cellStyle name="Normal 8 2 4 2 5 2 2 2" xfId="17087" xr:uid="{EF06ACAA-FBA7-4528-8FE1-2214AE0C818C}"/>
    <cellStyle name="Normal 8 2 4 2 5 2 3" xfId="12869" xr:uid="{51F4C9FC-9F5C-4AA1-8A86-C41C3E269488}"/>
    <cellStyle name="Normal 8 2 4 2 5 3" xfId="6513" xr:uid="{00000000-0005-0000-0000-0000F31C0000}"/>
    <cellStyle name="Normal 8 2 4 2 5 3 2" xfId="14942" xr:uid="{0FC5C944-C544-4543-99F3-9B3A6883D60F}"/>
    <cellStyle name="Normal 8 2 4 2 5 4" xfId="10724" xr:uid="{E02913FA-2B7F-4B48-8838-7959A807E9E4}"/>
    <cellStyle name="Normal 8 2 4 2 6" xfId="2641" xr:uid="{00000000-0005-0000-0000-0000F41C0000}"/>
    <cellStyle name="Normal 8 2 4 2 6 2" xfId="6926" xr:uid="{00000000-0005-0000-0000-0000F51C0000}"/>
    <cellStyle name="Normal 8 2 4 2 6 2 2" xfId="15355" xr:uid="{4607D6AF-A213-4F22-AEBE-8858759B5E65}"/>
    <cellStyle name="Normal 8 2 4 2 6 3" xfId="11137" xr:uid="{A237064D-E01B-48C4-88FA-9CA16F3267EC}"/>
    <cellStyle name="Normal 8 2 4 2 7" xfId="4861" xr:uid="{00000000-0005-0000-0000-0000F61C0000}"/>
    <cellStyle name="Normal 8 2 4 2 7 2" xfId="13290" xr:uid="{2373595C-FE66-4347-9EE8-597EB0E538FD}"/>
    <cellStyle name="Normal 8 2 4 2 8" xfId="9072" xr:uid="{33DEA19F-6B16-40C3-960C-E3F3AC6AAF7B}"/>
    <cellStyle name="Normal 8 2 4 3" xfId="960" xr:uid="{00000000-0005-0000-0000-0000F71C0000}"/>
    <cellStyle name="Normal 8 2 4 3 2" xfId="3194" xr:uid="{00000000-0005-0000-0000-0000F81C0000}"/>
    <cellStyle name="Normal 8 2 4 3 2 2" xfId="7418" xr:uid="{00000000-0005-0000-0000-0000F91C0000}"/>
    <cellStyle name="Normal 8 2 4 3 2 2 2" xfId="15847" xr:uid="{7AC9686E-8447-4189-83AA-648ED7A795AC}"/>
    <cellStyle name="Normal 8 2 4 3 2 3" xfId="11629" xr:uid="{07B9A3B3-61CA-402E-A7E7-CD9400A599F2}"/>
    <cellStyle name="Normal 8 2 4 3 3" xfId="5273" xr:uid="{00000000-0005-0000-0000-0000FA1C0000}"/>
    <cellStyle name="Normal 8 2 4 3 3 2" xfId="13702" xr:uid="{21AEFD06-DC6A-47F2-A687-3E1F11F98D1F}"/>
    <cellStyle name="Normal 8 2 4 3 4" xfId="9484" xr:uid="{760B8119-59A8-4605-BA2B-3A9115DD182D}"/>
    <cellStyle name="Normal 8 2 4 4" xfId="1377" xr:uid="{00000000-0005-0000-0000-0000FB1C0000}"/>
    <cellStyle name="Normal 8 2 4 4 2" xfId="3607" xr:uid="{00000000-0005-0000-0000-0000FC1C0000}"/>
    <cellStyle name="Normal 8 2 4 4 2 2" xfId="7831" xr:uid="{00000000-0005-0000-0000-0000FD1C0000}"/>
    <cellStyle name="Normal 8 2 4 4 2 2 2" xfId="16260" xr:uid="{21557F9D-4D77-4880-B9D7-1EC7EA962269}"/>
    <cellStyle name="Normal 8 2 4 4 2 3" xfId="12042" xr:uid="{BD9870B3-1C2A-4319-8196-BE3E98A39E07}"/>
    <cellStyle name="Normal 8 2 4 4 3" xfId="5686" xr:uid="{00000000-0005-0000-0000-0000FE1C0000}"/>
    <cellStyle name="Normal 8 2 4 4 3 2" xfId="14115" xr:uid="{19FAFE53-EAE8-4BE9-B93A-24CE23D8B9D1}"/>
    <cellStyle name="Normal 8 2 4 4 4" xfId="9897" xr:uid="{779FB659-8F11-4320-9FE9-7840A5225C63}"/>
    <cellStyle name="Normal 8 2 4 5" xfId="1790" xr:uid="{00000000-0005-0000-0000-0000FF1C0000}"/>
    <cellStyle name="Normal 8 2 4 5 2" xfId="4020" xr:uid="{00000000-0005-0000-0000-0000001D0000}"/>
    <cellStyle name="Normal 8 2 4 5 2 2" xfId="8244" xr:uid="{00000000-0005-0000-0000-0000011D0000}"/>
    <cellStyle name="Normal 8 2 4 5 2 2 2" xfId="16673" xr:uid="{3435AA11-FA05-4A1E-8002-7B684AB2FB22}"/>
    <cellStyle name="Normal 8 2 4 5 2 3" xfId="12455" xr:uid="{974B27E3-D0A1-42CE-9AE4-F20967E43C2A}"/>
    <cellStyle name="Normal 8 2 4 5 3" xfId="6099" xr:uid="{00000000-0005-0000-0000-0000021D0000}"/>
    <cellStyle name="Normal 8 2 4 5 3 2" xfId="14528" xr:uid="{2CEF5F8D-333A-4CBA-9D6C-7C7C4E9E3430}"/>
    <cellStyle name="Normal 8 2 4 5 4" xfId="10310" xr:uid="{3F6A3B14-95F5-44CC-8D56-73F05F4B1727}"/>
    <cellStyle name="Normal 8 2 4 6" xfId="2204" xr:uid="{00000000-0005-0000-0000-0000031D0000}"/>
    <cellStyle name="Normal 8 2 4 6 2" xfId="4433" xr:uid="{00000000-0005-0000-0000-0000041D0000}"/>
    <cellStyle name="Normal 8 2 4 6 2 2" xfId="8657" xr:uid="{00000000-0005-0000-0000-0000051D0000}"/>
    <cellStyle name="Normal 8 2 4 6 2 2 2" xfId="17086" xr:uid="{3B86BC9C-23AA-454B-BADE-43786E079092}"/>
    <cellStyle name="Normal 8 2 4 6 2 3" xfId="12868" xr:uid="{4C2DBC28-9066-45C1-A7B5-EF18280E6880}"/>
    <cellStyle name="Normal 8 2 4 6 3" xfId="6512" xr:uid="{00000000-0005-0000-0000-0000061D0000}"/>
    <cellStyle name="Normal 8 2 4 6 3 2" xfId="14941" xr:uid="{EF79227D-D229-4B70-9A7E-BEA8696C2E06}"/>
    <cellStyle name="Normal 8 2 4 6 4" xfId="10723" xr:uid="{2E0AA0C5-7AC9-4980-AE29-B567750AF176}"/>
    <cellStyle name="Normal 8 2 4 7" xfId="2640" xr:uid="{00000000-0005-0000-0000-0000071D0000}"/>
    <cellStyle name="Normal 8 2 4 7 2" xfId="6925" xr:uid="{00000000-0005-0000-0000-0000081D0000}"/>
    <cellStyle name="Normal 8 2 4 7 2 2" xfId="15354" xr:uid="{591A0F00-B472-4E8B-AFA2-CD0FE96BB379}"/>
    <cellStyle name="Normal 8 2 4 7 3" xfId="11136" xr:uid="{4A73AF35-7252-49AC-9598-BC02A76D31D4}"/>
    <cellStyle name="Normal 8 2 4 8" xfId="4860" xr:uid="{00000000-0005-0000-0000-0000091D0000}"/>
    <cellStyle name="Normal 8 2 4 8 2" xfId="13289" xr:uid="{5FFB6BF5-BF82-47FA-B682-077127D0CC4F}"/>
    <cellStyle name="Normal 8 2 4 9" xfId="9071" xr:uid="{66DE521B-EFDB-4B73-BF86-23AB529BE42B}"/>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2 2" xfId="15849" xr:uid="{3B88D343-6556-49EC-9DF1-F2582D30B6A2}"/>
    <cellStyle name="Normal 8 2 5 2 2 3" xfId="11631" xr:uid="{7FAD8BBB-D602-407C-8521-F2725A0CC51B}"/>
    <cellStyle name="Normal 8 2 5 2 3" xfId="5275" xr:uid="{00000000-0005-0000-0000-00000E1D0000}"/>
    <cellStyle name="Normal 8 2 5 2 3 2" xfId="13704" xr:uid="{FE7813C2-A328-444F-AA76-830FAFDDBDA1}"/>
    <cellStyle name="Normal 8 2 5 2 4" xfId="9486" xr:uid="{09ED8F96-A138-43D4-8CAD-F9A889E75408}"/>
    <cellStyle name="Normal 8 2 5 3" xfId="1379" xr:uid="{00000000-0005-0000-0000-00000F1D0000}"/>
    <cellStyle name="Normal 8 2 5 3 2" xfId="3609" xr:uid="{00000000-0005-0000-0000-0000101D0000}"/>
    <cellStyle name="Normal 8 2 5 3 2 2" xfId="7833" xr:uid="{00000000-0005-0000-0000-0000111D0000}"/>
    <cellStyle name="Normal 8 2 5 3 2 2 2" xfId="16262" xr:uid="{75BEB15B-64B0-4E4D-ACCA-E61456D67EB4}"/>
    <cellStyle name="Normal 8 2 5 3 2 3" xfId="12044" xr:uid="{339145B8-D2BD-499C-8382-6069C3AC3B90}"/>
    <cellStyle name="Normal 8 2 5 3 3" xfId="5688" xr:uid="{00000000-0005-0000-0000-0000121D0000}"/>
    <cellStyle name="Normal 8 2 5 3 3 2" xfId="14117" xr:uid="{19BB0793-4C6C-4CAD-B520-C9E417304B3C}"/>
    <cellStyle name="Normal 8 2 5 3 4" xfId="9899" xr:uid="{1B4B7DC0-9297-4535-A236-1DD999B5EBDC}"/>
    <cellStyle name="Normal 8 2 5 4" xfId="1792" xr:uid="{00000000-0005-0000-0000-0000131D0000}"/>
    <cellStyle name="Normal 8 2 5 4 2" xfId="4022" xr:uid="{00000000-0005-0000-0000-0000141D0000}"/>
    <cellStyle name="Normal 8 2 5 4 2 2" xfId="8246" xr:uid="{00000000-0005-0000-0000-0000151D0000}"/>
    <cellStyle name="Normal 8 2 5 4 2 2 2" xfId="16675" xr:uid="{297DD8DD-5067-450E-B1F8-EAC1BFA66A14}"/>
    <cellStyle name="Normal 8 2 5 4 2 3" xfId="12457" xr:uid="{DF511095-8531-40A1-AF40-14C8F5A69BB8}"/>
    <cellStyle name="Normal 8 2 5 4 3" xfId="6101" xr:uid="{00000000-0005-0000-0000-0000161D0000}"/>
    <cellStyle name="Normal 8 2 5 4 3 2" xfId="14530" xr:uid="{D4DBA91D-B534-45E2-9600-B49F0A1D043E}"/>
    <cellStyle name="Normal 8 2 5 4 4" xfId="10312" xr:uid="{7EF8CDEB-E06C-4F9A-B6E7-533F9B5A7316}"/>
    <cellStyle name="Normal 8 2 5 5" xfId="2206" xr:uid="{00000000-0005-0000-0000-0000171D0000}"/>
    <cellStyle name="Normal 8 2 5 5 2" xfId="4435" xr:uid="{00000000-0005-0000-0000-0000181D0000}"/>
    <cellStyle name="Normal 8 2 5 5 2 2" xfId="8659" xr:uid="{00000000-0005-0000-0000-0000191D0000}"/>
    <cellStyle name="Normal 8 2 5 5 2 2 2" xfId="17088" xr:uid="{86236752-58BD-4672-89F4-2C67355D0AAD}"/>
    <cellStyle name="Normal 8 2 5 5 2 3" xfId="12870" xr:uid="{CC517D4D-92EC-4EDC-8519-746A20BF1A2E}"/>
    <cellStyle name="Normal 8 2 5 5 3" xfId="6514" xr:uid="{00000000-0005-0000-0000-00001A1D0000}"/>
    <cellStyle name="Normal 8 2 5 5 3 2" xfId="14943" xr:uid="{26BD1056-3D04-42E0-9F4E-05EC0FB6E43B}"/>
    <cellStyle name="Normal 8 2 5 5 4" xfId="10725" xr:uid="{06BB16E2-0467-4543-859B-2D37C1E06375}"/>
    <cellStyle name="Normal 8 2 5 6" xfId="2642" xr:uid="{00000000-0005-0000-0000-00001B1D0000}"/>
    <cellStyle name="Normal 8 2 5 6 2" xfId="6927" xr:uid="{00000000-0005-0000-0000-00001C1D0000}"/>
    <cellStyle name="Normal 8 2 5 6 2 2" xfId="15356" xr:uid="{9CCA777E-D54F-4A8D-BEEE-8D1D232DCE62}"/>
    <cellStyle name="Normal 8 2 5 6 3" xfId="11138" xr:uid="{D247CCEA-686F-4C83-801D-2C65786805E1}"/>
    <cellStyle name="Normal 8 2 5 7" xfId="4862" xr:uid="{00000000-0005-0000-0000-00001D1D0000}"/>
    <cellStyle name="Normal 8 2 5 7 2" xfId="13291" xr:uid="{082AAD26-7E0C-4E5F-8398-2D1691BB1D01}"/>
    <cellStyle name="Normal 8 2 5 8" xfId="9073" xr:uid="{26AEBE99-3FED-4021-AEE1-35A0D729BA26}"/>
    <cellStyle name="Normal 8 2 6" xfId="947" xr:uid="{00000000-0005-0000-0000-00001E1D0000}"/>
    <cellStyle name="Normal 8 2 6 2" xfId="3181" xr:uid="{00000000-0005-0000-0000-00001F1D0000}"/>
    <cellStyle name="Normal 8 2 6 2 2" xfId="7405" xr:uid="{00000000-0005-0000-0000-0000201D0000}"/>
    <cellStyle name="Normal 8 2 6 2 2 2" xfId="15834" xr:uid="{CE32FC31-EE48-4267-8145-8D780F56FA2C}"/>
    <cellStyle name="Normal 8 2 6 2 3" xfId="11616" xr:uid="{E2314EB1-9054-4CD7-B31F-5097A6C52D34}"/>
    <cellStyle name="Normal 8 2 6 3" xfId="5260" xr:uid="{00000000-0005-0000-0000-0000211D0000}"/>
    <cellStyle name="Normal 8 2 6 3 2" xfId="13689" xr:uid="{57D43257-962F-4877-8964-05E7C5C21BAA}"/>
    <cellStyle name="Normal 8 2 6 4" xfId="9471" xr:uid="{3DA9B177-8527-40C4-B01A-0274FEABED27}"/>
    <cellStyle name="Normal 8 2 7" xfId="1364" xr:uid="{00000000-0005-0000-0000-0000221D0000}"/>
    <cellStyle name="Normal 8 2 7 2" xfId="3594" xr:uid="{00000000-0005-0000-0000-0000231D0000}"/>
    <cellStyle name="Normal 8 2 7 2 2" xfId="7818" xr:uid="{00000000-0005-0000-0000-0000241D0000}"/>
    <cellStyle name="Normal 8 2 7 2 2 2" xfId="16247" xr:uid="{9D2753C9-A8F0-4F35-9D9F-0C5BA88C35D7}"/>
    <cellStyle name="Normal 8 2 7 2 3" xfId="12029" xr:uid="{820A2F6B-D70D-4019-8783-E0BBF5AEF355}"/>
    <cellStyle name="Normal 8 2 7 3" xfId="5673" xr:uid="{00000000-0005-0000-0000-0000251D0000}"/>
    <cellStyle name="Normal 8 2 7 3 2" xfId="14102" xr:uid="{5ADD53E7-4733-4271-B702-1F7F1AC3EAFE}"/>
    <cellStyle name="Normal 8 2 7 4" xfId="9884" xr:uid="{B1AA7A61-FDFD-4E77-A279-59D7852ADD7B}"/>
    <cellStyle name="Normal 8 2 8" xfId="1777" xr:uid="{00000000-0005-0000-0000-0000261D0000}"/>
    <cellStyle name="Normal 8 2 8 2" xfId="4007" xr:uid="{00000000-0005-0000-0000-0000271D0000}"/>
    <cellStyle name="Normal 8 2 8 2 2" xfId="8231" xr:uid="{00000000-0005-0000-0000-0000281D0000}"/>
    <cellStyle name="Normal 8 2 8 2 2 2" xfId="16660" xr:uid="{052839C6-1B3B-42E3-B3B8-8C02E6BD6327}"/>
    <cellStyle name="Normal 8 2 8 2 3" xfId="12442" xr:uid="{CD76E7E2-289F-4250-BF3D-0BB48B9DE556}"/>
    <cellStyle name="Normal 8 2 8 3" xfId="6086" xr:uid="{00000000-0005-0000-0000-0000291D0000}"/>
    <cellStyle name="Normal 8 2 8 3 2" xfId="14515" xr:uid="{AE62C55B-4686-4CC2-A22F-3F1A5A3DCC8E}"/>
    <cellStyle name="Normal 8 2 8 4" xfId="10297" xr:uid="{0F867678-399B-4E2A-B4D5-1909526916E1}"/>
    <cellStyle name="Normal 8 2 9" xfId="2191" xr:uid="{00000000-0005-0000-0000-00002A1D0000}"/>
    <cellStyle name="Normal 8 2 9 2" xfId="4420" xr:uid="{00000000-0005-0000-0000-00002B1D0000}"/>
    <cellStyle name="Normal 8 2 9 2 2" xfId="8644" xr:uid="{00000000-0005-0000-0000-00002C1D0000}"/>
    <cellStyle name="Normal 8 2 9 2 2 2" xfId="17073" xr:uid="{FEA540F1-7E03-4B31-A93A-4FEF0F7B560F}"/>
    <cellStyle name="Normal 8 2 9 2 3" xfId="12855" xr:uid="{2F5E68D5-F2FD-4B82-B92A-7D2F93093129}"/>
    <cellStyle name="Normal 8 2 9 3" xfId="6499" xr:uid="{00000000-0005-0000-0000-00002D1D0000}"/>
    <cellStyle name="Normal 8 2 9 3 2" xfId="14928" xr:uid="{596C0E0C-15BF-4D47-98A1-8379D8A8475A}"/>
    <cellStyle name="Normal 8 2 9 4" xfId="10710" xr:uid="{701FDA2E-121E-4B0A-AE92-22318EC0FAFC}"/>
    <cellStyle name="Normal 8 3" xfId="495" xr:uid="{00000000-0005-0000-0000-00002E1D0000}"/>
    <cellStyle name="Normal 8 3 10" xfId="4863" xr:uid="{00000000-0005-0000-0000-00002F1D0000}"/>
    <cellStyle name="Normal 8 3 10 2" xfId="13292" xr:uid="{1E1CDC37-791C-4D9C-BCC5-8E1ED566F67D}"/>
    <cellStyle name="Normal 8 3 11" xfId="9074" xr:uid="{9A71771A-F818-485F-A72A-D3D0E197A17D}"/>
    <cellStyle name="Normal 8 3 2" xfId="496" xr:uid="{00000000-0005-0000-0000-0000301D0000}"/>
    <cellStyle name="Normal 8 3 2 10" xfId="9075" xr:uid="{D5045624-6326-46B6-B2B3-F35F65C94834}"/>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2 2" xfId="15853" xr:uid="{9909A9F9-7A07-406D-BD67-1FD3C4B153A6}"/>
    <cellStyle name="Normal 8 3 2 2 2 2 2 3" xfId="11635" xr:uid="{32D47E32-C68C-4D8B-9FE2-9990F5249976}"/>
    <cellStyle name="Normal 8 3 2 2 2 2 3" xfId="5279" xr:uid="{00000000-0005-0000-0000-0000361D0000}"/>
    <cellStyle name="Normal 8 3 2 2 2 2 3 2" xfId="13708" xr:uid="{FB53E6C3-042E-4E5F-9505-7FAAE1AC4C6F}"/>
    <cellStyle name="Normal 8 3 2 2 2 2 4" xfId="9490" xr:uid="{C3D60192-0989-4787-99C5-08FCFF8D7F31}"/>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2 2" xfId="16266" xr:uid="{C3519E4E-F28C-404A-B970-1968B25E8D2F}"/>
    <cellStyle name="Normal 8 3 2 2 2 3 2 3" xfId="12048" xr:uid="{778E0AAB-F6BB-437F-A7DE-10EFF8FBC61B}"/>
    <cellStyle name="Normal 8 3 2 2 2 3 3" xfId="5692" xr:uid="{00000000-0005-0000-0000-00003A1D0000}"/>
    <cellStyle name="Normal 8 3 2 2 2 3 3 2" xfId="14121" xr:uid="{1411469A-055E-4177-842D-769ABE277B8A}"/>
    <cellStyle name="Normal 8 3 2 2 2 3 4" xfId="9903" xr:uid="{D2539295-EEC3-485D-A85A-AB8D494F0F47}"/>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2 2" xfId="16679" xr:uid="{9AF6DE7A-9FBD-4175-8DAF-FADF92715213}"/>
    <cellStyle name="Normal 8 3 2 2 2 4 2 3" xfId="12461" xr:uid="{399B2355-5DC1-4347-B7E8-9230B41D7858}"/>
    <cellStyle name="Normal 8 3 2 2 2 4 3" xfId="6105" xr:uid="{00000000-0005-0000-0000-00003E1D0000}"/>
    <cellStyle name="Normal 8 3 2 2 2 4 3 2" xfId="14534" xr:uid="{B68A2D17-FFD6-4953-9061-24ACE96586A4}"/>
    <cellStyle name="Normal 8 3 2 2 2 4 4" xfId="10316" xr:uid="{CA76CC08-DDA4-4617-A65F-CC1B0B0A5B08}"/>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2 2" xfId="17092" xr:uid="{B9894C72-1C6F-4DE8-BB68-CFFF9F6582AD}"/>
    <cellStyle name="Normal 8 3 2 2 2 5 2 3" xfId="12874" xr:uid="{9DE64B1C-045A-44DE-ABF8-982991E53CCD}"/>
    <cellStyle name="Normal 8 3 2 2 2 5 3" xfId="6518" xr:uid="{00000000-0005-0000-0000-0000421D0000}"/>
    <cellStyle name="Normal 8 3 2 2 2 5 3 2" xfId="14947" xr:uid="{15B433BD-FF01-4C9E-A9AC-E437B194460B}"/>
    <cellStyle name="Normal 8 3 2 2 2 5 4" xfId="10729" xr:uid="{BB61CBD4-B74B-48D0-AC72-AF622929082D}"/>
    <cellStyle name="Normal 8 3 2 2 2 6" xfId="2646" xr:uid="{00000000-0005-0000-0000-0000431D0000}"/>
    <cellStyle name="Normal 8 3 2 2 2 6 2" xfId="6931" xr:uid="{00000000-0005-0000-0000-0000441D0000}"/>
    <cellStyle name="Normal 8 3 2 2 2 6 2 2" xfId="15360" xr:uid="{BB1F1E7C-236A-4F71-8B6B-4CF28FB3092B}"/>
    <cellStyle name="Normal 8 3 2 2 2 6 3" xfId="11142" xr:uid="{B52954CA-4389-4E0C-B3A0-478878B1EBF9}"/>
    <cellStyle name="Normal 8 3 2 2 2 7" xfId="4866" xr:uid="{00000000-0005-0000-0000-0000451D0000}"/>
    <cellStyle name="Normal 8 3 2 2 2 7 2" xfId="13295" xr:uid="{2BCB83AC-102B-4681-BCBC-29A0CC2285B5}"/>
    <cellStyle name="Normal 8 3 2 2 2 8" xfId="9077" xr:uid="{140F2CCD-9331-4FEE-A233-37E1FF273208}"/>
    <cellStyle name="Normal 8 3 2 2 3" xfId="965" xr:uid="{00000000-0005-0000-0000-0000461D0000}"/>
    <cellStyle name="Normal 8 3 2 2 3 2" xfId="3199" xr:uid="{00000000-0005-0000-0000-0000471D0000}"/>
    <cellStyle name="Normal 8 3 2 2 3 2 2" xfId="7423" xr:uid="{00000000-0005-0000-0000-0000481D0000}"/>
    <cellStyle name="Normal 8 3 2 2 3 2 2 2" xfId="15852" xr:uid="{3DFCBD88-C90B-4AFA-988A-BABC07C17E18}"/>
    <cellStyle name="Normal 8 3 2 2 3 2 3" xfId="11634" xr:uid="{1B4B4636-EDA2-48E9-AA93-45E91617B0A7}"/>
    <cellStyle name="Normal 8 3 2 2 3 3" xfId="5278" xr:uid="{00000000-0005-0000-0000-0000491D0000}"/>
    <cellStyle name="Normal 8 3 2 2 3 3 2" xfId="13707" xr:uid="{90D5BFC4-9950-466C-8A16-1ECE2ED51E12}"/>
    <cellStyle name="Normal 8 3 2 2 3 4" xfId="9489" xr:uid="{B3710FC6-6DDA-4BB8-B7AE-A6623520CF9F}"/>
    <cellStyle name="Normal 8 3 2 2 4" xfId="1382" xr:uid="{00000000-0005-0000-0000-00004A1D0000}"/>
    <cellStyle name="Normal 8 3 2 2 4 2" xfId="3612" xr:uid="{00000000-0005-0000-0000-00004B1D0000}"/>
    <cellStyle name="Normal 8 3 2 2 4 2 2" xfId="7836" xr:uid="{00000000-0005-0000-0000-00004C1D0000}"/>
    <cellStyle name="Normal 8 3 2 2 4 2 2 2" xfId="16265" xr:uid="{F39980C7-0390-415D-87CF-E92F064D2F49}"/>
    <cellStyle name="Normal 8 3 2 2 4 2 3" xfId="12047" xr:uid="{8E2B7DD4-8214-4076-A25D-A900D8B40314}"/>
    <cellStyle name="Normal 8 3 2 2 4 3" xfId="5691" xr:uid="{00000000-0005-0000-0000-00004D1D0000}"/>
    <cellStyle name="Normal 8 3 2 2 4 3 2" xfId="14120" xr:uid="{B219D57A-E69D-4A5C-BB63-3F9CCCC5967A}"/>
    <cellStyle name="Normal 8 3 2 2 4 4" xfId="9902" xr:uid="{BF684363-BF44-48A4-BBC2-E6283D0A376B}"/>
    <cellStyle name="Normal 8 3 2 2 5" xfId="1795" xr:uid="{00000000-0005-0000-0000-00004E1D0000}"/>
    <cellStyle name="Normal 8 3 2 2 5 2" xfId="4025" xr:uid="{00000000-0005-0000-0000-00004F1D0000}"/>
    <cellStyle name="Normal 8 3 2 2 5 2 2" xfId="8249" xr:uid="{00000000-0005-0000-0000-0000501D0000}"/>
    <cellStyle name="Normal 8 3 2 2 5 2 2 2" xfId="16678" xr:uid="{DD7AA6A1-7C20-4927-9C1D-9AB28555D231}"/>
    <cellStyle name="Normal 8 3 2 2 5 2 3" xfId="12460" xr:uid="{AB79E162-FA8A-4BBC-BB06-A2312A5601D9}"/>
    <cellStyle name="Normal 8 3 2 2 5 3" xfId="6104" xr:uid="{00000000-0005-0000-0000-0000511D0000}"/>
    <cellStyle name="Normal 8 3 2 2 5 3 2" xfId="14533" xr:uid="{754D2CCE-CC50-4B68-B2CC-3E72E55D6382}"/>
    <cellStyle name="Normal 8 3 2 2 5 4" xfId="10315" xr:uid="{E59876A3-FF08-4692-AD34-062FF0D0AA8B}"/>
    <cellStyle name="Normal 8 3 2 2 6" xfId="2209" xr:uid="{00000000-0005-0000-0000-0000521D0000}"/>
    <cellStyle name="Normal 8 3 2 2 6 2" xfId="4438" xr:uid="{00000000-0005-0000-0000-0000531D0000}"/>
    <cellStyle name="Normal 8 3 2 2 6 2 2" xfId="8662" xr:uid="{00000000-0005-0000-0000-0000541D0000}"/>
    <cellStyle name="Normal 8 3 2 2 6 2 2 2" xfId="17091" xr:uid="{778E7163-01C6-4983-BB8C-A24B932E4731}"/>
    <cellStyle name="Normal 8 3 2 2 6 2 3" xfId="12873" xr:uid="{B2C5A217-2629-4FCD-B27D-15E470B53124}"/>
    <cellStyle name="Normal 8 3 2 2 6 3" xfId="6517" xr:uid="{00000000-0005-0000-0000-0000551D0000}"/>
    <cellStyle name="Normal 8 3 2 2 6 3 2" xfId="14946" xr:uid="{1BDAC279-3879-495D-9C30-B1417B351336}"/>
    <cellStyle name="Normal 8 3 2 2 6 4" xfId="10728" xr:uid="{5CEBA9C2-36DD-43FE-BE9C-CA43A265183C}"/>
    <cellStyle name="Normal 8 3 2 2 7" xfId="2645" xr:uid="{00000000-0005-0000-0000-0000561D0000}"/>
    <cellStyle name="Normal 8 3 2 2 7 2" xfId="6930" xr:uid="{00000000-0005-0000-0000-0000571D0000}"/>
    <cellStyle name="Normal 8 3 2 2 7 2 2" xfId="15359" xr:uid="{4857DCAB-63E1-46CC-9A70-A2A621FAD3F4}"/>
    <cellStyle name="Normal 8 3 2 2 7 3" xfId="11141" xr:uid="{09A78AED-1B3F-4A56-AC28-3EED2B83FD12}"/>
    <cellStyle name="Normal 8 3 2 2 8" xfId="4865" xr:uid="{00000000-0005-0000-0000-0000581D0000}"/>
    <cellStyle name="Normal 8 3 2 2 8 2" xfId="13294" xr:uid="{82F3C5FA-F79F-4783-9262-91F354F05566}"/>
    <cellStyle name="Normal 8 3 2 2 9" xfId="9076" xr:uid="{846116E6-E9EE-4167-A43A-9BE2B59F8B12}"/>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2 2" xfId="15854" xr:uid="{9E96C165-5DF1-4246-B080-69F7993D6B02}"/>
    <cellStyle name="Normal 8 3 2 3 2 2 3" xfId="11636" xr:uid="{63AC7B49-C0F4-4D9F-8CA8-2B9ED2BAAEEF}"/>
    <cellStyle name="Normal 8 3 2 3 2 3" xfId="5280" xr:uid="{00000000-0005-0000-0000-00005D1D0000}"/>
    <cellStyle name="Normal 8 3 2 3 2 3 2" xfId="13709" xr:uid="{9C3407E7-7433-4CA4-8B95-DAEB45439703}"/>
    <cellStyle name="Normal 8 3 2 3 2 4" xfId="9491" xr:uid="{DA060AD9-5016-4CBB-891A-5275D8080AF9}"/>
    <cellStyle name="Normal 8 3 2 3 3" xfId="1384" xr:uid="{00000000-0005-0000-0000-00005E1D0000}"/>
    <cellStyle name="Normal 8 3 2 3 3 2" xfId="3614" xr:uid="{00000000-0005-0000-0000-00005F1D0000}"/>
    <cellStyle name="Normal 8 3 2 3 3 2 2" xfId="7838" xr:uid="{00000000-0005-0000-0000-0000601D0000}"/>
    <cellStyle name="Normal 8 3 2 3 3 2 2 2" xfId="16267" xr:uid="{6DE2B130-2184-4E9D-8232-C32346BADD4C}"/>
    <cellStyle name="Normal 8 3 2 3 3 2 3" xfId="12049" xr:uid="{65A31F3A-AC35-4ACA-93B6-398C98A1C904}"/>
    <cellStyle name="Normal 8 3 2 3 3 3" xfId="5693" xr:uid="{00000000-0005-0000-0000-0000611D0000}"/>
    <cellStyle name="Normal 8 3 2 3 3 3 2" xfId="14122" xr:uid="{E258A611-9D99-4E8B-9307-073D0B88B59E}"/>
    <cellStyle name="Normal 8 3 2 3 3 4" xfId="9904" xr:uid="{BD9CAF03-7A05-4466-9D25-FEC37DE67CCE}"/>
    <cellStyle name="Normal 8 3 2 3 4" xfId="1797" xr:uid="{00000000-0005-0000-0000-0000621D0000}"/>
    <cellStyle name="Normal 8 3 2 3 4 2" xfId="4027" xr:uid="{00000000-0005-0000-0000-0000631D0000}"/>
    <cellStyle name="Normal 8 3 2 3 4 2 2" xfId="8251" xr:uid="{00000000-0005-0000-0000-0000641D0000}"/>
    <cellStyle name="Normal 8 3 2 3 4 2 2 2" xfId="16680" xr:uid="{E2D5E0A0-06CC-42CF-9586-73828C5171BB}"/>
    <cellStyle name="Normal 8 3 2 3 4 2 3" xfId="12462" xr:uid="{1527883C-285F-43CB-8A7C-3361D80700E9}"/>
    <cellStyle name="Normal 8 3 2 3 4 3" xfId="6106" xr:uid="{00000000-0005-0000-0000-0000651D0000}"/>
    <cellStyle name="Normal 8 3 2 3 4 3 2" xfId="14535" xr:uid="{D2FDE2A8-5209-4982-839D-A628BA1CC13D}"/>
    <cellStyle name="Normal 8 3 2 3 4 4" xfId="10317" xr:uid="{57289518-2695-47EC-AE1C-BDA02AE16ECF}"/>
    <cellStyle name="Normal 8 3 2 3 5" xfId="2211" xr:uid="{00000000-0005-0000-0000-0000661D0000}"/>
    <cellStyle name="Normal 8 3 2 3 5 2" xfId="4440" xr:uid="{00000000-0005-0000-0000-0000671D0000}"/>
    <cellStyle name="Normal 8 3 2 3 5 2 2" xfId="8664" xr:uid="{00000000-0005-0000-0000-0000681D0000}"/>
    <cellStyle name="Normal 8 3 2 3 5 2 2 2" xfId="17093" xr:uid="{070F2934-F731-4890-8733-E45C0F774DB5}"/>
    <cellStyle name="Normal 8 3 2 3 5 2 3" xfId="12875" xr:uid="{9E085FE4-44FA-43E1-A7E0-EF8CAFFD20F6}"/>
    <cellStyle name="Normal 8 3 2 3 5 3" xfId="6519" xr:uid="{00000000-0005-0000-0000-0000691D0000}"/>
    <cellStyle name="Normal 8 3 2 3 5 3 2" xfId="14948" xr:uid="{DBEE43E2-6527-4A47-A8CE-84061C0E1151}"/>
    <cellStyle name="Normal 8 3 2 3 5 4" xfId="10730" xr:uid="{C514A61C-B4EC-410B-B7BC-7E7C92F9584B}"/>
    <cellStyle name="Normal 8 3 2 3 6" xfId="2647" xr:uid="{00000000-0005-0000-0000-00006A1D0000}"/>
    <cellStyle name="Normal 8 3 2 3 6 2" xfId="6932" xr:uid="{00000000-0005-0000-0000-00006B1D0000}"/>
    <cellStyle name="Normal 8 3 2 3 6 2 2" xfId="15361" xr:uid="{255BF4F9-F801-4E79-9EDC-33CF04A6ECBE}"/>
    <cellStyle name="Normal 8 3 2 3 6 3" xfId="11143" xr:uid="{EA0C29DE-A077-4F4C-BEA2-429D422D0D38}"/>
    <cellStyle name="Normal 8 3 2 3 7" xfId="4867" xr:uid="{00000000-0005-0000-0000-00006C1D0000}"/>
    <cellStyle name="Normal 8 3 2 3 7 2" xfId="13296" xr:uid="{54C8A7FF-2123-475F-864C-FF8B69DCDA5E}"/>
    <cellStyle name="Normal 8 3 2 3 8" xfId="9078" xr:uid="{3C745240-0D02-4075-86A7-13D12F53BB58}"/>
    <cellStyle name="Normal 8 3 2 4" xfId="964" xr:uid="{00000000-0005-0000-0000-00006D1D0000}"/>
    <cellStyle name="Normal 8 3 2 4 2" xfId="3198" xr:uid="{00000000-0005-0000-0000-00006E1D0000}"/>
    <cellStyle name="Normal 8 3 2 4 2 2" xfId="7422" xr:uid="{00000000-0005-0000-0000-00006F1D0000}"/>
    <cellStyle name="Normal 8 3 2 4 2 2 2" xfId="15851" xr:uid="{B9EDAD0F-49C8-434F-B363-B98420BEDE9B}"/>
    <cellStyle name="Normal 8 3 2 4 2 3" xfId="11633" xr:uid="{D98DF0EC-FB64-4D9A-B80B-A4539D4291B9}"/>
    <cellStyle name="Normal 8 3 2 4 3" xfId="5277" xr:uid="{00000000-0005-0000-0000-0000701D0000}"/>
    <cellStyle name="Normal 8 3 2 4 3 2" xfId="13706" xr:uid="{344BDFD9-8BEA-4C61-B8A8-EBAE418D591D}"/>
    <cellStyle name="Normal 8 3 2 4 4" xfId="9488" xr:uid="{E147A3F8-5494-46CF-BA1E-D2CC8327FC00}"/>
    <cellStyle name="Normal 8 3 2 5" xfId="1381" xr:uid="{00000000-0005-0000-0000-0000711D0000}"/>
    <cellStyle name="Normal 8 3 2 5 2" xfId="3611" xr:uid="{00000000-0005-0000-0000-0000721D0000}"/>
    <cellStyle name="Normal 8 3 2 5 2 2" xfId="7835" xr:uid="{00000000-0005-0000-0000-0000731D0000}"/>
    <cellStyle name="Normal 8 3 2 5 2 2 2" xfId="16264" xr:uid="{DAFFD4F8-ED7A-4F4B-9C33-03931B3B4DDD}"/>
    <cellStyle name="Normal 8 3 2 5 2 3" xfId="12046" xr:uid="{59924D6F-9FCE-469B-90B8-01A6886DC0BA}"/>
    <cellStyle name="Normal 8 3 2 5 3" xfId="5690" xr:uid="{00000000-0005-0000-0000-0000741D0000}"/>
    <cellStyle name="Normal 8 3 2 5 3 2" xfId="14119" xr:uid="{46F5F609-8840-4AEE-B598-F21578DB8EF9}"/>
    <cellStyle name="Normal 8 3 2 5 4" xfId="9901" xr:uid="{F6FF8BFE-7792-4054-8CFA-DF93BBCB61F9}"/>
    <cellStyle name="Normal 8 3 2 6" xfId="1794" xr:uid="{00000000-0005-0000-0000-0000751D0000}"/>
    <cellStyle name="Normal 8 3 2 6 2" xfId="4024" xr:uid="{00000000-0005-0000-0000-0000761D0000}"/>
    <cellStyle name="Normal 8 3 2 6 2 2" xfId="8248" xr:uid="{00000000-0005-0000-0000-0000771D0000}"/>
    <cellStyle name="Normal 8 3 2 6 2 2 2" xfId="16677" xr:uid="{A899D340-862B-4270-907B-946B6373C3FE}"/>
    <cellStyle name="Normal 8 3 2 6 2 3" xfId="12459" xr:uid="{16603250-0157-4D3C-A509-F8C2886A30FB}"/>
    <cellStyle name="Normal 8 3 2 6 3" xfId="6103" xr:uid="{00000000-0005-0000-0000-0000781D0000}"/>
    <cellStyle name="Normal 8 3 2 6 3 2" xfId="14532" xr:uid="{10C5EB68-C5A9-463E-B7B8-4B06C95FC96F}"/>
    <cellStyle name="Normal 8 3 2 6 4" xfId="10314" xr:uid="{54FCF161-50E6-4B05-B48C-FF87675B4417}"/>
    <cellStyle name="Normal 8 3 2 7" xfId="2208" xr:uid="{00000000-0005-0000-0000-0000791D0000}"/>
    <cellStyle name="Normal 8 3 2 7 2" xfId="4437" xr:uid="{00000000-0005-0000-0000-00007A1D0000}"/>
    <cellStyle name="Normal 8 3 2 7 2 2" xfId="8661" xr:uid="{00000000-0005-0000-0000-00007B1D0000}"/>
    <cellStyle name="Normal 8 3 2 7 2 2 2" xfId="17090" xr:uid="{BC6F39CB-22B0-4403-B117-F9B7E13DC958}"/>
    <cellStyle name="Normal 8 3 2 7 2 3" xfId="12872" xr:uid="{C8461885-AACA-4C08-8FB6-2D08E24D46EB}"/>
    <cellStyle name="Normal 8 3 2 7 3" xfId="6516" xr:uid="{00000000-0005-0000-0000-00007C1D0000}"/>
    <cellStyle name="Normal 8 3 2 7 3 2" xfId="14945" xr:uid="{926DC24A-7A75-417F-985E-E04439712822}"/>
    <cellStyle name="Normal 8 3 2 7 4" xfId="10727" xr:uid="{08BD6B31-CCC6-46F1-8857-0461543B49C2}"/>
    <cellStyle name="Normal 8 3 2 8" xfId="2644" xr:uid="{00000000-0005-0000-0000-00007D1D0000}"/>
    <cellStyle name="Normal 8 3 2 8 2" xfId="6929" xr:uid="{00000000-0005-0000-0000-00007E1D0000}"/>
    <cellStyle name="Normal 8 3 2 8 2 2" xfId="15358" xr:uid="{EC0DE91F-9872-4125-8370-9886EAE0ACC1}"/>
    <cellStyle name="Normal 8 3 2 8 3" xfId="11140" xr:uid="{195F1DEC-2C5A-402C-8101-31590CA4DB7F}"/>
    <cellStyle name="Normal 8 3 2 9" xfId="4864" xr:uid="{00000000-0005-0000-0000-00007F1D0000}"/>
    <cellStyle name="Normal 8 3 2 9 2" xfId="13293" xr:uid="{34C70480-994E-40B3-8AA4-5254EEFE4262}"/>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2 2" xfId="15856" xr:uid="{E690443C-FE1D-4210-8FF2-80BE0F36CE13}"/>
    <cellStyle name="Normal 8 3 3 2 2 2 3" xfId="11638" xr:uid="{CBE3F07B-5E10-4A4E-AFC5-2823A50A5835}"/>
    <cellStyle name="Normal 8 3 3 2 2 3" xfId="5282" xr:uid="{00000000-0005-0000-0000-0000851D0000}"/>
    <cellStyle name="Normal 8 3 3 2 2 3 2" xfId="13711" xr:uid="{E32F20E7-C3DE-48E4-89C3-EBE3819495B8}"/>
    <cellStyle name="Normal 8 3 3 2 2 4" xfId="9493" xr:uid="{27102C04-D993-4EAC-9DBB-213EE7BA1635}"/>
    <cellStyle name="Normal 8 3 3 2 3" xfId="1386" xr:uid="{00000000-0005-0000-0000-0000861D0000}"/>
    <cellStyle name="Normal 8 3 3 2 3 2" xfId="3616" xr:uid="{00000000-0005-0000-0000-0000871D0000}"/>
    <cellStyle name="Normal 8 3 3 2 3 2 2" xfId="7840" xr:uid="{00000000-0005-0000-0000-0000881D0000}"/>
    <cellStyle name="Normal 8 3 3 2 3 2 2 2" xfId="16269" xr:uid="{E835F63F-7827-4C35-A77C-6854D2BC28C7}"/>
    <cellStyle name="Normal 8 3 3 2 3 2 3" xfId="12051" xr:uid="{8D202216-9EF3-4BA4-8649-2DD31D828334}"/>
    <cellStyle name="Normal 8 3 3 2 3 3" xfId="5695" xr:uid="{00000000-0005-0000-0000-0000891D0000}"/>
    <cellStyle name="Normal 8 3 3 2 3 3 2" xfId="14124" xr:uid="{7500B168-A632-411D-AA28-2496CFB68D45}"/>
    <cellStyle name="Normal 8 3 3 2 3 4" xfId="9906" xr:uid="{56D9B486-5D7E-45AA-8581-4EF822160369}"/>
    <cellStyle name="Normal 8 3 3 2 4" xfId="1799" xr:uid="{00000000-0005-0000-0000-00008A1D0000}"/>
    <cellStyle name="Normal 8 3 3 2 4 2" xfId="4029" xr:uid="{00000000-0005-0000-0000-00008B1D0000}"/>
    <cellStyle name="Normal 8 3 3 2 4 2 2" xfId="8253" xr:uid="{00000000-0005-0000-0000-00008C1D0000}"/>
    <cellStyle name="Normal 8 3 3 2 4 2 2 2" xfId="16682" xr:uid="{025763F4-78F5-4F08-B921-C6BCF2ABB9D4}"/>
    <cellStyle name="Normal 8 3 3 2 4 2 3" xfId="12464" xr:uid="{30DF9576-3A01-4453-9DAF-C4FBB015FE53}"/>
    <cellStyle name="Normal 8 3 3 2 4 3" xfId="6108" xr:uid="{00000000-0005-0000-0000-00008D1D0000}"/>
    <cellStyle name="Normal 8 3 3 2 4 3 2" xfId="14537" xr:uid="{C24245E3-2D1C-43F6-9781-E5E2B3BE9323}"/>
    <cellStyle name="Normal 8 3 3 2 4 4" xfId="10319" xr:uid="{15ED9F1E-3972-4530-B405-6158730CA88F}"/>
    <cellStyle name="Normal 8 3 3 2 5" xfId="2213" xr:uid="{00000000-0005-0000-0000-00008E1D0000}"/>
    <cellStyle name="Normal 8 3 3 2 5 2" xfId="4442" xr:uid="{00000000-0005-0000-0000-00008F1D0000}"/>
    <cellStyle name="Normal 8 3 3 2 5 2 2" xfId="8666" xr:uid="{00000000-0005-0000-0000-0000901D0000}"/>
    <cellStyle name="Normal 8 3 3 2 5 2 2 2" xfId="17095" xr:uid="{B444B8C9-20FF-47F9-907C-AA3BF610EA6A}"/>
    <cellStyle name="Normal 8 3 3 2 5 2 3" xfId="12877" xr:uid="{571E176E-8C2E-4B10-9909-C4EFF36648A5}"/>
    <cellStyle name="Normal 8 3 3 2 5 3" xfId="6521" xr:uid="{00000000-0005-0000-0000-0000911D0000}"/>
    <cellStyle name="Normal 8 3 3 2 5 3 2" xfId="14950" xr:uid="{5969E45D-34FD-4392-86DB-C8DE7E517F98}"/>
    <cellStyle name="Normal 8 3 3 2 5 4" xfId="10732" xr:uid="{D3C3F7F1-6921-421B-B9B0-9255D9537A2A}"/>
    <cellStyle name="Normal 8 3 3 2 6" xfId="2649" xr:uid="{00000000-0005-0000-0000-0000921D0000}"/>
    <cellStyle name="Normal 8 3 3 2 6 2" xfId="6934" xr:uid="{00000000-0005-0000-0000-0000931D0000}"/>
    <cellStyle name="Normal 8 3 3 2 6 2 2" xfId="15363" xr:uid="{FB1C67C6-9E4A-47E9-B720-A6CC34927D2C}"/>
    <cellStyle name="Normal 8 3 3 2 6 3" xfId="11145" xr:uid="{B92FCEBE-DB16-4A92-A3E1-E962645CF4D5}"/>
    <cellStyle name="Normal 8 3 3 2 7" xfId="4869" xr:uid="{00000000-0005-0000-0000-0000941D0000}"/>
    <cellStyle name="Normal 8 3 3 2 7 2" xfId="13298" xr:uid="{1E1F2DB1-432A-406D-A6B8-71CF0D13F21F}"/>
    <cellStyle name="Normal 8 3 3 2 8" xfId="9080" xr:uid="{EAA124D1-53C9-4996-97A8-F310BCD6FBD0}"/>
    <cellStyle name="Normal 8 3 3 3" xfId="968" xr:uid="{00000000-0005-0000-0000-0000951D0000}"/>
    <cellStyle name="Normal 8 3 3 3 2" xfId="3202" xr:uid="{00000000-0005-0000-0000-0000961D0000}"/>
    <cellStyle name="Normal 8 3 3 3 2 2" xfId="7426" xr:uid="{00000000-0005-0000-0000-0000971D0000}"/>
    <cellStyle name="Normal 8 3 3 3 2 2 2" xfId="15855" xr:uid="{39EF5CC3-E21A-4C82-8A69-515D481C391C}"/>
    <cellStyle name="Normal 8 3 3 3 2 3" xfId="11637" xr:uid="{CADFEA27-937A-480D-86E9-DAB44334EB67}"/>
    <cellStyle name="Normal 8 3 3 3 3" xfId="5281" xr:uid="{00000000-0005-0000-0000-0000981D0000}"/>
    <cellStyle name="Normal 8 3 3 3 3 2" xfId="13710" xr:uid="{CC0EBC5F-B9C1-47FC-BDFA-98BAF8CC94AE}"/>
    <cellStyle name="Normal 8 3 3 3 4" xfId="9492" xr:uid="{5077A0CB-748D-414C-A955-3454B489CF8E}"/>
    <cellStyle name="Normal 8 3 3 4" xfId="1385" xr:uid="{00000000-0005-0000-0000-0000991D0000}"/>
    <cellStyle name="Normal 8 3 3 4 2" xfId="3615" xr:uid="{00000000-0005-0000-0000-00009A1D0000}"/>
    <cellStyle name="Normal 8 3 3 4 2 2" xfId="7839" xr:uid="{00000000-0005-0000-0000-00009B1D0000}"/>
    <cellStyle name="Normal 8 3 3 4 2 2 2" xfId="16268" xr:uid="{B19D76D8-AC4B-426B-95DB-9CFF8018EB15}"/>
    <cellStyle name="Normal 8 3 3 4 2 3" xfId="12050" xr:uid="{E1F45879-A2F1-4820-BA65-DBDF65DF3710}"/>
    <cellStyle name="Normal 8 3 3 4 3" xfId="5694" xr:uid="{00000000-0005-0000-0000-00009C1D0000}"/>
    <cellStyle name="Normal 8 3 3 4 3 2" xfId="14123" xr:uid="{BD8F767D-8AB0-4D39-A797-5630E8383EA7}"/>
    <cellStyle name="Normal 8 3 3 4 4" xfId="9905" xr:uid="{59924AEC-F2EF-4BDD-A64E-776F616546B3}"/>
    <cellStyle name="Normal 8 3 3 5" xfId="1798" xr:uid="{00000000-0005-0000-0000-00009D1D0000}"/>
    <cellStyle name="Normal 8 3 3 5 2" xfId="4028" xr:uid="{00000000-0005-0000-0000-00009E1D0000}"/>
    <cellStyle name="Normal 8 3 3 5 2 2" xfId="8252" xr:uid="{00000000-0005-0000-0000-00009F1D0000}"/>
    <cellStyle name="Normal 8 3 3 5 2 2 2" xfId="16681" xr:uid="{449B4A28-FE78-41AE-B005-BD45AAF96FDC}"/>
    <cellStyle name="Normal 8 3 3 5 2 3" xfId="12463" xr:uid="{78444CC7-727F-48ED-AE41-E10672CF2E38}"/>
    <cellStyle name="Normal 8 3 3 5 3" xfId="6107" xr:uid="{00000000-0005-0000-0000-0000A01D0000}"/>
    <cellStyle name="Normal 8 3 3 5 3 2" xfId="14536" xr:uid="{04256EB2-9EFF-493F-A86F-36C3E0AC1E92}"/>
    <cellStyle name="Normal 8 3 3 5 4" xfId="10318" xr:uid="{721B9F4F-5E13-46C0-9B63-AED1544D18D6}"/>
    <cellStyle name="Normal 8 3 3 6" xfId="2212" xr:uid="{00000000-0005-0000-0000-0000A11D0000}"/>
    <cellStyle name="Normal 8 3 3 6 2" xfId="4441" xr:uid="{00000000-0005-0000-0000-0000A21D0000}"/>
    <cellStyle name="Normal 8 3 3 6 2 2" xfId="8665" xr:uid="{00000000-0005-0000-0000-0000A31D0000}"/>
    <cellStyle name="Normal 8 3 3 6 2 2 2" xfId="17094" xr:uid="{37E9379C-9780-47D8-80BA-F96F2AF52874}"/>
    <cellStyle name="Normal 8 3 3 6 2 3" xfId="12876" xr:uid="{A9068E8F-5A4C-48A1-BF81-21496FDE250B}"/>
    <cellStyle name="Normal 8 3 3 6 3" xfId="6520" xr:uid="{00000000-0005-0000-0000-0000A41D0000}"/>
    <cellStyle name="Normal 8 3 3 6 3 2" xfId="14949" xr:uid="{5272136F-9ED3-4DF3-8D28-EDD0C752BA79}"/>
    <cellStyle name="Normal 8 3 3 6 4" xfId="10731" xr:uid="{863DD912-131F-4181-A8E2-6C4D002DD724}"/>
    <cellStyle name="Normal 8 3 3 7" xfId="2648" xr:uid="{00000000-0005-0000-0000-0000A51D0000}"/>
    <cellStyle name="Normal 8 3 3 7 2" xfId="6933" xr:uid="{00000000-0005-0000-0000-0000A61D0000}"/>
    <cellStyle name="Normal 8 3 3 7 2 2" xfId="15362" xr:uid="{8B7060C6-85CA-4FBA-BA5F-3B2E48EFD60C}"/>
    <cellStyle name="Normal 8 3 3 7 3" xfId="11144" xr:uid="{95D83BF2-73A7-4257-B330-46409A65E927}"/>
    <cellStyle name="Normal 8 3 3 8" xfId="4868" xr:uid="{00000000-0005-0000-0000-0000A71D0000}"/>
    <cellStyle name="Normal 8 3 3 8 2" xfId="13297" xr:uid="{56C22D7D-688A-4DE6-A1BA-D7FCD1962731}"/>
    <cellStyle name="Normal 8 3 3 9" xfId="9079" xr:uid="{29D33D2E-1DEB-4D38-B2C6-44DFAD0A4344}"/>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2 2" xfId="15857" xr:uid="{AAE4C473-3594-4EC5-982B-20EC8AF7C1B6}"/>
    <cellStyle name="Normal 8 3 4 2 2 3" xfId="11639" xr:uid="{3A08CA0B-2217-47C9-AE56-A7B114DA6F60}"/>
    <cellStyle name="Normal 8 3 4 2 3" xfId="5283" xr:uid="{00000000-0005-0000-0000-0000AC1D0000}"/>
    <cellStyle name="Normal 8 3 4 2 3 2" xfId="13712" xr:uid="{072CD014-8633-4543-B7C0-7F2C6F4EA1A0}"/>
    <cellStyle name="Normal 8 3 4 2 4" xfId="9494" xr:uid="{1FCCB3B1-E05F-47BE-B044-73EBBA4E9384}"/>
    <cellStyle name="Normal 8 3 4 3" xfId="1387" xr:uid="{00000000-0005-0000-0000-0000AD1D0000}"/>
    <cellStyle name="Normal 8 3 4 3 2" xfId="3617" xr:uid="{00000000-0005-0000-0000-0000AE1D0000}"/>
    <cellStyle name="Normal 8 3 4 3 2 2" xfId="7841" xr:uid="{00000000-0005-0000-0000-0000AF1D0000}"/>
    <cellStyle name="Normal 8 3 4 3 2 2 2" xfId="16270" xr:uid="{5745E1AA-256B-4A91-8004-A93F85D178C2}"/>
    <cellStyle name="Normal 8 3 4 3 2 3" xfId="12052" xr:uid="{7B83F1DC-C8F8-4B92-88A4-91232B49F681}"/>
    <cellStyle name="Normal 8 3 4 3 3" xfId="5696" xr:uid="{00000000-0005-0000-0000-0000B01D0000}"/>
    <cellStyle name="Normal 8 3 4 3 3 2" xfId="14125" xr:uid="{787B2745-6228-4203-B36A-8E30354D5D81}"/>
    <cellStyle name="Normal 8 3 4 3 4" xfId="9907" xr:uid="{875EC553-43CA-4248-9F2C-2603203A633F}"/>
    <cellStyle name="Normal 8 3 4 4" xfId="1800" xr:uid="{00000000-0005-0000-0000-0000B11D0000}"/>
    <cellStyle name="Normal 8 3 4 4 2" xfId="4030" xr:uid="{00000000-0005-0000-0000-0000B21D0000}"/>
    <cellStyle name="Normal 8 3 4 4 2 2" xfId="8254" xr:uid="{00000000-0005-0000-0000-0000B31D0000}"/>
    <cellStyle name="Normal 8 3 4 4 2 2 2" xfId="16683" xr:uid="{3BFB7F3E-1D4B-424B-95C0-F083DAAF3B5F}"/>
    <cellStyle name="Normal 8 3 4 4 2 3" xfId="12465" xr:uid="{1749E5AA-1BE9-4D97-AB0A-D8588FC101A6}"/>
    <cellStyle name="Normal 8 3 4 4 3" xfId="6109" xr:uid="{00000000-0005-0000-0000-0000B41D0000}"/>
    <cellStyle name="Normal 8 3 4 4 3 2" xfId="14538" xr:uid="{AC7C2131-11C7-4CAD-8055-A9569AB77A9F}"/>
    <cellStyle name="Normal 8 3 4 4 4" xfId="10320" xr:uid="{BB9A45AD-FA26-4C54-A04D-68478DC0790F}"/>
    <cellStyle name="Normal 8 3 4 5" xfId="2214" xr:uid="{00000000-0005-0000-0000-0000B51D0000}"/>
    <cellStyle name="Normal 8 3 4 5 2" xfId="4443" xr:uid="{00000000-0005-0000-0000-0000B61D0000}"/>
    <cellStyle name="Normal 8 3 4 5 2 2" xfId="8667" xr:uid="{00000000-0005-0000-0000-0000B71D0000}"/>
    <cellStyle name="Normal 8 3 4 5 2 2 2" xfId="17096" xr:uid="{9DD10C86-EA08-4C95-9CEF-8131AFBA4D26}"/>
    <cellStyle name="Normal 8 3 4 5 2 3" xfId="12878" xr:uid="{F4E57BFD-217F-4C07-9DC6-06A9101C4B85}"/>
    <cellStyle name="Normal 8 3 4 5 3" xfId="6522" xr:uid="{00000000-0005-0000-0000-0000B81D0000}"/>
    <cellStyle name="Normal 8 3 4 5 3 2" xfId="14951" xr:uid="{650429D7-1E4B-484C-9E81-2312AF8F74CD}"/>
    <cellStyle name="Normal 8 3 4 5 4" xfId="10733" xr:uid="{A09B5164-455F-4590-A550-2A7C680827CA}"/>
    <cellStyle name="Normal 8 3 4 6" xfId="2650" xr:uid="{00000000-0005-0000-0000-0000B91D0000}"/>
    <cellStyle name="Normal 8 3 4 6 2" xfId="6935" xr:uid="{00000000-0005-0000-0000-0000BA1D0000}"/>
    <cellStyle name="Normal 8 3 4 6 2 2" xfId="15364" xr:uid="{CE8B5249-98B7-4FB0-9018-858386FCE2E7}"/>
    <cellStyle name="Normal 8 3 4 6 3" xfId="11146" xr:uid="{255DA470-0F21-46D6-9394-00969D4C51AC}"/>
    <cellStyle name="Normal 8 3 4 7" xfId="4870" xr:uid="{00000000-0005-0000-0000-0000BB1D0000}"/>
    <cellStyle name="Normal 8 3 4 7 2" xfId="13299" xr:uid="{BAEABE0A-4A68-4ECA-84AD-549DA039FE3E}"/>
    <cellStyle name="Normal 8 3 4 8" xfId="9081" xr:uid="{8F753018-769E-409A-9085-BB51EEFDA710}"/>
    <cellStyle name="Normal 8 3 5" xfId="963" xr:uid="{00000000-0005-0000-0000-0000BC1D0000}"/>
    <cellStyle name="Normal 8 3 5 2" xfId="3197" xr:uid="{00000000-0005-0000-0000-0000BD1D0000}"/>
    <cellStyle name="Normal 8 3 5 2 2" xfId="7421" xr:uid="{00000000-0005-0000-0000-0000BE1D0000}"/>
    <cellStyle name="Normal 8 3 5 2 2 2" xfId="15850" xr:uid="{9C715AA2-7320-4B0D-B23C-FFF9DF5F45D2}"/>
    <cellStyle name="Normal 8 3 5 2 3" xfId="11632" xr:uid="{F2738A8D-6904-4B6D-8AA5-B3589D4CBD2E}"/>
    <cellStyle name="Normal 8 3 5 3" xfId="5276" xr:uid="{00000000-0005-0000-0000-0000BF1D0000}"/>
    <cellStyle name="Normal 8 3 5 3 2" xfId="13705" xr:uid="{54AEAC58-CB9D-4659-832E-9BFF874E1DA4}"/>
    <cellStyle name="Normal 8 3 5 4" xfId="9487" xr:uid="{B9393FA5-1B67-4988-8659-16567583A7D2}"/>
    <cellStyle name="Normal 8 3 6" xfId="1380" xr:uid="{00000000-0005-0000-0000-0000C01D0000}"/>
    <cellStyle name="Normal 8 3 6 2" xfId="3610" xr:uid="{00000000-0005-0000-0000-0000C11D0000}"/>
    <cellStyle name="Normal 8 3 6 2 2" xfId="7834" xr:uid="{00000000-0005-0000-0000-0000C21D0000}"/>
    <cellStyle name="Normal 8 3 6 2 2 2" xfId="16263" xr:uid="{CE88276B-D565-4472-B148-D3998F453C1D}"/>
    <cellStyle name="Normal 8 3 6 2 3" xfId="12045" xr:uid="{3CEC6C56-FB38-4CD4-BE1B-A73AA7C26666}"/>
    <cellStyle name="Normal 8 3 6 3" xfId="5689" xr:uid="{00000000-0005-0000-0000-0000C31D0000}"/>
    <cellStyle name="Normal 8 3 6 3 2" xfId="14118" xr:uid="{CF4CFC49-EE55-4CC2-864F-6000FB756604}"/>
    <cellStyle name="Normal 8 3 6 4" xfId="9900" xr:uid="{C88E3575-985F-478B-892D-0C4B0C3F7B61}"/>
    <cellStyle name="Normal 8 3 7" xfId="1793" xr:uid="{00000000-0005-0000-0000-0000C41D0000}"/>
    <cellStyle name="Normal 8 3 7 2" xfId="4023" xr:uid="{00000000-0005-0000-0000-0000C51D0000}"/>
    <cellStyle name="Normal 8 3 7 2 2" xfId="8247" xr:uid="{00000000-0005-0000-0000-0000C61D0000}"/>
    <cellStyle name="Normal 8 3 7 2 2 2" xfId="16676" xr:uid="{FD6A577C-3EC9-4D08-88D4-8E5BA4249914}"/>
    <cellStyle name="Normal 8 3 7 2 3" xfId="12458" xr:uid="{AE5BF145-EE98-466D-BA06-E4B9A2E67008}"/>
    <cellStyle name="Normal 8 3 7 3" xfId="6102" xr:uid="{00000000-0005-0000-0000-0000C71D0000}"/>
    <cellStyle name="Normal 8 3 7 3 2" xfId="14531" xr:uid="{1584DB06-60DF-419B-8732-461742272D1E}"/>
    <cellStyle name="Normal 8 3 7 4" xfId="10313" xr:uid="{5FCC5167-CC9E-40C1-81B2-C396D4C9D097}"/>
    <cellStyle name="Normal 8 3 8" xfId="2207" xr:uid="{00000000-0005-0000-0000-0000C81D0000}"/>
    <cellStyle name="Normal 8 3 8 2" xfId="4436" xr:uid="{00000000-0005-0000-0000-0000C91D0000}"/>
    <cellStyle name="Normal 8 3 8 2 2" xfId="8660" xr:uid="{00000000-0005-0000-0000-0000CA1D0000}"/>
    <cellStyle name="Normal 8 3 8 2 2 2" xfId="17089" xr:uid="{0DCA75C7-67AC-411B-8486-DE11DA54D9DF}"/>
    <cellStyle name="Normal 8 3 8 2 3" xfId="12871" xr:uid="{5ECAC8C2-D1E8-4B6A-A4AA-F08CE56FF57F}"/>
    <cellStyle name="Normal 8 3 8 3" xfId="6515" xr:uid="{00000000-0005-0000-0000-0000CB1D0000}"/>
    <cellStyle name="Normal 8 3 8 3 2" xfId="14944" xr:uid="{21CDB840-63E8-48F0-B28A-5980BF1E034A}"/>
    <cellStyle name="Normal 8 3 8 4" xfId="10726" xr:uid="{C12BD657-CAA6-4F65-B552-0625585C996D}"/>
    <cellStyle name="Normal 8 3 9" xfId="2643" xr:uid="{00000000-0005-0000-0000-0000CC1D0000}"/>
    <cellStyle name="Normal 8 3 9 2" xfId="6928" xr:uid="{00000000-0005-0000-0000-0000CD1D0000}"/>
    <cellStyle name="Normal 8 3 9 2 2" xfId="15357" xr:uid="{25F4C8A3-7D42-4087-80A3-7D961EE7B4EF}"/>
    <cellStyle name="Normal 8 3 9 3" xfId="11139" xr:uid="{B73FB15F-2B4B-430C-8677-390E070F1BBB}"/>
    <cellStyle name="Normal 8 4" xfId="503" xr:uid="{00000000-0005-0000-0000-0000CE1D0000}"/>
    <cellStyle name="Normal 8 4 10" xfId="9082" xr:uid="{89649001-2593-47DA-847E-29F9A1BBB852}"/>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2 2" xfId="15860" xr:uid="{A464461C-8D8B-4B7A-B50B-871E163C5EDD}"/>
    <cellStyle name="Normal 8 4 2 2 2 2 3" xfId="11642" xr:uid="{AB780034-E9AD-4659-A695-B5967AB45B3A}"/>
    <cellStyle name="Normal 8 4 2 2 2 3" xfId="5286" xr:uid="{00000000-0005-0000-0000-0000D41D0000}"/>
    <cellStyle name="Normal 8 4 2 2 2 3 2" xfId="13715" xr:uid="{9220340E-198A-4767-A0A1-B9DA4BAB0EC4}"/>
    <cellStyle name="Normal 8 4 2 2 2 4" xfId="9497" xr:uid="{1E2B1B9B-5F18-42F3-ABFC-E113E943B6AB}"/>
    <cellStyle name="Normal 8 4 2 2 3" xfId="1390" xr:uid="{00000000-0005-0000-0000-0000D51D0000}"/>
    <cellStyle name="Normal 8 4 2 2 3 2" xfId="3620" xr:uid="{00000000-0005-0000-0000-0000D61D0000}"/>
    <cellStyle name="Normal 8 4 2 2 3 2 2" xfId="7844" xr:uid="{00000000-0005-0000-0000-0000D71D0000}"/>
    <cellStyle name="Normal 8 4 2 2 3 2 2 2" xfId="16273" xr:uid="{E9CDCFCD-E150-47F7-87E5-18C6F6B09556}"/>
    <cellStyle name="Normal 8 4 2 2 3 2 3" xfId="12055" xr:uid="{39E0D00D-25A4-4520-AD3E-605DF6A2A581}"/>
    <cellStyle name="Normal 8 4 2 2 3 3" xfId="5699" xr:uid="{00000000-0005-0000-0000-0000D81D0000}"/>
    <cellStyle name="Normal 8 4 2 2 3 3 2" xfId="14128" xr:uid="{6C0B05A2-EA49-41B5-A98F-19D17D6F7979}"/>
    <cellStyle name="Normal 8 4 2 2 3 4" xfId="9910" xr:uid="{11F8FE5E-8663-4409-BCDA-0110E2D523C6}"/>
    <cellStyle name="Normal 8 4 2 2 4" xfId="1803" xr:uid="{00000000-0005-0000-0000-0000D91D0000}"/>
    <cellStyle name="Normal 8 4 2 2 4 2" xfId="4033" xr:uid="{00000000-0005-0000-0000-0000DA1D0000}"/>
    <cellStyle name="Normal 8 4 2 2 4 2 2" xfId="8257" xr:uid="{00000000-0005-0000-0000-0000DB1D0000}"/>
    <cellStyle name="Normal 8 4 2 2 4 2 2 2" xfId="16686" xr:uid="{59995041-E189-466E-8875-AC722D78445A}"/>
    <cellStyle name="Normal 8 4 2 2 4 2 3" xfId="12468" xr:uid="{6F654B62-9537-4B94-A619-715F725932FE}"/>
    <cellStyle name="Normal 8 4 2 2 4 3" xfId="6112" xr:uid="{00000000-0005-0000-0000-0000DC1D0000}"/>
    <cellStyle name="Normal 8 4 2 2 4 3 2" xfId="14541" xr:uid="{0356A9EF-3D7E-4E0D-82AB-FF7D392B8B5F}"/>
    <cellStyle name="Normal 8 4 2 2 4 4" xfId="10323" xr:uid="{7F1AB06F-D7A5-4341-9B5D-8A6265A8C0E3}"/>
    <cellStyle name="Normal 8 4 2 2 5" xfId="2217" xr:uid="{00000000-0005-0000-0000-0000DD1D0000}"/>
    <cellStyle name="Normal 8 4 2 2 5 2" xfId="4446" xr:uid="{00000000-0005-0000-0000-0000DE1D0000}"/>
    <cellStyle name="Normal 8 4 2 2 5 2 2" xfId="8670" xr:uid="{00000000-0005-0000-0000-0000DF1D0000}"/>
    <cellStyle name="Normal 8 4 2 2 5 2 2 2" xfId="17099" xr:uid="{5CC59D6F-9494-426F-B30F-95D237361632}"/>
    <cellStyle name="Normal 8 4 2 2 5 2 3" xfId="12881" xr:uid="{9CD60F65-D13F-440D-BF8B-68D485AD3ADA}"/>
    <cellStyle name="Normal 8 4 2 2 5 3" xfId="6525" xr:uid="{00000000-0005-0000-0000-0000E01D0000}"/>
    <cellStyle name="Normal 8 4 2 2 5 3 2" xfId="14954" xr:uid="{D7B87DB5-D55D-4DF0-8483-5102439A1135}"/>
    <cellStyle name="Normal 8 4 2 2 5 4" xfId="10736" xr:uid="{E60BFA11-73E7-4CBD-945E-E61247541E25}"/>
    <cellStyle name="Normal 8 4 2 2 6" xfId="2653" xr:uid="{00000000-0005-0000-0000-0000E11D0000}"/>
    <cellStyle name="Normal 8 4 2 2 6 2" xfId="6938" xr:uid="{00000000-0005-0000-0000-0000E21D0000}"/>
    <cellStyle name="Normal 8 4 2 2 6 2 2" xfId="15367" xr:uid="{2FCE5190-F95F-43C3-B166-4ED399EAD6A2}"/>
    <cellStyle name="Normal 8 4 2 2 6 3" xfId="11149" xr:uid="{2B73DBBB-D79C-4890-BEA7-1C5262057C88}"/>
    <cellStyle name="Normal 8 4 2 2 7" xfId="4873" xr:uid="{00000000-0005-0000-0000-0000E31D0000}"/>
    <cellStyle name="Normal 8 4 2 2 7 2" xfId="13302" xr:uid="{B5F413D8-E3FB-47DE-ADFE-C589AF3FC5E7}"/>
    <cellStyle name="Normal 8 4 2 2 8" xfId="9084" xr:uid="{981FE6DE-2FFE-4B14-8606-E7A420DC079D}"/>
    <cellStyle name="Normal 8 4 2 3" xfId="972" xr:uid="{00000000-0005-0000-0000-0000E41D0000}"/>
    <cellStyle name="Normal 8 4 2 3 2" xfId="3206" xr:uid="{00000000-0005-0000-0000-0000E51D0000}"/>
    <cellStyle name="Normal 8 4 2 3 2 2" xfId="7430" xr:uid="{00000000-0005-0000-0000-0000E61D0000}"/>
    <cellStyle name="Normal 8 4 2 3 2 2 2" xfId="15859" xr:uid="{7D2F85D5-B8D6-480D-8F4C-7C083B1423A7}"/>
    <cellStyle name="Normal 8 4 2 3 2 3" xfId="11641" xr:uid="{E2F6A2BC-AAF8-4562-84B4-DEE1C8EE0ECE}"/>
    <cellStyle name="Normal 8 4 2 3 3" xfId="5285" xr:uid="{00000000-0005-0000-0000-0000E71D0000}"/>
    <cellStyle name="Normal 8 4 2 3 3 2" xfId="13714" xr:uid="{E9C4F236-72BA-4D0D-890B-49AE1F7EBDA7}"/>
    <cellStyle name="Normal 8 4 2 3 4" xfId="9496" xr:uid="{02023EB8-9D4A-4388-B3D4-AF80B002EDD5}"/>
    <cellStyle name="Normal 8 4 2 4" xfId="1389" xr:uid="{00000000-0005-0000-0000-0000E81D0000}"/>
    <cellStyle name="Normal 8 4 2 4 2" xfId="3619" xr:uid="{00000000-0005-0000-0000-0000E91D0000}"/>
    <cellStyle name="Normal 8 4 2 4 2 2" xfId="7843" xr:uid="{00000000-0005-0000-0000-0000EA1D0000}"/>
    <cellStyle name="Normal 8 4 2 4 2 2 2" xfId="16272" xr:uid="{53A467FF-CAA1-4285-B180-7296F04B54FB}"/>
    <cellStyle name="Normal 8 4 2 4 2 3" xfId="12054" xr:uid="{BDB49A02-B854-4862-947E-836BDE066132}"/>
    <cellStyle name="Normal 8 4 2 4 3" xfId="5698" xr:uid="{00000000-0005-0000-0000-0000EB1D0000}"/>
    <cellStyle name="Normal 8 4 2 4 3 2" xfId="14127" xr:uid="{044C15F9-DBA7-4735-9F4C-5AC6AC35FBFE}"/>
    <cellStyle name="Normal 8 4 2 4 4" xfId="9909" xr:uid="{78977D9D-D7FF-434F-AACD-C3AB52CD68C5}"/>
    <cellStyle name="Normal 8 4 2 5" xfId="1802" xr:uid="{00000000-0005-0000-0000-0000EC1D0000}"/>
    <cellStyle name="Normal 8 4 2 5 2" xfId="4032" xr:uid="{00000000-0005-0000-0000-0000ED1D0000}"/>
    <cellStyle name="Normal 8 4 2 5 2 2" xfId="8256" xr:uid="{00000000-0005-0000-0000-0000EE1D0000}"/>
    <cellStyle name="Normal 8 4 2 5 2 2 2" xfId="16685" xr:uid="{6F40CDBC-945A-4D5A-AA53-310881069C6C}"/>
    <cellStyle name="Normal 8 4 2 5 2 3" xfId="12467" xr:uid="{371400BB-4825-460F-A03C-28B991349231}"/>
    <cellStyle name="Normal 8 4 2 5 3" xfId="6111" xr:uid="{00000000-0005-0000-0000-0000EF1D0000}"/>
    <cellStyle name="Normal 8 4 2 5 3 2" xfId="14540" xr:uid="{F37917B5-F5A2-409D-97E4-D023CCCC600E}"/>
    <cellStyle name="Normal 8 4 2 5 4" xfId="10322" xr:uid="{5DF85873-5D6A-492C-9663-3F0C5AC065F7}"/>
    <cellStyle name="Normal 8 4 2 6" xfId="2216" xr:uid="{00000000-0005-0000-0000-0000F01D0000}"/>
    <cellStyle name="Normal 8 4 2 6 2" xfId="4445" xr:uid="{00000000-0005-0000-0000-0000F11D0000}"/>
    <cellStyle name="Normal 8 4 2 6 2 2" xfId="8669" xr:uid="{00000000-0005-0000-0000-0000F21D0000}"/>
    <cellStyle name="Normal 8 4 2 6 2 2 2" xfId="17098" xr:uid="{7477F0B6-4592-43D9-974D-8519E6C82CB0}"/>
    <cellStyle name="Normal 8 4 2 6 2 3" xfId="12880" xr:uid="{AE57964D-CFD5-4623-B139-4F8446532A80}"/>
    <cellStyle name="Normal 8 4 2 6 3" xfId="6524" xr:uid="{00000000-0005-0000-0000-0000F31D0000}"/>
    <cellStyle name="Normal 8 4 2 6 3 2" xfId="14953" xr:uid="{710183DE-ACD5-4F64-84DA-A4F1C6CD6C05}"/>
    <cellStyle name="Normal 8 4 2 6 4" xfId="10735" xr:uid="{55D39907-FEEE-4308-B514-FD8361A50B01}"/>
    <cellStyle name="Normal 8 4 2 7" xfId="2652" xr:uid="{00000000-0005-0000-0000-0000F41D0000}"/>
    <cellStyle name="Normal 8 4 2 7 2" xfId="6937" xr:uid="{00000000-0005-0000-0000-0000F51D0000}"/>
    <cellStyle name="Normal 8 4 2 7 2 2" xfId="15366" xr:uid="{5E01BD75-16B6-4F51-A661-45F1AF6EFA92}"/>
    <cellStyle name="Normal 8 4 2 7 3" xfId="11148" xr:uid="{84FE7E1D-8E67-49C2-8514-5C4C5AAD077C}"/>
    <cellStyle name="Normal 8 4 2 8" xfId="4872" xr:uid="{00000000-0005-0000-0000-0000F61D0000}"/>
    <cellStyle name="Normal 8 4 2 8 2" xfId="13301" xr:uid="{D62C5AB3-3C3E-45BD-8DBD-672C7E9D746F}"/>
    <cellStyle name="Normal 8 4 2 9" xfId="9083" xr:uid="{E44DC381-6186-40DA-8ECF-282260886A46}"/>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2 2" xfId="15861" xr:uid="{B9638B8E-7531-412C-8D4E-5927A766C9D0}"/>
    <cellStyle name="Normal 8 4 3 2 2 3" xfId="11643" xr:uid="{05C38F94-F048-4039-BF9F-BBD3F7AF5E92}"/>
    <cellStyle name="Normal 8 4 3 2 3" xfId="5287" xr:uid="{00000000-0005-0000-0000-0000FB1D0000}"/>
    <cellStyle name="Normal 8 4 3 2 3 2" xfId="13716" xr:uid="{3DEE3AB3-1A5E-4A69-97AF-6446A256F19B}"/>
    <cellStyle name="Normal 8 4 3 2 4" xfId="9498" xr:uid="{F59BCF3C-C765-4C21-952A-ED6B6FFBB637}"/>
    <cellStyle name="Normal 8 4 3 3" xfId="1391" xr:uid="{00000000-0005-0000-0000-0000FC1D0000}"/>
    <cellStyle name="Normal 8 4 3 3 2" xfId="3621" xr:uid="{00000000-0005-0000-0000-0000FD1D0000}"/>
    <cellStyle name="Normal 8 4 3 3 2 2" xfId="7845" xr:uid="{00000000-0005-0000-0000-0000FE1D0000}"/>
    <cellStyle name="Normal 8 4 3 3 2 2 2" xfId="16274" xr:uid="{EBE3A06F-9850-440B-BE83-89041A3B3C69}"/>
    <cellStyle name="Normal 8 4 3 3 2 3" xfId="12056" xr:uid="{532A37EF-4FA6-4405-933D-4DFEF60E524E}"/>
    <cellStyle name="Normal 8 4 3 3 3" xfId="5700" xr:uid="{00000000-0005-0000-0000-0000FF1D0000}"/>
    <cellStyle name="Normal 8 4 3 3 3 2" xfId="14129" xr:uid="{050B505B-38BE-4EEA-B403-8A09CFB3440B}"/>
    <cellStyle name="Normal 8 4 3 3 4" xfId="9911" xr:uid="{E586D249-C566-42DD-A23E-4AE1A987E18B}"/>
    <cellStyle name="Normal 8 4 3 4" xfId="1804" xr:uid="{00000000-0005-0000-0000-0000001E0000}"/>
    <cellStyle name="Normal 8 4 3 4 2" xfId="4034" xr:uid="{00000000-0005-0000-0000-0000011E0000}"/>
    <cellStyle name="Normal 8 4 3 4 2 2" xfId="8258" xr:uid="{00000000-0005-0000-0000-0000021E0000}"/>
    <cellStyle name="Normal 8 4 3 4 2 2 2" xfId="16687" xr:uid="{FE8CFAD6-7EF6-4709-8110-7707F67E9295}"/>
    <cellStyle name="Normal 8 4 3 4 2 3" xfId="12469" xr:uid="{D4E8B50E-0BD0-47B9-806E-2440C325E275}"/>
    <cellStyle name="Normal 8 4 3 4 3" xfId="6113" xr:uid="{00000000-0005-0000-0000-0000031E0000}"/>
    <cellStyle name="Normal 8 4 3 4 3 2" xfId="14542" xr:uid="{26808F23-AA59-468C-B678-F0AF702AA2D9}"/>
    <cellStyle name="Normal 8 4 3 4 4" xfId="10324" xr:uid="{A1EC2588-A978-4704-82E3-C50A86657D54}"/>
    <cellStyle name="Normal 8 4 3 5" xfId="2218" xr:uid="{00000000-0005-0000-0000-0000041E0000}"/>
    <cellStyle name="Normal 8 4 3 5 2" xfId="4447" xr:uid="{00000000-0005-0000-0000-0000051E0000}"/>
    <cellStyle name="Normal 8 4 3 5 2 2" xfId="8671" xr:uid="{00000000-0005-0000-0000-0000061E0000}"/>
    <cellStyle name="Normal 8 4 3 5 2 2 2" xfId="17100" xr:uid="{1DC1D5DA-E4D1-46BC-AE7B-39D4FF270CFF}"/>
    <cellStyle name="Normal 8 4 3 5 2 3" xfId="12882" xr:uid="{0886324D-B6E3-4229-974A-57FDA2DED020}"/>
    <cellStyle name="Normal 8 4 3 5 3" xfId="6526" xr:uid="{00000000-0005-0000-0000-0000071E0000}"/>
    <cellStyle name="Normal 8 4 3 5 3 2" xfId="14955" xr:uid="{D3C4C206-D8DF-48C2-AD26-CE65FB8DC12F}"/>
    <cellStyle name="Normal 8 4 3 5 4" xfId="10737" xr:uid="{3F9B6A3D-327A-4AE6-950A-3F7E6C038D02}"/>
    <cellStyle name="Normal 8 4 3 6" xfId="2654" xr:uid="{00000000-0005-0000-0000-0000081E0000}"/>
    <cellStyle name="Normal 8 4 3 6 2" xfId="6939" xr:uid="{00000000-0005-0000-0000-0000091E0000}"/>
    <cellStyle name="Normal 8 4 3 6 2 2" xfId="15368" xr:uid="{1CFE242E-E9EC-4476-A31A-2C49F1E99821}"/>
    <cellStyle name="Normal 8 4 3 6 3" xfId="11150" xr:uid="{2CDB2FEA-7462-45CA-A294-DAB3A2C43969}"/>
    <cellStyle name="Normal 8 4 3 7" xfId="4874" xr:uid="{00000000-0005-0000-0000-00000A1E0000}"/>
    <cellStyle name="Normal 8 4 3 7 2" xfId="13303" xr:uid="{11924A39-09D9-4D5D-B520-9817002C7CFA}"/>
    <cellStyle name="Normal 8 4 3 8" xfId="9085" xr:uid="{2B386E60-6941-4E9B-B5A9-889AFE4C9FFF}"/>
    <cellStyle name="Normal 8 4 4" xfId="971" xr:uid="{00000000-0005-0000-0000-00000B1E0000}"/>
    <cellStyle name="Normal 8 4 4 2" xfId="3205" xr:uid="{00000000-0005-0000-0000-00000C1E0000}"/>
    <cellStyle name="Normal 8 4 4 2 2" xfId="7429" xr:uid="{00000000-0005-0000-0000-00000D1E0000}"/>
    <cellStyle name="Normal 8 4 4 2 2 2" xfId="15858" xr:uid="{0755CEBC-09F0-40C3-88C4-436D423A2206}"/>
    <cellStyle name="Normal 8 4 4 2 3" xfId="11640" xr:uid="{2A7145BF-5750-4B13-9A45-25500742FBD1}"/>
    <cellStyle name="Normal 8 4 4 3" xfId="5284" xr:uid="{00000000-0005-0000-0000-00000E1E0000}"/>
    <cellStyle name="Normal 8 4 4 3 2" xfId="13713" xr:uid="{B27BD02E-CD8A-4FFA-9BBE-0886C0DB83A5}"/>
    <cellStyle name="Normal 8 4 4 4" xfId="9495" xr:uid="{778885A6-C8B7-45F9-98DD-A208C31926B0}"/>
    <cellStyle name="Normal 8 4 5" xfId="1388" xr:uid="{00000000-0005-0000-0000-00000F1E0000}"/>
    <cellStyle name="Normal 8 4 5 2" xfId="3618" xr:uid="{00000000-0005-0000-0000-0000101E0000}"/>
    <cellStyle name="Normal 8 4 5 2 2" xfId="7842" xr:uid="{00000000-0005-0000-0000-0000111E0000}"/>
    <cellStyle name="Normal 8 4 5 2 2 2" xfId="16271" xr:uid="{76280EFD-4026-4C9A-B191-EEA525EEA5B5}"/>
    <cellStyle name="Normal 8 4 5 2 3" xfId="12053" xr:uid="{8AEFE4BA-0C4D-4032-96BC-F493CBE5F499}"/>
    <cellStyle name="Normal 8 4 5 3" xfId="5697" xr:uid="{00000000-0005-0000-0000-0000121E0000}"/>
    <cellStyle name="Normal 8 4 5 3 2" xfId="14126" xr:uid="{6BB03C77-B0A4-45A9-A38D-C8FB2A4ED116}"/>
    <cellStyle name="Normal 8 4 5 4" xfId="9908" xr:uid="{EAFBD5A8-3ADD-4CCB-9117-F4928489C428}"/>
    <cellStyle name="Normal 8 4 6" xfId="1801" xr:uid="{00000000-0005-0000-0000-0000131E0000}"/>
    <cellStyle name="Normal 8 4 6 2" xfId="4031" xr:uid="{00000000-0005-0000-0000-0000141E0000}"/>
    <cellStyle name="Normal 8 4 6 2 2" xfId="8255" xr:uid="{00000000-0005-0000-0000-0000151E0000}"/>
    <cellStyle name="Normal 8 4 6 2 2 2" xfId="16684" xr:uid="{8A7C6B39-DD63-4AF9-A4C3-B93A5B12F7AD}"/>
    <cellStyle name="Normal 8 4 6 2 3" xfId="12466" xr:uid="{48FC6125-AD35-4C46-801D-C7600F19010D}"/>
    <cellStyle name="Normal 8 4 6 3" xfId="6110" xr:uid="{00000000-0005-0000-0000-0000161E0000}"/>
    <cellStyle name="Normal 8 4 6 3 2" xfId="14539" xr:uid="{05EE61C2-C144-4DB8-82A9-F30C5D029190}"/>
    <cellStyle name="Normal 8 4 6 4" xfId="10321" xr:uid="{E4D97608-8DBB-4D8D-81A5-67140C5E9E54}"/>
    <cellStyle name="Normal 8 4 7" xfId="2215" xr:uid="{00000000-0005-0000-0000-0000171E0000}"/>
    <cellStyle name="Normal 8 4 7 2" xfId="4444" xr:uid="{00000000-0005-0000-0000-0000181E0000}"/>
    <cellStyle name="Normal 8 4 7 2 2" xfId="8668" xr:uid="{00000000-0005-0000-0000-0000191E0000}"/>
    <cellStyle name="Normal 8 4 7 2 2 2" xfId="17097" xr:uid="{E269A4EC-7D8A-4916-A197-AB751A700DE0}"/>
    <cellStyle name="Normal 8 4 7 2 3" xfId="12879" xr:uid="{9CF605D2-02C2-489E-A443-3FD38A04FFA6}"/>
    <cellStyle name="Normal 8 4 7 3" xfId="6523" xr:uid="{00000000-0005-0000-0000-00001A1E0000}"/>
    <cellStyle name="Normal 8 4 7 3 2" xfId="14952" xr:uid="{E542DAC7-76D1-4C43-B335-92B2D2304C2F}"/>
    <cellStyle name="Normal 8 4 7 4" xfId="10734" xr:uid="{EB4484CC-3830-4E45-BD44-63772116FBB2}"/>
    <cellStyle name="Normal 8 4 8" xfId="2651" xr:uid="{00000000-0005-0000-0000-00001B1E0000}"/>
    <cellStyle name="Normal 8 4 8 2" xfId="6936" xr:uid="{00000000-0005-0000-0000-00001C1E0000}"/>
    <cellStyle name="Normal 8 4 8 2 2" xfId="15365" xr:uid="{E2D24A44-E599-4D2B-9996-B358F778DF9C}"/>
    <cellStyle name="Normal 8 4 8 3" xfId="11147" xr:uid="{9B8180DF-2578-4048-A9DB-FACC9036DA9A}"/>
    <cellStyle name="Normal 8 4 9" xfId="4871" xr:uid="{00000000-0005-0000-0000-00001D1E0000}"/>
    <cellStyle name="Normal 8 4 9 2" xfId="13300" xr:uid="{3B39E9BB-58C9-45E8-9ECB-5A9A6F5280FE}"/>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2 2" xfId="15863" xr:uid="{EF37B771-4DEC-4A14-851E-6944F8A177E6}"/>
    <cellStyle name="Normal 8 5 2 2 2 3" xfId="11645" xr:uid="{787CE5D1-B565-45F2-9AFE-ED0C37EB381A}"/>
    <cellStyle name="Normal 8 5 2 2 3" xfId="5289" xr:uid="{00000000-0005-0000-0000-0000231E0000}"/>
    <cellStyle name="Normal 8 5 2 2 3 2" xfId="13718" xr:uid="{7F9179FD-15A3-4C1F-A9E5-482CBA86528F}"/>
    <cellStyle name="Normal 8 5 2 2 4" xfId="9500" xr:uid="{5EDF6735-9934-47BB-BF20-5BF93DA285C0}"/>
    <cellStyle name="Normal 8 5 2 3" xfId="1393" xr:uid="{00000000-0005-0000-0000-0000241E0000}"/>
    <cellStyle name="Normal 8 5 2 3 2" xfId="3623" xr:uid="{00000000-0005-0000-0000-0000251E0000}"/>
    <cellStyle name="Normal 8 5 2 3 2 2" xfId="7847" xr:uid="{00000000-0005-0000-0000-0000261E0000}"/>
    <cellStyle name="Normal 8 5 2 3 2 2 2" xfId="16276" xr:uid="{D4E4E633-4864-488D-BD9E-A04044556A49}"/>
    <cellStyle name="Normal 8 5 2 3 2 3" xfId="12058" xr:uid="{D1A8B365-7AF4-4781-92BA-80D9F64EB7EC}"/>
    <cellStyle name="Normal 8 5 2 3 3" xfId="5702" xr:uid="{00000000-0005-0000-0000-0000271E0000}"/>
    <cellStyle name="Normal 8 5 2 3 3 2" xfId="14131" xr:uid="{5DAC57C9-F398-4006-A37D-270E12211F78}"/>
    <cellStyle name="Normal 8 5 2 3 4" xfId="9913" xr:uid="{9AF95DF1-EF00-49B8-B6FC-C9B485027D65}"/>
    <cellStyle name="Normal 8 5 2 4" xfId="1806" xr:uid="{00000000-0005-0000-0000-0000281E0000}"/>
    <cellStyle name="Normal 8 5 2 4 2" xfId="4036" xr:uid="{00000000-0005-0000-0000-0000291E0000}"/>
    <cellStyle name="Normal 8 5 2 4 2 2" xfId="8260" xr:uid="{00000000-0005-0000-0000-00002A1E0000}"/>
    <cellStyle name="Normal 8 5 2 4 2 2 2" xfId="16689" xr:uid="{EFF69ACA-3767-423A-9B16-C6EDE380E31B}"/>
    <cellStyle name="Normal 8 5 2 4 2 3" xfId="12471" xr:uid="{C70863A4-24C2-4406-8A44-4AA37136DC84}"/>
    <cellStyle name="Normal 8 5 2 4 3" xfId="6115" xr:uid="{00000000-0005-0000-0000-00002B1E0000}"/>
    <cellStyle name="Normal 8 5 2 4 3 2" xfId="14544" xr:uid="{DF48D20A-A5EA-4945-B545-B9B5E2F7B1CC}"/>
    <cellStyle name="Normal 8 5 2 4 4" xfId="10326" xr:uid="{9F7FBB73-5F8B-440A-9DF9-17B251031C02}"/>
    <cellStyle name="Normal 8 5 2 5" xfId="2220" xr:uid="{00000000-0005-0000-0000-00002C1E0000}"/>
    <cellStyle name="Normal 8 5 2 5 2" xfId="4449" xr:uid="{00000000-0005-0000-0000-00002D1E0000}"/>
    <cellStyle name="Normal 8 5 2 5 2 2" xfId="8673" xr:uid="{00000000-0005-0000-0000-00002E1E0000}"/>
    <cellStyle name="Normal 8 5 2 5 2 2 2" xfId="17102" xr:uid="{3AAB4EBF-ADA2-4F3F-84E9-6BCDD4AD05A8}"/>
    <cellStyle name="Normal 8 5 2 5 2 3" xfId="12884" xr:uid="{6AF4653B-C300-4F8C-B784-9F9A6FE38579}"/>
    <cellStyle name="Normal 8 5 2 5 3" xfId="6528" xr:uid="{00000000-0005-0000-0000-00002F1E0000}"/>
    <cellStyle name="Normal 8 5 2 5 3 2" xfId="14957" xr:uid="{1A323B58-52C4-4168-811A-ECBE784DEDF9}"/>
    <cellStyle name="Normal 8 5 2 5 4" xfId="10739" xr:uid="{496224AC-190E-4585-BB1B-66140DD45EF0}"/>
    <cellStyle name="Normal 8 5 2 6" xfId="2656" xr:uid="{00000000-0005-0000-0000-0000301E0000}"/>
    <cellStyle name="Normal 8 5 2 6 2" xfId="6941" xr:uid="{00000000-0005-0000-0000-0000311E0000}"/>
    <cellStyle name="Normal 8 5 2 6 2 2" xfId="15370" xr:uid="{8693B1C4-D1F4-4FB4-ABF1-8027D52AB924}"/>
    <cellStyle name="Normal 8 5 2 6 3" xfId="11152" xr:uid="{89886DD9-2046-4534-A20D-1B18FC045054}"/>
    <cellStyle name="Normal 8 5 2 7" xfId="4876" xr:uid="{00000000-0005-0000-0000-0000321E0000}"/>
    <cellStyle name="Normal 8 5 2 7 2" xfId="13305" xr:uid="{F144C9A7-2479-41F1-AC62-B9A09F1C0424}"/>
    <cellStyle name="Normal 8 5 2 8" xfId="9087" xr:uid="{93C8FEEB-BD30-497E-AAED-1237803C8686}"/>
    <cellStyle name="Normal 8 5 3" xfId="975" xr:uid="{00000000-0005-0000-0000-0000331E0000}"/>
    <cellStyle name="Normal 8 5 3 2" xfId="3209" xr:uid="{00000000-0005-0000-0000-0000341E0000}"/>
    <cellStyle name="Normal 8 5 3 2 2" xfId="7433" xr:uid="{00000000-0005-0000-0000-0000351E0000}"/>
    <cellStyle name="Normal 8 5 3 2 2 2" xfId="15862" xr:uid="{C1B05676-3E2F-4124-A8F0-25D49E4C0B41}"/>
    <cellStyle name="Normal 8 5 3 2 3" xfId="11644" xr:uid="{C75524B6-9C1F-4B42-990E-C9E52A368454}"/>
    <cellStyle name="Normal 8 5 3 3" xfId="5288" xr:uid="{00000000-0005-0000-0000-0000361E0000}"/>
    <cellStyle name="Normal 8 5 3 3 2" xfId="13717" xr:uid="{5F527E72-0BCA-4E04-8905-95582AC7B9FA}"/>
    <cellStyle name="Normal 8 5 3 4" xfId="9499" xr:uid="{B3295E03-FB48-49A4-B3E6-1E2584986406}"/>
    <cellStyle name="Normal 8 5 4" xfId="1392" xr:uid="{00000000-0005-0000-0000-0000371E0000}"/>
    <cellStyle name="Normal 8 5 4 2" xfId="3622" xr:uid="{00000000-0005-0000-0000-0000381E0000}"/>
    <cellStyle name="Normal 8 5 4 2 2" xfId="7846" xr:uid="{00000000-0005-0000-0000-0000391E0000}"/>
    <cellStyle name="Normal 8 5 4 2 2 2" xfId="16275" xr:uid="{ACD72A0C-3701-4BFD-990B-BE94BCBB3437}"/>
    <cellStyle name="Normal 8 5 4 2 3" xfId="12057" xr:uid="{A445302F-7F31-4154-9393-BBCABC5D495B}"/>
    <cellStyle name="Normal 8 5 4 3" xfId="5701" xr:uid="{00000000-0005-0000-0000-00003A1E0000}"/>
    <cellStyle name="Normal 8 5 4 3 2" xfId="14130" xr:uid="{E0905315-6355-4CE2-8356-20F93308AE52}"/>
    <cellStyle name="Normal 8 5 4 4" xfId="9912" xr:uid="{2F6036F2-8A6B-466A-A5BE-B38D582A9F19}"/>
    <cellStyle name="Normal 8 5 5" xfId="1805" xr:uid="{00000000-0005-0000-0000-00003B1E0000}"/>
    <cellStyle name="Normal 8 5 5 2" xfId="4035" xr:uid="{00000000-0005-0000-0000-00003C1E0000}"/>
    <cellStyle name="Normal 8 5 5 2 2" xfId="8259" xr:uid="{00000000-0005-0000-0000-00003D1E0000}"/>
    <cellStyle name="Normal 8 5 5 2 2 2" xfId="16688" xr:uid="{6A846F2D-E16A-4CE4-BB85-FCBDB2E48586}"/>
    <cellStyle name="Normal 8 5 5 2 3" xfId="12470" xr:uid="{E86FAA59-E9A6-448B-B07F-F4CF507E1186}"/>
    <cellStyle name="Normal 8 5 5 3" xfId="6114" xr:uid="{00000000-0005-0000-0000-00003E1E0000}"/>
    <cellStyle name="Normal 8 5 5 3 2" xfId="14543" xr:uid="{F5851AFE-6A02-4DA9-B895-49BD819C2D16}"/>
    <cellStyle name="Normal 8 5 5 4" xfId="10325" xr:uid="{14D15AFA-3326-4084-B3FB-F19E2CEC4920}"/>
    <cellStyle name="Normal 8 5 6" xfId="2219" xr:uid="{00000000-0005-0000-0000-00003F1E0000}"/>
    <cellStyle name="Normal 8 5 6 2" xfId="4448" xr:uid="{00000000-0005-0000-0000-0000401E0000}"/>
    <cellStyle name="Normal 8 5 6 2 2" xfId="8672" xr:uid="{00000000-0005-0000-0000-0000411E0000}"/>
    <cellStyle name="Normal 8 5 6 2 2 2" xfId="17101" xr:uid="{85D74E21-7683-4E63-9C91-EB4D5653626A}"/>
    <cellStyle name="Normal 8 5 6 2 3" xfId="12883" xr:uid="{748A472F-9D09-45E9-BAA3-6430CFC0EE4B}"/>
    <cellStyle name="Normal 8 5 6 3" xfId="6527" xr:uid="{00000000-0005-0000-0000-0000421E0000}"/>
    <cellStyle name="Normal 8 5 6 3 2" xfId="14956" xr:uid="{7C88CAF8-C762-4C58-A2E4-D24F29FC9A68}"/>
    <cellStyle name="Normal 8 5 6 4" xfId="10738" xr:uid="{1B5F78A2-133F-4864-BA23-3F986A912C18}"/>
    <cellStyle name="Normal 8 5 7" xfId="2655" xr:uid="{00000000-0005-0000-0000-0000431E0000}"/>
    <cellStyle name="Normal 8 5 7 2" xfId="6940" xr:uid="{00000000-0005-0000-0000-0000441E0000}"/>
    <cellStyle name="Normal 8 5 7 2 2" xfId="15369" xr:uid="{68700E2D-ADAB-4EBA-ADC4-2F12CC759554}"/>
    <cellStyle name="Normal 8 5 7 3" xfId="11151" xr:uid="{2562047C-8D70-4E78-8BD4-1C723027F14A}"/>
    <cellStyle name="Normal 8 5 8" xfId="4875" xr:uid="{00000000-0005-0000-0000-0000451E0000}"/>
    <cellStyle name="Normal 8 5 8 2" xfId="13304" xr:uid="{BDADF080-1812-431B-9E8A-82D0EA3D3318}"/>
    <cellStyle name="Normal 8 5 9" xfId="9086" xr:uid="{40DCDB56-8416-4D5A-9B63-1A5B186EA427}"/>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2 2" xfId="15864" xr:uid="{0A393991-DCDA-4E3D-9874-C3F0586DCA58}"/>
    <cellStyle name="Normal 8 6 2 2 3" xfId="11646" xr:uid="{9E392974-8516-4476-9AC8-AC0BB5DAD445}"/>
    <cellStyle name="Normal 8 6 2 3" xfId="5290" xr:uid="{00000000-0005-0000-0000-00004A1E0000}"/>
    <cellStyle name="Normal 8 6 2 3 2" xfId="13719" xr:uid="{C133667A-2F4A-4592-AB60-0E305FEE0922}"/>
    <cellStyle name="Normal 8 6 2 4" xfId="9501" xr:uid="{889D7A8D-3983-49DC-BB48-B1909684850F}"/>
    <cellStyle name="Normal 8 6 3" xfId="1394" xr:uid="{00000000-0005-0000-0000-00004B1E0000}"/>
    <cellStyle name="Normal 8 6 3 2" xfId="3624" xr:uid="{00000000-0005-0000-0000-00004C1E0000}"/>
    <cellStyle name="Normal 8 6 3 2 2" xfId="7848" xr:uid="{00000000-0005-0000-0000-00004D1E0000}"/>
    <cellStyle name="Normal 8 6 3 2 2 2" xfId="16277" xr:uid="{89A975D2-FFA8-4586-B514-E7BC2244C7E7}"/>
    <cellStyle name="Normal 8 6 3 2 3" xfId="12059" xr:uid="{20ACAEFB-BFB0-4E96-BEB4-A2BFEAFB5806}"/>
    <cellStyle name="Normal 8 6 3 3" xfId="5703" xr:uid="{00000000-0005-0000-0000-00004E1E0000}"/>
    <cellStyle name="Normal 8 6 3 3 2" xfId="14132" xr:uid="{84F4B5AE-BFAE-4F5A-877A-B66EAC7901CE}"/>
    <cellStyle name="Normal 8 6 3 4" xfId="9914" xr:uid="{2710387A-D3FE-4D77-A7D0-2EE6E07FBFA8}"/>
    <cellStyle name="Normal 8 6 4" xfId="1807" xr:uid="{00000000-0005-0000-0000-00004F1E0000}"/>
    <cellStyle name="Normal 8 6 4 2" xfId="4037" xr:uid="{00000000-0005-0000-0000-0000501E0000}"/>
    <cellStyle name="Normal 8 6 4 2 2" xfId="8261" xr:uid="{00000000-0005-0000-0000-0000511E0000}"/>
    <cellStyle name="Normal 8 6 4 2 2 2" xfId="16690" xr:uid="{1A45ABE9-DC15-4EF5-B4C2-5A1113E40C15}"/>
    <cellStyle name="Normal 8 6 4 2 3" xfId="12472" xr:uid="{6C728A1D-DBC3-48D3-8DC8-14811DFB9509}"/>
    <cellStyle name="Normal 8 6 4 3" xfId="6116" xr:uid="{00000000-0005-0000-0000-0000521E0000}"/>
    <cellStyle name="Normal 8 6 4 3 2" xfId="14545" xr:uid="{F98D1D10-00C7-4F38-8F41-BE2F96EF134A}"/>
    <cellStyle name="Normal 8 6 4 4" xfId="10327" xr:uid="{54E90B28-718D-424C-B4C6-65A49FE43FD8}"/>
    <cellStyle name="Normal 8 6 5" xfId="2221" xr:uid="{00000000-0005-0000-0000-0000531E0000}"/>
    <cellStyle name="Normal 8 6 5 2" xfId="4450" xr:uid="{00000000-0005-0000-0000-0000541E0000}"/>
    <cellStyle name="Normal 8 6 5 2 2" xfId="8674" xr:uid="{00000000-0005-0000-0000-0000551E0000}"/>
    <cellStyle name="Normal 8 6 5 2 2 2" xfId="17103" xr:uid="{A3606EB9-B304-4740-9211-643A664240E7}"/>
    <cellStyle name="Normal 8 6 5 2 3" xfId="12885" xr:uid="{6CC60EAF-878E-4D98-9A48-23574715DE32}"/>
    <cellStyle name="Normal 8 6 5 3" xfId="6529" xr:uid="{00000000-0005-0000-0000-0000561E0000}"/>
    <cellStyle name="Normal 8 6 5 3 2" xfId="14958" xr:uid="{3B338FFC-2DC2-42F5-933A-986CF8EA856D}"/>
    <cellStyle name="Normal 8 6 5 4" xfId="10740" xr:uid="{4F862CB5-8C73-49D8-9A66-670879A72E3E}"/>
    <cellStyle name="Normal 8 6 6" xfId="2657" xr:uid="{00000000-0005-0000-0000-0000571E0000}"/>
    <cellStyle name="Normal 8 6 6 2" xfId="6942" xr:uid="{00000000-0005-0000-0000-0000581E0000}"/>
    <cellStyle name="Normal 8 6 6 2 2" xfId="15371" xr:uid="{BE8E4B67-2D06-4356-8543-7230EC958E65}"/>
    <cellStyle name="Normal 8 6 6 3" xfId="11153" xr:uid="{30D9B890-EE1E-489F-840D-B6FD60BF4C4C}"/>
    <cellStyle name="Normal 8 6 7" xfId="4877" xr:uid="{00000000-0005-0000-0000-0000591E0000}"/>
    <cellStyle name="Normal 8 6 7 2" xfId="13306" xr:uid="{D7DC3685-4CFF-4393-854B-73E4CA73E796}"/>
    <cellStyle name="Normal 8 6 8" xfId="9088" xr:uid="{3E77ECD3-45D5-4266-8570-DB2290D40811}"/>
    <cellStyle name="Normal 8 7" xfId="946" xr:uid="{00000000-0005-0000-0000-00005A1E0000}"/>
    <cellStyle name="Normal 8 7 2" xfId="3180" xr:uid="{00000000-0005-0000-0000-00005B1E0000}"/>
    <cellStyle name="Normal 8 7 2 2" xfId="7404" xr:uid="{00000000-0005-0000-0000-00005C1E0000}"/>
    <cellStyle name="Normal 8 7 2 2 2" xfId="15833" xr:uid="{053411D7-EE56-480A-8FB8-421F7B50206E}"/>
    <cellStyle name="Normal 8 7 2 3" xfId="11615" xr:uid="{93EE183C-6E41-444F-BBB9-ADED24697ACF}"/>
    <cellStyle name="Normal 8 7 3" xfId="5259" xr:uid="{00000000-0005-0000-0000-00005D1E0000}"/>
    <cellStyle name="Normal 8 7 3 2" xfId="13688" xr:uid="{2A06BDF1-7FB3-4158-A491-E43243DD6B1E}"/>
    <cellStyle name="Normal 8 7 4" xfId="9470" xr:uid="{2462DBB2-8BBF-4FCC-8CBA-D33C4865307E}"/>
    <cellStyle name="Normal 8 8" xfId="1363" xr:uid="{00000000-0005-0000-0000-00005E1E0000}"/>
    <cellStyle name="Normal 8 8 2" xfId="3593" xr:uid="{00000000-0005-0000-0000-00005F1E0000}"/>
    <cellStyle name="Normal 8 8 2 2" xfId="7817" xr:uid="{00000000-0005-0000-0000-0000601E0000}"/>
    <cellStyle name="Normal 8 8 2 2 2" xfId="16246" xr:uid="{3265188A-C79F-4CA9-B4DA-1EA55DD2A9A5}"/>
    <cellStyle name="Normal 8 8 2 3" xfId="12028" xr:uid="{0788D130-38B5-42A8-8B0C-4FF138657A32}"/>
    <cellStyle name="Normal 8 8 3" xfId="5672" xr:uid="{00000000-0005-0000-0000-0000611E0000}"/>
    <cellStyle name="Normal 8 8 3 2" xfId="14101" xr:uid="{0694A687-C038-4D1D-A83A-73F19A1A5D90}"/>
    <cellStyle name="Normal 8 8 4" xfId="9883" xr:uid="{F29C92AA-C92D-4332-A53D-72CD13BF9F20}"/>
    <cellStyle name="Normal 8 9" xfId="1776" xr:uid="{00000000-0005-0000-0000-0000621E0000}"/>
    <cellStyle name="Normal 8 9 2" xfId="4006" xr:uid="{00000000-0005-0000-0000-0000631E0000}"/>
    <cellStyle name="Normal 8 9 2 2" xfId="8230" xr:uid="{00000000-0005-0000-0000-0000641E0000}"/>
    <cellStyle name="Normal 8 9 2 2 2" xfId="16659" xr:uid="{AC45A8F1-728F-4EE9-A0D6-898DC4CD3C0B}"/>
    <cellStyle name="Normal 8 9 2 3" xfId="12441" xr:uid="{A6A4C54D-E310-412F-8DF7-893AACFBFE42}"/>
    <cellStyle name="Normal 8 9 3" xfId="6085" xr:uid="{00000000-0005-0000-0000-0000651E0000}"/>
    <cellStyle name="Normal 8 9 3 2" xfId="14514" xr:uid="{804DCDBA-097E-472D-97B9-A6B015B9B220}"/>
    <cellStyle name="Normal 8 9 4" xfId="10296" xr:uid="{1105347C-BD4F-433D-837B-403D62ACEA6C}"/>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2 2" xfId="15372" xr:uid="{7C523ED3-3778-4BF9-9F0B-B2E87CCFD10B}"/>
    <cellStyle name="Normal 9 2 10 3" xfId="11154" xr:uid="{57CC40FB-6A9B-4D10-ABEF-9B1D24B2FA4A}"/>
    <cellStyle name="Normal 9 2 11" xfId="4878" xr:uid="{00000000-0005-0000-0000-00006A1E0000}"/>
    <cellStyle name="Normal 9 2 11 2" xfId="13307" xr:uid="{0125755D-3518-4BBD-8AE5-CFBF65E5F2D9}"/>
    <cellStyle name="Normal 9 2 12" xfId="9089" xr:uid="{38E6F312-0C44-45F1-96EB-A116314DC2C3}"/>
    <cellStyle name="Normal 9 2 2" xfId="512" xr:uid="{00000000-0005-0000-0000-00006B1E0000}"/>
    <cellStyle name="Normal 9 2 2 10" xfId="4879" xr:uid="{00000000-0005-0000-0000-00006C1E0000}"/>
    <cellStyle name="Normal 9 2 2 10 2" xfId="13308" xr:uid="{92E74BC0-A139-4C94-B37D-36FC5D7DCF60}"/>
    <cellStyle name="Normal 9 2 2 11" xfId="9090" xr:uid="{E8CA554C-AEB4-43C8-A34C-6DBEB0A3E387}"/>
    <cellStyle name="Normal 9 2 2 2" xfId="513" xr:uid="{00000000-0005-0000-0000-00006D1E0000}"/>
    <cellStyle name="Normal 9 2 2 2 10" xfId="9091" xr:uid="{3082EBA1-F3F7-4C50-BF64-07A156A3C392}"/>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2 2" xfId="15869" xr:uid="{A98DAB38-41CA-4691-B2D4-9F7E25CE4080}"/>
    <cellStyle name="Normal 9 2 2 2 2 2 2 2 3" xfId="11651" xr:uid="{F144898A-599C-4837-B559-CCB88D44332C}"/>
    <cellStyle name="Normal 9 2 2 2 2 2 2 3" xfId="5295" xr:uid="{00000000-0005-0000-0000-0000731E0000}"/>
    <cellStyle name="Normal 9 2 2 2 2 2 2 3 2" xfId="13724" xr:uid="{5704A7E7-3AB9-41E3-92A2-9B0B1D7384B4}"/>
    <cellStyle name="Normal 9 2 2 2 2 2 2 4" xfId="9506" xr:uid="{6D7904E4-DB6A-4E67-9448-559BD4469ADD}"/>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2 2" xfId="16282" xr:uid="{4EB88431-E5F5-4F77-BBE8-6CC70FB9253C}"/>
    <cellStyle name="Normal 9 2 2 2 2 2 3 2 3" xfId="12064" xr:uid="{8FC38023-09F4-42AE-98FD-37DBE8B07DA2}"/>
    <cellStyle name="Normal 9 2 2 2 2 2 3 3" xfId="5708" xr:uid="{00000000-0005-0000-0000-0000771E0000}"/>
    <cellStyle name="Normal 9 2 2 2 2 2 3 3 2" xfId="14137" xr:uid="{287C5024-C40A-4BC0-835C-83580195FA45}"/>
    <cellStyle name="Normal 9 2 2 2 2 2 3 4" xfId="9919" xr:uid="{84159079-44C1-48A1-B7AD-D5820164DA2D}"/>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2 2" xfId="16695" xr:uid="{7247C6BD-138F-49B0-BF53-A2FF37220A5D}"/>
    <cellStyle name="Normal 9 2 2 2 2 2 4 2 3" xfId="12477" xr:uid="{9E88DA8A-6011-4DDA-BEED-8BCEA616CC90}"/>
    <cellStyle name="Normal 9 2 2 2 2 2 4 3" xfId="6121" xr:uid="{00000000-0005-0000-0000-00007B1E0000}"/>
    <cellStyle name="Normal 9 2 2 2 2 2 4 3 2" xfId="14550" xr:uid="{BC7FDEC6-FB23-4B51-9731-D4DB97243424}"/>
    <cellStyle name="Normal 9 2 2 2 2 2 4 4" xfId="10332" xr:uid="{617D9C87-B4EB-4FB9-AE1C-573D41764F21}"/>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2 2" xfId="17108" xr:uid="{7E61D0D6-F23D-4589-81D3-4DEB7F927F00}"/>
    <cellStyle name="Normal 9 2 2 2 2 2 5 2 3" xfId="12890" xr:uid="{E8EF7674-D228-4649-A4B8-979125C19EDB}"/>
    <cellStyle name="Normal 9 2 2 2 2 2 5 3" xfId="6534" xr:uid="{00000000-0005-0000-0000-00007F1E0000}"/>
    <cellStyle name="Normal 9 2 2 2 2 2 5 3 2" xfId="14963" xr:uid="{5A479707-B166-4667-9CD5-CE32D56E6135}"/>
    <cellStyle name="Normal 9 2 2 2 2 2 5 4" xfId="10745" xr:uid="{CE8312C6-A5C9-4851-980F-6C9D3FC30D24}"/>
    <cellStyle name="Normal 9 2 2 2 2 2 6" xfId="2662" xr:uid="{00000000-0005-0000-0000-0000801E0000}"/>
    <cellStyle name="Normal 9 2 2 2 2 2 6 2" xfId="6947" xr:uid="{00000000-0005-0000-0000-0000811E0000}"/>
    <cellStyle name="Normal 9 2 2 2 2 2 6 2 2" xfId="15376" xr:uid="{4FA40267-38BA-4631-A038-5CAEA61EA879}"/>
    <cellStyle name="Normal 9 2 2 2 2 2 6 3" xfId="11158" xr:uid="{C8751B13-D775-4360-92E3-2AA71FBB83D2}"/>
    <cellStyle name="Normal 9 2 2 2 2 2 7" xfId="4882" xr:uid="{00000000-0005-0000-0000-0000821E0000}"/>
    <cellStyle name="Normal 9 2 2 2 2 2 7 2" xfId="13311" xr:uid="{B76B3D74-EA6D-4915-ADA0-EB968CAC3BCB}"/>
    <cellStyle name="Normal 9 2 2 2 2 2 8" xfId="9093" xr:uid="{830D28E9-768D-4274-AC5F-19381162D025}"/>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2 2" xfId="15868" xr:uid="{4F2C01AB-4087-47A9-867F-98FCE16E8FA9}"/>
    <cellStyle name="Normal 9 2 2 2 2 3 2 3" xfId="11650" xr:uid="{10212AB4-989E-4FF8-A744-A8354DC82DB9}"/>
    <cellStyle name="Normal 9 2 2 2 2 3 3" xfId="5294" xr:uid="{00000000-0005-0000-0000-0000861E0000}"/>
    <cellStyle name="Normal 9 2 2 2 2 3 3 2" xfId="13723" xr:uid="{AE24AB1F-4DEF-4A27-A151-1BF237A69D60}"/>
    <cellStyle name="Normal 9 2 2 2 2 3 4" xfId="9505" xr:uid="{6342D0AE-492B-48F5-AF95-1C53FEF43DF2}"/>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2 2" xfId="16281" xr:uid="{7EC60487-5893-41E8-BF12-475CC814ED58}"/>
    <cellStyle name="Normal 9 2 2 2 2 4 2 3" xfId="12063" xr:uid="{230DD2A3-A964-4849-833F-9EFA23BA6501}"/>
    <cellStyle name="Normal 9 2 2 2 2 4 3" xfId="5707" xr:uid="{00000000-0005-0000-0000-00008A1E0000}"/>
    <cellStyle name="Normal 9 2 2 2 2 4 3 2" xfId="14136" xr:uid="{72920426-F452-4B56-BD44-C20481ACC521}"/>
    <cellStyle name="Normal 9 2 2 2 2 4 4" xfId="9918" xr:uid="{B5E56AAF-29A2-4265-9E40-D5FCF8F707F3}"/>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2 2" xfId="16694" xr:uid="{B1BDC06F-1056-49EA-9BDE-FF383D359D61}"/>
    <cellStyle name="Normal 9 2 2 2 2 5 2 3" xfId="12476" xr:uid="{3016AB0E-86AD-451A-AB40-EDBB2F77959A}"/>
    <cellStyle name="Normal 9 2 2 2 2 5 3" xfId="6120" xr:uid="{00000000-0005-0000-0000-00008E1E0000}"/>
    <cellStyle name="Normal 9 2 2 2 2 5 3 2" xfId="14549" xr:uid="{A7214E62-3C05-4B37-B441-F48CC39F4F3E}"/>
    <cellStyle name="Normal 9 2 2 2 2 5 4" xfId="10331" xr:uid="{BB921E2E-6A47-4F8B-825A-85A91079F091}"/>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2 2" xfId="17107" xr:uid="{A409F95F-55BB-4216-8FB7-948EE2E5ABE7}"/>
    <cellStyle name="Normal 9 2 2 2 2 6 2 3" xfId="12889" xr:uid="{1D0F7972-16B4-4616-A840-D5D61E4F99A5}"/>
    <cellStyle name="Normal 9 2 2 2 2 6 3" xfId="6533" xr:uid="{00000000-0005-0000-0000-0000921E0000}"/>
    <cellStyle name="Normal 9 2 2 2 2 6 3 2" xfId="14962" xr:uid="{8BB1CAB9-202B-4F01-BF30-E534BFF2BFE8}"/>
    <cellStyle name="Normal 9 2 2 2 2 6 4" xfId="10744" xr:uid="{2E6E106A-2748-4628-8F87-89262866E79C}"/>
    <cellStyle name="Normal 9 2 2 2 2 7" xfId="2661" xr:uid="{00000000-0005-0000-0000-0000931E0000}"/>
    <cellStyle name="Normal 9 2 2 2 2 7 2" xfId="6946" xr:uid="{00000000-0005-0000-0000-0000941E0000}"/>
    <cellStyle name="Normal 9 2 2 2 2 7 2 2" xfId="15375" xr:uid="{1778EC5C-80FC-451F-AE9D-DAEE4AF51E94}"/>
    <cellStyle name="Normal 9 2 2 2 2 7 3" xfId="11157" xr:uid="{CD483BF1-DF2D-4E1F-9E7F-B80B3A3A5EE1}"/>
    <cellStyle name="Normal 9 2 2 2 2 8" xfId="4881" xr:uid="{00000000-0005-0000-0000-0000951E0000}"/>
    <cellStyle name="Normal 9 2 2 2 2 8 2" xfId="13310" xr:uid="{7DB73328-7646-4CD5-B301-7B8FC7829786}"/>
    <cellStyle name="Normal 9 2 2 2 2 9" xfId="9092" xr:uid="{52F35510-D854-41F4-B663-E0647852E57F}"/>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2 2" xfId="15870" xr:uid="{47060CFE-E6EA-4112-867E-655F69702F0E}"/>
    <cellStyle name="Normal 9 2 2 2 3 2 2 3" xfId="11652" xr:uid="{04AF114D-1D74-4801-BCD6-5D1D8960B249}"/>
    <cellStyle name="Normal 9 2 2 2 3 2 3" xfId="5296" xr:uid="{00000000-0005-0000-0000-00009A1E0000}"/>
    <cellStyle name="Normal 9 2 2 2 3 2 3 2" xfId="13725" xr:uid="{7A8D73C7-BB3A-4B19-98AC-5C79810C629C}"/>
    <cellStyle name="Normal 9 2 2 2 3 2 4" xfId="9507" xr:uid="{2DD01B9A-3633-4E6F-BEAF-65C921222473}"/>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2 2" xfId="16283" xr:uid="{3A3312DC-123C-4549-9F80-8381861665B1}"/>
    <cellStyle name="Normal 9 2 2 2 3 3 2 3" xfId="12065" xr:uid="{F0A70424-5117-400B-85D8-DBBE2841350E}"/>
    <cellStyle name="Normal 9 2 2 2 3 3 3" xfId="5709" xr:uid="{00000000-0005-0000-0000-00009E1E0000}"/>
    <cellStyle name="Normal 9 2 2 2 3 3 3 2" xfId="14138" xr:uid="{D45CB7B1-DECD-45B1-AAA4-0829D31F3BC2}"/>
    <cellStyle name="Normal 9 2 2 2 3 3 4" xfId="9920" xr:uid="{D30771C8-ABFD-4E76-87E8-26AB1FB34228}"/>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2 2" xfId="16696" xr:uid="{895E72B1-1BD9-4EE6-8EE1-0F0EF028535F}"/>
    <cellStyle name="Normal 9 2 2 2 3 4 2 3" xfId="12478" xr:uid="{1ED4C694-8AC6-4858-A72B-040C8B4F494D}"/>
    <cellStyle name="Normal 9 2 2 2 3 4 3" xfId="6122" xr:uid="{00000000-0005-0000-0000-0000A21E0000}"/>
    <cellStyle name="Normal 9 2 2 2 3 4 3 2" xfId="14551" xr:uid="{6BD1F97F-88D1-40D0-905C-8C876C674369}"/>
    <cellStyle name="Normal 9 2 2 2 3 4 4" xfId="10333" xr:uid="{B6F89852-67A3-4DC6-B9B0-5F6A46FBFB9F}"/>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2 2" xfId="17109" xr:uid="{D0F91DCF-4F27-4B7A-AFE1-0E068157B2D0}"/>
    <cellStyle name="Normal 9 2 2 2 3 5 2 3" xfId="12891" xr:uid="{E60494F6-5576-41B8-B93A-28D3C6FE067F}"/>
    <cellStyle name="Normal 9 2 2 2 3 5 3" xfId="6535" xr:uid="{00000000-0005-0000-0000-0000A61E0000}"/>
    <cellStyle name="Normal 9 2 2 2 3 5 3 2" xfId="14964" xr:uid="{E4EA7BD3-55C6-4D21-835A-0B4916A453CE}"/>
    <cellStyle name="Normal 9 2 2 2 3 5 4" xfId="10746" xr:uid="{34E2C756-1243-475E-99A0-198D8B1E1DBE}"/>
    <cellStyle name="Normal 9 2 2 2 3 6" xfId="2663" xr:uid="{00000000-0005-0000-0000-0000A71E0000}"/>
    <cellStyle name="Normal 9 2 2 2 3 6 2" xfId="6948" xr:uid="{00000000-0005-0000-0000-0000A81E0000}"/>
    <cellStyle name="Normal 9 2 2 2 3 6 2 2" xfId="15377" xr:uid="{475E1A05-FEC4-4013-AE9C-DC6228CFD12D}"/>
    <cellStyle name="Normal 9 2 2 2 3 6 3" xfId="11159" xr:uid="{5F86E0CE-29DC-4FDE-87A2-4906EA3DB0EB}"/>
    <cellStyle name="Normal 9 2 2 2 3 7" xfId="4883" xr:uid="{00000000-0005-0000-0000-0000A91E0000}"/>
    <cellStyle name="Normal 9 2 2 2 3 7 2" xfId="13312" xr:uid="{F92FEEB3-06C1-496F-B9C6-A9B4E086A6B1}"/>
    <cellStyle name="Normal 9 2 2 2 3 8" xfId="9094" xr:uid="{2C162B6D-1D3B-4A13-9453-12EF70A320CB}"/>
    <cellStyle name="Normal 9 2 2 2 4" xfId="981" xr:uid="{00000000-0005-0000-0000-0000AA1E0000}"/>
    <cellStyle name="Normal 9 2 2 2 4 2" xfId="3214" xr:uid="{00000000-0005-0000-0000-0000AB1E0000}"/>
    <cellStyle name="Normal 9 2 2 2 4 2 2" xfId="7438" xr:uid="{00000000-0005-0000-0000-0000AC1E0000}"/>
    <cellStyle name="Normal 9 2 2 2 4 2 2 2" xfId="15867" xr:uid="{65A4B3F2-9A9E-43E7-A82A-318BD865B402}"/>
    <cellStyle name="Normal 9 2 2 2 4 2 3" xfId="11649" xr:uid="{D1B6C923-C939-45D8-8E4B-7BE7FFE2CEC3}"/>
    <cellStyle name="Normal 9 2 2 2 4 3" xfId="5293" xr:uid="{00000000-0005-0000-0000-0000AD1E0000}"/>
    <cellStyle name="Normal 9 2 2 2 4 3 2" xfId="13722" xr:uid="{18201156-8698-4A37-B872-561F65148358}"/>
    <cellStyle name="Normal 9 2 2 2 4 4" xfId="9504" xr:uid="{9E192AC9-78F8-4CC9-A225-68ED30B4140D}"/>
    <cellStyle name="Normal 9 2 2 2 5" xfId="1397" xr:uid="{00000000-0005-0000-0000-0000AE1E0000}"/>
    <cellStyle name="Normal 9 2 2 2 5 2" xfId="3627" xr:uid="{00000000-0005-0000-0000-0000AF1E0000}"/>
    <cellStyle name="Normal 9 2 2 2 5 2 2" xfId="7851" xr:uid="{00000000-0005-0000-0000-0000B01E0000}"/>
    <cellStyle name="Normal 9 2 2 2 5 2 2 2" xfId="16280" xr:uid="{5B3BB26F-B1B8-4B93-80AC-E66E57E5BF35}"/>
    <cellStyle name="Normal 9 2 2 2 5 2 3" xfId="12062" xr:uid="{CA80A274-713E-486C-96A3-29500454B69F}"/>
    <cellStyle name="Normal 9 2 2 2 5 3" xfId="5706" xr:uid="{00000000-0005-0000-0000-0000B11E0000}"/>
    <cellStyle name="Normal 9 2 2 2 5 3 2" xfId="14135" xr:uid="{B0F6AEC7-A6C7-485F-B454-8B00BB795658}"/>
    <cellStyle name="Normal 9 2 2 2 5 4" xfId="9917" xr:uid="{38B49CB0-7103-4F0B-A48F-7FE677847D84}"/>
    <cellStyle name="Normal 9 2 2 2 6" xfId="1810" xr:uid="{00000000-0005-0000-0000-0000B21E0000}"/>
    <cellStyle name="Normal 9 2 2 2 6 2" xfId="4040" xr:uid="{00000000-0005-0000-0000-0000B31E0000}"/>
    <cellStyle name="Normal 9 2 2 2 6 2 2" xfId="8264" xr:uid="{00000000-0005-0000-0000-0000B41E0000}"/>
    <cellStyle name="Normal 9 2 2 2 6 2 2 2" xfId="16693" xr:uid="{719C574B-764C-42E4-A410-98BF04469CD6}"/>
    <cellStyle name="Normal 9 2 2 2 6 2 3" xfId="12475" xr:uid="{72498ED6-28F0-4AB2-B530-F048FEB45B4D}"/>
    <cellStyle name="Normal 9 2 2 2 6 3" xfId="6119" xr:uid="{00000000-0005-0000-0000-0000B51E0000}"/>
    <cellStyle name="Normal 9 2 2 2 6 3 2" xfId="14548" xr:uid="{EB354BB4-C1DB-4154-BE65-3D6563BD32B5}"/>
    <cellStyle name="Normal 9 2 2 2 6 4" xfId="10330" xr:uid="{8E20DD90-F8B7-4AE4-9ACE-EE793AEEACF3}"/>
    <cellStyle name="Normal 9 2 2 2 7" xfId="2224" xr:uid="{00000000-0005-0000-0000-0000B61E0000}"/>
    <cellStyle name="Normal 9 2 2 2 7 2" xfId="4453" xr:uid="{00000000-0005-0000-0000-0000B71E0000}"/>
    <cellStyle name="Normal 9 2 2 2 7 2 2" xfId="8677" xr:uid="{00000000-0005-0000-0000-0000B81E0000}"/>
    <cellStyle name="Normal 9 2 2 2 7 2 2 2" xfId="17106" xr:uid="{68456ED8-B1B1-4B4C-9517-9D37DCD2C905}"/>
    <cellStyle name="Normal 9 2 2 2 7 2 3" xfId="12888" xr:uid="{B8797673-9AC8-4358-8ABD-ED6936FAB8D9}"/>
    <cellStyle name="Normal 9 2 2 2 7 3" xfId="6532" xr:uid="{00000000-0005-0000-0000-0000B91E0000}"/>
    <cellStyle name="Normal 9 2 2 2 7 3 2" xfId="14961" xr:uid="{02092A99-747A-469F-AE76-12B9479573A4}"/>
    <cellStyle name="Normal 9 2 2 2 7 4" xfId="10743" xr:uid="{6DB946AB-1E9E-4D5D-80F3-F2FF53DFE586}"/>
    <cellStyle name="Normal 9 2 2 2 8" xfId="2660" xr:uid="{00000000-0005-0000-0000-0000BA1E0000}"/>
    <cellStyle name="Normal 9 2 2 2 8 2" xfId="6945" xr:uid="{00000000-0005-0000-0000-0000BB1E0000}"/>
    <cellStyle name="Normal 9 2 2 2 8 2 2" xfId="15374" xr:uid="{42D62FAB-34AA-4F0B-8269-2F3D295E37C3}"/>
    <cellStyle name="Normal 9 2 2 2 8 3" xfId="11156" xr:uid="{397C1406-1FD9-4327-9ADD-5397BFF30441}"/>
    <cellStyle name="Normal 9 2 2 2 9" xfId="4880" xr:uid="{00000000-0005-0000-0000-0000BC1E0000}"/>
    <cellStyle name="Normal 9 2 2 2 9 2" xfId="13309" xr:uid="{8132F779-CBE5-4914-A735-B8DFD51E64DA}"/>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2 2" xfId="15872" xr:uid="{03A85D01-9724-4F65-BB79-53E6F649CE0E}"/>
    <cellStyle name="Normal 9 2 2 3 2 2 2 3" xfId="11654" xr:uid="{7C6F22EF-324D-48D4-9BCB-F8BB8E63064B}"/>
    <cellStyle name="Normal 9 2 2 3 2 2 3" xfId="5298" xr:uid="{00000000-0005-0000-0000-0000C21E0000}"/>
    <cellStyle name="Normal 9 2 2 3 2 2 3 2" xfId="13727" xr:uid="{12164A42-C6F3-46B2-B3A4-39FDED0DE5E9}"/>
    <cellStyle name="Normal 9 2 2 3 2 2 4" xfId="9509" xr:uid="{1A29581A-29FB-4A43-B200-34114B4B45C3}"/>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2 2" xfId="16285" xr:uid="{D6D962FB-75A5-4BA1-9C2A-30FDADA719E5}"/>
    <cellStyle name="Normal 9 2 2 3 2 3 2 3" xfId="12067" xr:uid="{C2873F09-B446-4E05-8D35-E8A00094B5F5}"/>
    <cellStyle name="Normal 9 2 2 3 2 3 3" xfId="5711" xr:uid="{00000000-0005-0000-0000-0000C61E0000}"/>
    <cellStyle name="Normal 9 2 2 3 2 3 3 2" xfId="14140" xr:uid="{FB87B884-D5BD-4A16-B18B-42A98C5452C9}"/>
    <cellStyle name="Normal 9 2 2 3 2 3 4" xfId="9922" xr:uid="{C55CDAEF-8156-460B-839C-0460C044FC13}"/>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2 2" xfId="16698" xr:uid="{0D8BB5CC-351C-4D1E-9157-91346DA5CA9B}"/>
    <cellStyle name="Normal 9 2 2 3 2 4 2 3" xfId="12480" xr:uid="{9A59D3F2-1015-437C-AE16-9BDB250D2607}"/>
    <cellStyle name="Normal 9 2 2 3 2 4 3" xfId="6124" xr:uid="{00000000-0005-0000-0000-0000CA1E0000}"/>
    <cellStyle name="Normal 9 2 2 3 2 4 3 2" xfId="14553" xr:uid="{51B7B60E-1661-4CA2-BDDA-8EF9E4431B65}"/>
    <cellStyle name="Normal 9 2 2 3 2 4 4" xfId="10335" xr:uid="{3276328D-F4BF-4172-8D07-E50C9506A40C}"/>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2 2" xfId="17111" xr:uid="{10DEE478-AFE3-4153-98C3-66C45789C838}"/>
    <cellStyle name="Normal 9 2 2 3 2 5 2 3" xfId="12893" xr:uid="{ABFF99D3-8C0B-4B80-BE75-295E0D7699F9}"/>
    <cellStyle name="Normal 9 2 2 3 2 5 3" xfId="6537" xr:uid="{00000000-0005-0000-0000-0000CE1E0000}"/>
    <cellStyle name="Normal 9 2 2 3 2 5 3 2" xfId="14966" xr:uid="{8DA7C6CD-02FC-4EC4-9B34-23DB33341951}"/>
    <cellStyle name="Normal 9 2 2 3 2 5 4" xfId="10748" xr:uid="{70EFE22A-6EF7-4336-AD6A-221B82C94EAC}"/>
    <cellStyle name="Normal 9 2 2 3 2 6" xfId="2665" xr:uid="{00000000-0005-0000-0000-0000CF1E0000}"/>
    <cellStyle name="Normal 9 2 2 3 2 6 2" xfId="6950" xr:uid="{00000000-0005-0000-0000-0000D01E0000}"/>
    <cellStyle name="Normal 9 2 2 3 2 6 2 2" xfId="15379" xr:uid="{373F448E-C4FD-438A-8DC2-D17503A6DF2B}"/>
    <cellStyle name="Normal 9 2 2 3 2 6 3" xfId="11161" xr:uid="{350D2AD4-D95C-4DE7-AD2E-91FA5A02AD42}"/>
    <cellStyle name="Normal 9 2 2 3 2 7" xfId="4885" xr:uid="{00000000-0005-0000-0000-0000D11E0000}"/>
    <cellStyle name="Normal 9 2 2 3 2 7 2" xfId="13314" xr:uid="{D589C1E9-D212-47EF-9C35-F0D65BFDA16B}"/>
    <cellStyle name="Normal 9 2 2 3 2 8" xfId="9096" xr:uid="{7A65969D-5C42-4C7A-A25D-FD93CB21E7E6}"/>
    <cellStyle name="Normal 9 2 2 3 3" xfId="985" xr:uid="{00000000-0005-0000-0000-0000D21E0000}"/>
    <cellStyle name="Normal 9 2 2 3 3 2" xfId="3218" xr:uid="{00000000-0005-0000-0000-0000D31E0000}"/>
    <cellStyle name="Normal 9 2 2 3 3 2 2" xfId="7442" xr:uid="{00000000-0005-0000-0000-0000D41E0000}"/>
    <cellStyle name="Normal 9 2 2 3 3 2 2 2" xfId="15871" xr:uid="{7ECEA820-5A10-4C2C-AA2A-9DC450C4EA15}"/>
    <cellStyle name="Normal 9 2 2 3 3 2 3" xfId="11653" xr:uid="{4AF8DEB1-F38A-4F94-8567-F9F8DF00CBFE}"/>
    <cellStyle name="Normal 9 2 2 3 3 3" xfId="5297" xr:uid="{00000000-0005-0000-0000-0000D51E0000}"/>
    <cellStyle name="Normal 9 2 2 3 3 3 2" xfId="13726" xr:uid="{9C6922F4-865C-4C2B-A284-2124BD0057FE}"/>
    <cellStyle name="Normal 9 2 2 3 3 4" xfId="9508" xr:uid="{09620A78-5E9E-44D8-982D-37F83E2F0A99}"/>
    <cellStyle name="Normal 9 2 2 3 4" xfId="1401" xr:uid="{00000000-0005-0000-0000-0000D61E0000}"/>
    <cellStyle name="Normal 9 2 2 3 4 2" xfId="3631" xr:uid="{00000000-0005-0000-0000-0000D71E0000}"/>
    <cellStyle name="Normal 9 2 2 3 4 2 2" xfId="7855" xr:uid="{00000000-0005-0000-0000-0000D81E0000}"/>
    <cellStyle name="Normal 9 2 2 3 4 2 2 2" xfId="16284" xr:uid="{17996D94-6675-4FDE-9CE1-D3E30DAE833C}"/>
    <cellStyle name="Normal 9 2 2 3 4 2 3" xfId="12066" xr:uid="{60635E5E-F193-4D9A-AEA5-5CEE6A6FE6D5}"/>
    <cellStyle name="Normal 9 2 2 3 4 3" xfId="5710" xr:uid="{00000000-0005-0000-0000-0000D91E0000}"/>
    <cellStyle name="Normal 9 2 2 3 4 3 2" xfId="14139" xr:uid="{A13BA27E-B494-44C1-95F6-659706475A73}"/>
    <cellStyle name="Normal 9 2 2 3 4 4" xfId="9921" xr:uid="{366020B8-C4DC-44E6-A540-56F97E85D01D}"/>
    <cellStyle name="Normal 9 2 2 3 5" xfId="1814" xr:uid="{00000000-0005-0000-0000-0000DA1E0000}"/>
    <cellStyle name="Normal 9 2 2 3 5 2" xfId="4044" xr:uid="{00000000-0005-0000-0000-0000DB1E0000}"/>
    <cellStyle name="Normal 9 2 2 3 5 2 2" xfId="8268" xr:uid="{00000000-0005-0000-0000-0000DC1E0000}"/>
    <cellStyle name="Normal 9 2 2 3 5 2 2 2" xfId="16697" xr:uid="{4FD0D2D1-FA0B-4956-8571-9F6EE341C585}"/>
    <cellStyle name="Normal 9 2 2 3 5 2 3" xfId="12479" xr:uid="{66437642-ADB6-4FA0-BD0C-3C534DA3AC22}"/>
    <cellStyle name="Normal 9 2 2 3 5 3" xfId="6123" xr:uid="{00000000-0005-0000-0000-0000DD1E0000}"/>
    <cellStyle name="Normal 9 2 2 3 5 3 2" xfId="14552" xr:uid="{83F549DE-DEF0-449A-87AA-784329DA9400}"/>
    <cellStyle name="Normal 9 2 2 3 5 4" xfId="10334" xr:uid="{5464A51D-2AA9-4422-ACDC-BE24A83343E0}"/>
    <cellStyle name="Normal 9 2 2 3 6" xfId="2228" xr:uid="{00000000-0005-0000-0000-0000DE1E0000}"/>
    <cellStyle name="Normal 9 2 2 3 6 2" xfId="4457" xr:uid="{00000000-0005-0000-0000-0000DF1E0000}"/>
    <cellStyle name="Normal 9 2 2 3 6 2 2" xfId="8681" xr:uid="{00000000-0005-0000-0000-0000E01E0000}"/>
    <cellStyle name="Normal 9 2 2 3 6 2 2 2" xfId="17110" xr:uid="{5DA2BD3C-9E69-4F1A-8621-DEFEBD238C8D}"/>
    <cellStyle name="Normal 9 2 2 3 6 2 3" xfId="12892" xr:uid="{6C37B0DE-6038-41C8-84A3-6F25CA4FEB64}"/>
    <cellStyle name="Normal 9 2 2 3 6 3" xfId="6536" xr:uid="{00000000-0005-0000-0000-0000E11E0000}"/>
    <cellStyle name="Normal 9 2 2 3 6 3 2" xfId="14965" xr:uid="{3E736498-8052-43D0-8A19-F9EE6FA89A38}"/>
    <cellStyle name="Normal 9 2 2 3 6 4" xfId="10747" xr:uid="{9E268E1B-55CC-4C46-AAF8-AFE8909D9FF0}"/>
    <cellStyle name="Normal 9 2 2 3 7" xfId="2664" xr:uid="{00000000-0005-0000-0000-0000E21E0000}"/>
    <cellStyle name="Normal 9 2 2 3 7 2" xfId="6949" xr:uid="{00000000-0005-0000-0000-0000E31E0000}"/>
    <cellStyle name="Normal 9 2 2 3 7 2 2" xfId="15378" xr:uid="{F0401526-30DE-4788-81C4-C780896421E0}"/>
    <cellStyle name="Normal 9 2 2 3 7 3" xfId="11160" xr:uid="{9E3698DD-DFE8-46E0-A683-834C4CD558B7}"/>
    <cellStyle name="Normal 9 2 2 3 8" xfId="4884" xr:uid="{00000000-0005-0000-0000-0000E41E0000}"/>
    <cellStyle name="Normal 9 2 2 3 8 2" xfId="13313" xr:uid="{BCD7C3F0-5ECE-418C-808C-C8DE1619CDEC}"/>
    <cellStyle name="Normal 9 2 2 3 9" xfId="9095" xr:uid="{B765737A-779A-4A8D-AC82-C85789C2213F}"/>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2 2" xfId="15873" xr:uid="{57EE250B-2844-47CD-B351-C39659ED7EDB}"/>
    <cellStyle name="Normal 9 2 2 4 2 2 3" xfId="11655" xr:uid="{2C0C3E7A-B8C3-4E13-8BCE-EC9CC7928525}"/>
    <cellStyle name="Normal 9 2 2 4 2 3" xfId="5299" xr:uid="{00000000-0005-0000-0000-0000E91E0000}"/>
    <cellStyle name="Normal 9 2 2 4 2 3 2" xfId="13728" xr:uid="{14C825B4-E1E6-4EC7-A99E-9F10C0CA5869}"/>
    <cellStyle name="Normal 9 2 2 4 2 4" xfId="9510" xr:uid="{836F2598-DA38-46A7-A09C-0263528E8639}"/>
    <cellStyle name="Normal 9 2 2 4 3" xfId="1403" xr:uid="{00000000-0005-0000-0000-0000EA1E0000}"/>
    <cellStyle name="Normal 9 2 2 4 3 2" xfId="3633" xr:uid="{00000000-0005-0000-0000-0000EB1E0000}"/>
    <cellStyle name="Normal 9 2 2 4 3 2 2" xfId="7857" xr:uid="{00000000-0005-0000-0000-0000EC1E0000}"/>
    <cellStyle name="Normal 9 2 2 4 3 2 2 2" xfId="16286" xr:uid="{3C7DE242-DF1A-4559-90D3-EF04224B6B4F}"/>
    <cellStyle name="Normal 9 2 2 4 3 2 3" xfId="12068" xr:uid="{9D23F8FC-65A7-4B5C-B1A5-3E12C4D776A9}"/>
    <cellStyle name="Normal 9 2 2 4 3 3" xfId="5712" xr:uid="{00000000-0005-0000-0000-0000ED1E0000}"/>
    <cellStyle name="Normal 9 2 2 4 3 3 2" xfId="14141" xr:uid="{886A838E-8E1B-445C-899F-8D8BDB3707E4}"/>
    <cellStyle name="Normal 9 2 2 4 3 4" xfId="9923" xr:uid="{07E2A124-CC4D-42C5-8958-BE738711B201}"/>
    <cellStyle name="Normal 9 2 2 4 4" xfId="1816" xr:uid="{00000000-0005-0000-0000-0000EE1E0000}"/>
    <cellStyle name="Normal 9 2 2 4 4 2" xfId="4046" xr:uid="{00000000-0005-0000-0000-0000EF1E0000}"/>
    <cellStyle name="Normal 9 2 2 4 4 2 2" xfId="8270" xr:uid="{00000000-0005-0000-0000-0000F01E0000}"/>
    <cellStyle name="Normal 9 2 2 4 4 2 2 2" xfId="16699" xr:uid="{A1A5B16E-9034-42F6-91DE-DBE5AE14FCF7}"/>
    <cellStyle name="Normal 9 2 2 4 4 2 3" xfId="12481" xr:uid="{6C4AE4AA-A845-41AE-BDD1-486366CCDD40}"/>
    <cellStyle name="Normal 9 2 2 4 4 3" xfId="6125" xr:uid="{00000000-0005-0000-0000-0000F11E0000}"/>
    <cellStyle name="Normal 9 2 2 4 4 3 2" xfId="14554" xr:uid="{42CC617C-930D-4101-99AC-41961EED9171}"/>
    <cellStyle name="Normal 9 2 2 4 4 4" xfId="10336" xr:uid="{6EFF7515-A3DC-4034-B4DD-9ED273086012}"/>
    <cellStyle name="Normal 9 2 2 4 5" xfId="2230" xr:uid="{00000000-0005-0000-0000-0000F21E0000}"/>
    <cellStyle name="Normal 9 2 2 4 5 2" xfId="4459" xr:uid="{00000000-0005-0000-0000-0000F31E0000}"/>
    <cellStyle name="Normal 9 2 2 4 5 2 2" xfId="8683" xr:uid="{00000000-0005-0000-0000-0000F41E0000}"/>
    <cellStyle name="Normal 9 2 2 4 5 2 2 2" xfId="17112" xr:uid="{2D53CC4F-E3D1-47B7-8067-CA62B99D6B5E}"/>
    <cellStyle name="Normal 9 2 2 4 5 2 3" xfId="12894" xr:uid="{02BFE212-6A81-4721-B1D8-4AE9ECA8A6FD}"/>
    <cellStyle name="Normal 9 2 2 4 5 3" xfId="6538" xr:uid="{00000000-0005-0000-0000-0000F51E0000}"/>
    <cellStyle name="Normal 9 2 2 4 5 3 2" xfId="14967" xr:uid="{0F211B4B-A6BE-4319-A041-244CC75A0770}"/>
    <cellStyle name="Normal 9 2 2 4 5 4" xfId="10749" xr:uid="{E6911390-8FB1-460D-986E-925725F8B325}"/>
    <cellStyle name="Normal 9 2 2 4 6" xfId="2666" xr:uid="{00000000-0005-0000-0000-0000F61E0000}"/>
    <cellStyle name="Normal 9 2 2 4 6 2" xfId="6951" xr:uid="{00000000-0005-0000-0000-0000F71E0000}"/>
    <cellStyle name="Normal 9 2 2 4 6 2 2" xfId="15380" xr:uid="{33CABC4F-D5F8-43B8-A6D6-012DB687F987}"/>
    <cellStyle name="Normal 9 2 2 4 6 3" xfId="11162" xr:uid="{FBF5F4AF-9D74-4547-89E4-DFFDC959B096}"/>
    <cellStyle name="Normal 9 2 2 4 7" xfId="4886" xr:uid="{00000000-0005-0000-0000-0000F81E0000}"/>
    <cellStyle name="Normal 9 2 2 4 7 2" xfId="13315" xr:uid="{F8E812BD-23E9-4CF8-BFF5-37FAEF05ECCD}"/>
    <cellStyle name="Normal 9 2 2 4 8" xfId="9097" xr:uid="{0E14FD80-7A60-4EC9-97CD-3016402FEB1C}"/>
    <cellStyle name="Normal 9 2 2 5" xfId="980" xr:uid="{00000000-0005-0000-0000-0000F91E0000}"/>
    <cellStyle name="Normal 9 2 2 5 2" xfId="3213" xr:uid="{00000000-0005-0000-0000-0000FA1E0000}"/>
    <cellStyle name="Normal 9 2 2 5 2 2" xfId="7437" xr:uid="{00000000-0005-0000-0000-0000FB1E0000}"/>
    <cellStyle name="Normal 9 2 2 5 2 2 2" xfId="15866" xr:uid="{A3B8F3FA-9970-418B-BE14-9972D2F70F55}"/>
    <cellStyle name="Normal 9 2 2 5 2 3" xfId="11648" xr:uid="{3078D997-A4E3-43DD-957D-BF4834094F7B}"/>
    <cellStyle name="Normal 9 2 2 5 3" xfId="5292" xr:uid="{00000000-0005-0000-0000-0000FC1E0000}"/>
    <cellStyle name="Normal 9 2 2 5 3 2" xfId="13721" xr:uid="{A378684A-9807-4AD5-8B69-2C334918ED4F}"/>
    <cellStyle name="Normal 9 2 2 5 4" xfId="9503" xr:uid="{4757EBF2-EF7F-4366-9FB8-0005B73B826A}"/>
    <cellStyle name="Normal 9 2 2 6" xfId="1396" xr:uid="{00000000-0005-0000-0000-0000FD1E0000}"/>
    <cellStyle name="Normal 9 2 2 6 2" xfId="3626" xr:uid="{00000000-0005-0000-0000-0000FE1E0000}"/>
    <cellStyle name="Normal 9 2 2 6 2 2" xfId="7850" xr:uid="{00000000-0005-0000-0000-0000FF1E0000}"/>
    <cellStyle name="Normal 9 2 2 6 2 2 2" xfId="16279" xr:uid="{31F13BA1-33AC-45F7-98DD-CBBDEB853913}"/>
    <cellStyle name="Normal 9 2 2 6 2 3" xfId="12061" xr:uid="{80670006-D385-4096-9894-EC994EA01613}"/>
    <cellStyle name="Normal 9 2 2 6 3" xfId="5705" xr:uid="{00000000-0005-0000-0000-0000001F0000}"/>
    <cellStyle name="Normal 9 2 2 6 3 2" xfId="14134" xr:uid="{BDA21D2A-12F4-4B2C-8F12-42DBBBB6537F}"/>
    <cellStyle name="Normal 9 2 2 6 4" xfId="9916" xr:uid="{2ACAF7F0-1AFC-4C47-8830-A3A3F58D8649}"/>
    <cellStyle name="Normal 9 2 2 7" xfId="1809" xr:uid="{00000000-0005-0000-0000-0000011F0000}"/>
    <cellStyle name="Normal 9 2 2 7 2" xfId="4039" xr:uid="{00000000-0005-0000-0000-0000021F0000}"/>
    <cellStyle name="Normal 9 2 2 7 2 2" xfId="8263" xr:uid="{00000000-0005-0000-0000-0000031F0000}"/>
    <cellStyle name="Normal 9 2 2 7 2 2 2" xfId="16692" xr:uid="{96CAE6E6-A6BC-42F0-ABAC-284A24B902D9}"/>
    <cellStyle name="Normal 9 2 2 7 2 3" xfId="12474" xr:uid="{7DD3BA24-E48D-48C4-95CB-EDD57E6D8734}"/>
    <cellStyle name="Normal 9 2 2 7 3" xfId="6118" xr:uid="{00000000-0005-0000-0000-0000041F0000}"/>
    <cellStyle name="Normal 9 2 2 7 3 2" xfId="14547" xr:uid="{B4EC1C03-0E3E-4B8E-A201-E13E5DC6907E}"/>
    <cellStyle name="Normal 9 2 2 7 4" xfId="10329" xr:uid="{9075B26E-4A66-4966-BDE5-B983D840F8E5}"/>
    <cellStyle name="Normal 9 2 2 8" xfId="2223" xr:uid="{00000000-0005-0000-0000-0000051F0000}"/>
    <cellStyle name="Normal 9 2 2 8 2" xfId="4452" xr:uid="{00000000-0005-0000-0000-0000061F0000}"/>
    <cellStyle name="Normal 9 2 2 8 2 2" xfId="8676" xr:uid="{00000000-0005-0000-0000-0000071F0000}"/>
    <cellStyle name="Normal 9 2 2 8 2 2 2" xfId="17105" xr:uid="{BDBA0001-407C-4C94-A75E-0CBF277949CD}"/>
    <cellStyle name="Normal 9 2 2 8 2 3" xfId="12887" xr:uid="{41717302-5251-4D5B-88D7-69021E3046CC}"/>
    <cellStyle name="Normal 9 2 2 8 3" xfId="6531" xr:uid="{00000000-0005-0000-0000-0000081F0000}"/>
    <cellStyle name="Normal 9 2 2 8 3 2" xfId="14960" xr:uid="{608F87DE-2C52-4D26-BA1C-DEE2DCC64BD5}"/>
    <cellStyle name="Normal 9 2 2 8 4" xfId="10742" xr:uid="{45A895E4-07DB-4BC7-879B-411E0ED61450}"/>
    <cellStyle name="Normal 9 2 2 9" xfId="2659" xr:uid="{00000000-0005-0000-0000-0000091F0000}"/>
    <cellStyle name="Normal 9 2 2 9 2" xfId="6944" xr:uid="{00000000-0005-0000-0000-00000A1F0000}"/>
    <cellStyle name="Normal 9 2 2 9 2 2" xfId="15373" xr:uid="{7D809A07-249D-4A8D-A0E3-CCF6B8E6BB2F}"/>
    <cellStyle name="Normal 9 2 2 9 3" xfId="11155" xr:uid="{E9EEB9EF-8578-4F55-B8BB-B45CE1A099D9}"/>
    <cellStyle name="Normal 9 2 3" xfId="520" xr:uid="{00000000-0005-0000-0000-00000B1F0000}"/>
    <cellStyle name="Normal 9 2 3 10" xfId="9098" xr:uid="{36703DCC-E9B9-420D-ABF1-B518861711FC}"/>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2 2" xfId="15876" xr:uid="{FF011CAC-B93C-4C4B-BD92-51EC37C6CC1A}"/>
    <cellStyle name="Normal 9 2 3 2 2 2 2 3" xfId="11658" xr:uid="{97BEA56C-69B8-4DD6-ADFF-27441BC1DD38}"/>
    <cellStyle name="Normal 9 2 3 2 2 2 3" xfId="5302" xr:uid="{00000000-0005-0000-0000-0000111F0000}"/>
    <cellStyle name="Normal 9 2 3 2 2 2 3 2" xfId="13731" xr:uid="{93598C6A-7810-449D-A275-3BCB7F2F058B}"/>
    <cellStyle name="Normal 9 2 3 2 2 2 4" xfId="9513" xr:uid="{EEAB9DC3-B551-4342-8646-6F5A96AD285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2 2" xfId="16289" xr:uid="{ACB91E6A-E0D9-48BB-BFF1-B5B76DC9DFF2}"/>
    <cellStyle name="Normal 9 2 3 2 2 3 2 3" xfId="12071" xr:uid="{02848267-4484-47E5-B51A-1CD9C1B617D5}"/>
    <cellStyle name="Normal 9 2 3 2 2 3 3" xfId="5715" xr:uid="{00000000-0005-0000-0000-0000151F0000}"/>
    <cellStyle name="Normal 9 2 3 2 2 3 3 2" xfId="14144" xr:uid="{7FD6545A-D6B7-4EA6-8499-FDECCF29EEFA}"/>
    <cellStyle name="Normal 9 2 3 2 2 3 4" xfId="9926" xr:uid="{CFC3D67D-425E-465E-A19A-0CAEEED59DFC}"/>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2 2" xfId="16702" xr:uid="{6A62275B-0D97-4DF2-AA6C-2CEBDE7236C2}"/>
    <cellStyle name="Normal 9 2 3 2 2 4 2 3" xfId="12484" xr:uid="{5AF7C705-5EC9-4DEF-9156-5B7E2813EC8C}"/>
    <cellStyle name="Normal 9 2 3 2 2 4 3" xfId="6128" xr:uid="{00000000-0005-0000-0000-0000191F0000}"/>
    <cellStyle name="Normal 9 2 3 2 2 4 3 2" xfId="14557" xr:uid="{44DD567E-1A82-4A33-807A-FE1C1F979EAC}"/>
    <cellStyle name="Normal 9 2 3 2 2 4 4" xfId="10339" xr:uid="{2F0AFDC0-6548-4D01-AC25-45FC27306703}"/>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2 2" xfId="17115" xr:uid="{5DAB33F0-D929-4EB6-B147-A75832826C66}"/>
    <cellStyle name="Normal 9 2 3 2 2 5 2 3" xfId="12897" xr:uid="{228FEEF2-488F-40EB-AAC2-45E58228CB56}"/>
    <cellStyle name="Normal 9 2 3 2 2 5 3" xfId="6541" xr:uid="{00000000-0005-0000-0000-00001D1F0000}"/>
    <cellStyle name="Normal 9 2 3 2 2 5 3 2" xfId="14970" xr:uid="{F3C5C9D7-79BA-460E-8761-84C20C204C47}"/>
    <cellStyle name="Normal 9 2 3 2 2 5 4" xfId="10752" xr:uid="{EA1796B3-AB39-4739-AA25-B6B4E75B08E4}"/>
    <cellStyle name="Normal 9 2 3 2 2 6" xfId="2669" xr:uid="{00000000-0005-0000-0000-00001E1F0000}"/>
    <cellStyle name="Normal 9 2 3 2 2 6 2" xfId="6954" xr:uid="{00000000-0005-0000-0000-00001F1F0000}"/>
    <cellStyle name="Normal 9 2 3 2 2 6 2 2" xfId="15383" xr:uid="{95C4A0A8-B75B-4DC4-B2ED-C6847F609196}"/>
    <cellStyle name="Normal 9 2 3 2 2 6 3" xfId="11165" xr:uid="{465A2F56-AB8D-4C78-AC9A-AC59DE81B5D6}"/>
    <cellStyle name="Normal 9 2 3 2 2 7" xfId="4889" xr:uid="{00000000-0005-0000-0000-0000201F0000}"/>
    <cellStyle name="Normal 9 2 3 2 2 7 2" xfId="13318" xr:uid="{44E54853-F605-417D-9757-81C31468C81C}"/>
    <cellStyle name="Normal 9 2 3 2 2 8" xfId="9100" xr:uid="{A6D42A31-ABFB-4DDF-BF73-4F2D25EF8CD7}"/>
    <cellStyle name="Normal 9 2 3 2 3" xfId="989" xr:uid="{00000000-0005-0000-0000-0000211F0000}"/>
    <cellStyle name="Normal 9 2 3 2 3 2" xfId="3222" xr:uid="{00000000-0005-0000-0000-0000221F0000}"/>
    <cellStyle name="Normal 9 2 3 2 3 2 2" xfId="7446" xr:uid="{00000000-0005-0000-0000-0000231F0000}"/>
    <cellStyle name="Normal 9 2 3 2 3 2 2 2" xfId="15875" xr:uid="{D134AEA5-4B17-4592-AEA2-F6713B654819}"/>
    <cellStyle name="Normal 9 2 3 2 3 2 3" xfId="11657" xr:uid="{193C7A18-7477-4A87-A5FE-0081A8F6B3C4}"/>
    <cellStyle name="Normal 9 2 3 2 3 3" xfId="5301" xr:uid="{00000000-0005-0000-0000-0000241F0000}"/>
    <cellStyle name="Normal 9 2 3 2 3 3 2" xfId="13730" xr:uid="{17CF26D4-4304-40FA-8DEF-4AA9DF66CB10}"/>
    <cellStyle name="Normal 9 2 3 2 3 4" xfId="9512" xr:uid="{259E8FEF-7861-48A4-A566-1AF8AD529765}"/>
    <cellStyle name="Normal 9 2 3 2 4" xfId="1405" xr:uid="{00000000-0005-0000-0000-0000251F0000}"/>
    <cellStyle name="Normal 9 2 3 2 4 2" xfId="3635" xr:uid="{00000000-0005-0000-0000-0000261F0000}"/>
    <cellStyle name="Normal 9 2 3 2 4 2 2" xfId="7859" xr:uid="{00000000-0005-0000-0000-0000271F0000}"/>
    <cellStyle name="Normal 9 2 3 2 4 2 2 2" xfId="16288" xr:uid="{EF02C5C9-C5DA-401A-9878-1FCC748D4024}"/>
    <cellStyle name="Normal 9 2 3 2 4 2 3" xfId="12070" xr:uid="{F3AD3F1C-2E49-44F2-8069-61468B2EFA8D}"/>
    <cellStyle name="Normal 9 2 3 2 4 3" xfId="5714" xr:uid="{00000000-0005-0000-0000-0000281F0000}"/>
    <cellStyle name="Normal 9 2 3 2 4 3 2" xfId="14143" xr:uid="{5A12670B-953F-40A3-82E7-4829BE9867D3}"/>
    <cellStyle name="Normal 9 2 3 2 4 4" xfId="9925" xr:uid="{6DE707EC-F1E9-4976-AAD4-FCD84EED195D}"/>
    <cellStyle name="Normal 9 2 3 2 5" xfId="1818" xr:uid="{00000000-0005-0000-0000-0000291F0000}"/>
    <cellStyle name="Normal 9 2 3 2 5 2" xfId="4048" xr:uid="{00000000-0005-0000-0000-00002A1F0000}"/>
    <cellStyle name="Normal 9 2 3 2 5 2 2" xfId="8272" xr:uid="{00000000-0005-0000-0000-00002B1F0000}"/>
    <cellStyle name="Normal 9 2 3 2 5 2 2 2" xfId="16701" xr:uid="{C9DD4A7F-D2F7-456F-B683-DF872A0D4361}"/>
    <cellStyle name="Normal 9 2 3 2 5 2 3" xfId="12483" xr:uid="{3B61D52D-D8BA-40CA-B93F-CF71949D0B5F}"/>
    <cellStyle name="Normal 9 2 3 2 5 3" xfId="6127" xr:uid="{00000000-0005-0000-0000-00002C1F0000}"/>
    <cellStyle name="Normal 9 2 3 2 5 3 2" xfId="14556" xr:uid="{991A6F8C-5AAF-4A53-9214-247CC63246B6}"/>
    <cellStyle name="Normal 9 2 3 2 5 4" xfId="10338" xr:uid="{610005FF-58CC-4B60-9D31-195A6B2E1857}"/>
    <cellStyle name="Normal 9 2 3 2 6" xfId="2232" xr:uid="{00000000-0005-0000-0000-00002D1F0000}"/>
    <cellStyle name="Normal 9 2 3 2 6 2" xfId="4461" xr:uid="{00000000-0005-0000-0000-00002E1F0000}"/>
    <cellStyle name="Normal 9 2 3 2 6 2 2" xfId="8685" xr:uid="{00000000-0005-0000-0000-00002F1F0000}"/>
    <cellStyle name="Normal 9 2 3 2 6 2 2 2" xfId="17114" xr:uid="{9DBD2718-DE1E-4AF2-BD5D-B1F92D6C4B89}"/>
    <cellStyle name="Normal 9 2 3 2 6 2 3" xfId="12896" xr:uid="{DDA6B6C9-57ED-4DE1-A49F-76AAA5808A8C}"/>
    <cellStyle name="Normal 9 2 3 2 6 3" xfId="6540" xr:uid="{00000000-0005-0000-0000-0000301F0000}"/>
    <cellStyle name="Normal 9 2 3 2 6 3 2" xfId="14969" xr:uid="{D7BAB46A-E5D1-4B35-92C7-6AB5EC4E434D}"/>
    <cellStyle name="Normal 9 2 3 2 6 4" xfId="10751" xr:uid="{C9389FBB-2D99-410C-A25C-45DC7B1DDC77}"/>
    <cellStyle name="Normal 9 2 3 2 7" xfId="2668" xr:uid="{00000000-0005-0000-0000-0000311F0000}"/>
    <cellStyle name="Normal 9 2 3 2 7 2" xfId="6953" xr:uid="{00000000-0005-0000-0000-0000321F0000}"/>
    <cellStyle name="Normal 9 2 3 2 7 2 2" xfId="15382" xr:uid="{A9F7531A-F235-4779-8369-0510B4E6649E}"/>
    <cellStyle name="Normal 9 2 3 2 7 3" xfId="11164" xr:uid="{C9CFC2CC-B23E-47AC-872D-79C80A277CD2}"/>
    <cellStyle name="Normal 9 2 3 2 8" xfId="4888" xr:uid="{00000000-0005-0000-0000-0000331F0000}"/>
    <cellStyle name="Normal 9 2 3 2 8 2" xfId="13317" xr:uid="{0AD90E9D-2F72-4933-969C-4275E58243E6}"/>
    <cellStyle name="Normal 9 2 3 2 9" xfId="9099" xr:uid="{D0539C07-0037-4732-BC2B-3F64656B400F}"/>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2 2" xfId="15877" xr:uid="{8FC2DE4D-4256-4870-962F-AE6DA2A4AE7D}"/>
    <cellStyle name="Normal 9 2 3 3 2 2 3" xfId="11659" xr:uid="{05D740BC-52B4-4F84-A282-8F545E131154}"/>
    <cellStyle name="Normal 9 2 3 3 2 3" xfId="5303" xr:uid="{00000000-0005-0000-0000-0000381F0000}"/>
    <cellStyle name="Normal 9 2 3 3 2 3 2" xfId="13732" xr:uid="{483EE41A-88A3-4FDE-9E9E-4C053DBBE9AC}"/>
    <cellStyle name="Normal 9 2 3 3 2 4" xfId="9514" xr:uid="{0A517244-CE0E-4884-9BFF-E3FCE073FAD9}"/>
    <cellStyle name="Normal 9 2 3 3 3" xfId="1407" xr:uid="{00000000-0005-0000-0000-0000391F0000}"/>
    <cellStyle name="Normal 9 2 3 3 3 2" xfId="3637" xr:uid="{00000000-0005-0000-0000-00003A1F0000}"/>
    <cellStyle name="Normal 9 2 3 3 3 2 2" xfId="7861" xr:uid="{00000000-0005-0000-0000-00003B1F0000}"/>
    <cellStyle name="Normal 9 2 3 3 3 2 2 2" xfId="16290" xr:uid="{FD4975B0-5451-4D77-989F-7F98DF859226}"/>
    <cellStyle name="Normal 9 2 3 3 3 2 3" xfId="12072" xr:uid="{E2C86262-1410-40EF-A984-4F92ABF984D5}"/>
    <cellStyle name="Normal 9 2 3 3 3 3" xfId="5716" xr:uid="{00000000-0005-0000-0000-00003C1F0000}"/>
    <cellStyle name="Normal 9 2 3 3 3 3 2" xfId="14145" xr:uid="{E0FE0755-E0FE-478F-A2DA-BDC2D7F58715}"/>
    <cellStyle name="Normal 9 2 3 3 3 4" xfId="9927" xr:uid="{B2E042FB-60AD-4D5D-8684-061E801D1DE1}"/>
    <cellStyle name="Normal 9 2 3 3 4" xfId="1820" xr:uid="{00000000-0005-0000-0000-00003D1F0000}"/>
    <cellStyle name="Normal 9 2 3 3 4 2" xfId="4050" xr:uid="{00000000-0005-0000-0000-00003E1F0000}"/>
    <cellStyle name="Normal 9 2 3 3 4 2 2" xfId="8274" xr:uid="{00000000-0005-0000-0000-00003F1F0000}"/>
    <cellStyle name="Normal 9 2 3 3 4 2 2 2" xfId="16703" xr:uid="{B11055A8-A6E1-4B06-BC96-63626FFBCE6D}"/>
    <cellStyle name="Normal 9 2 3 3 4 2 3" xfId="12485" xr:uid="{B4148A1F-E708-4E8B-8661-B6DA1A81E799}"/>
    <cellStyle name="Normal 9 2 3 3 4 3" xfId="6129" xr:uid="{00000000-0005-0000-0000-0000401F0000}"/>
    <cellStyle name="Normal 9 2 3 3 4 3 2" xfId="14558" xr:uid="{F708B2F6-D90B-4E97-86E6-6C34759D0B34}"/>
    <cellStyle name="Normal 9 2 3 3 4 4" xfId="10340" xr:uid="{EF9B3397-24DB-4661-810C-11137A4E77A9}"/>
    <cellStyle name="Normal 9 2 3 3 5" xfId="2234" xr:uid="{00000000-0005-0000-0000-0000411F0000}"/>
    <cellStyle name="Normal 9 2 3 3 5 2" xfId="4463" xr:uid="{00000000-0005-0000-0000-0000421F0000}"/>
    <cellStyle name="Normal 9 2 3 3 5 2 2" xfId="8687" xr:uid="{00000000-0005-0000-0000-0000431F0000}"/>
    <cellStyle name="Normal 9 2 3 3 5 2 2 2" xfId="17116" xr:uid="{DECF9EA9-8AB7-42CF-9013-2E0DAACC38B7}"/>
    <cellStyle name="Normal 9 2 3 3 5 2 3" xfId="12898" xr:uid="{819EF41B-3579-4506-B268-3BE6FE473708}"/>
    <cellStyle name="Normal 9 2 3 3 5 3" xfId="6542" xr:uid="{00000000-0005-0000-0000-0000441F0000}"/>
    <cellStyle name="Normal 9 2 3 3 5 3 2" xfId="14971" xr:uid="{51B2C161-3E3B-4268-8D08-5AD238557450}"/>
    <cellStyle name="Normal 9 2 3 3 5 4" xfId="10753" xr:uid="{0498180F-E9A9-46CE-BECA-C739E8766892}"/>
    <cellStyle name="Normal 9 2 3 3 6" xfId="2670" xr:uid="{00000000-0005-0000-0000-0000451F0000}"/>
    <cellStyle name="Normal 9 2 3 3 6 2" xfId="6955" xr:uid="{00000000-0005-0000-0000-0000461F0000}"/>
    <cellStyle name="Normal 9 2 3 3 6 2 2" xfId="15384" xr:uid="{4BAE35DE-3441-4AE3-84E6-8C18751B2D85}"/>
    <cellStyle name="Normal 9 2 3 3 6 3" xfId="11166" xr:uid="{68D7E481-343D-47FD-8962-FE84D9058DB3}"/>
    <cellStyle name="Normal 9 2 3 3 7" xfId="4890" xr:uid="{00000000-0005-0000-0000-0000471F0000}"/>
    <cellStyle name="Normal 9 2 3 3 7 2" xfId="13319" xr:uid="{6D57C4A7-9038-46DF-9A0F-3C5E11D13687}"/>
    <cellStyle name="Normal 9 2 3 3 8" xfId="9101" xr:uid="{6C9FBBDB-A5D1-4771-BD1B-1BE02750F5A6}"/>
    <cellStyle name="Normal 9 2 3 4" xfId="988" xr:uid="{00000000-0005-0000-0000-0000481F0000}"/>
    <cellStyle name="Normal 9 2 3 4 2" xfId="3221" xr:uid="{00000000-0005-0000-0000-0000491F0000}"/>
    <cellStyle name="Normal 9 2 3 4 2 2" xfId="7445" xr:uid="{00000000-0005-0000-0000-00004A1F0000}"/>
    <cellStyle name="Normal 9 2 3 4 2 2 2" xfId="15874" xr:uid="{C1A0051B-4403-41F0-BFA7-147640BD4B3E}"/>
    <cellStyle name="Normal 9 2 3 4 2 3" xfId="11656" xr:uid="{1F770BD1-EF7F-4399-85E8-E4F10FE2ECEC}"/>
    <cellStyle name="Normal 9 2 3 4 3" xfId="5300" xr:uid="{00000000-0005-0000-0000-00004B1F0000}"/>
    <cellStyle name="Normal 9 2 3 4 3 2" xfId="13729" xr:uid="{FDE6F768-1B7E-47A4-B902-8C783C2EAFC8}"/>
    <cellStyle name="Normal 9 2 3 4 4" xfId="9511" xr:uid="{80E47757-F4BF-4D42-9BF2-1470235AA657}"/>
    <cellStyle name="Normal 9 2 3 5" xfId="1404" xr:uid="{00000000-0005-0000-0000-00004C1F0000}"/>
    <cellStyle name="Normal 9 2 3 5 2" xfId="3634" xr:uid="{00000000-0005-0000-0000-00004D1F0000}"/>
    <cellStyle name="Normal 9 2 3 5 2 2" xfId="7858" xr:uid="{00000000-0005-0000-0000-00004E1F0000}"/>
    <cellStyle name="Normal 9 2 3 5 2 2 2" xfId="16287" xr:uid="{D5594EF9-6266-4421-9EF8-2133EDE9C235}"/>
    <cellStyle name="Normal 9 2 3 5 2 3" xfId="12069" xr:uid="{CD39A230-84B0-486D-B7BD-FD2AA2799421}"/>
    <cellStyle name="Normal 9 2 3 5 3" xfId="5713" xr:uid="{00000000-0005-0000-0000-00004F1F0000}"/>
    <cellStyle name="Normal 9 2 3 5 3 2" xfId="14142" xr:uid="{0A54024B-8710-4C59-B262-E90A2BE99FF3}"/>
    <cellStyle name="Normal 9 2 3 5 4" xfId="9924" xr:uid="{11A39C1D-7468-4B40-842E-68C9DF54F2DA}"/>
    <cellStyle name="Normal 9 2 3 6" xfId="1817" xr:uid="{00000000-0005-0000-0000-0000501F0000}"/>
    <cellStyle name="Normal 9 2 3 6 2" xfId="4047" xr:uid="{00000000-0005-0000-0000-0000511F0000}"/>
    <cellStyle name="Normal 9 2 3 6 2 2" xfId="8271" xr:uid="{00000000-0005-0000-0000-0000521F0000}"/>
    <cellStyle name="Normal 9 2 3 6 2 2 2" xfId="16700" xr:uid="{0B9552D5-CB4A-4A8C-8C99-1F79CD765FC7}"/>
    <cellStyle name="Normal 9 2 3 6 2 3" xfId="12482" xr:uid="{E5937869-4B87-41D5-9E9B-3FDB41FA0C7F}"/>
    <cellStyle name="Normal 9 2 3 6 3" xfId="6126" xr:uid="{00000000-0005-0000-0000-0000531F0000}"/>
    <cellStyle name="Normal 9 2 3 6 3 2" xfId="14555" xr:uid="{6D9639DE-8C3E-4954-9A67-EC31921D2FCA}"/>
    <cellStyle name="Normal 9 2 3 6 4" xfId="10337" xr:uid="{B023DDEA-AED0-42F4-9D28-47B0EAED079A}"/>
    <cellStyle name="Normal 9 2 3 7" xfId="2231" xr:uid="{00000000-0005-0000-0000-0000541F0000}"/>
    <cellStyle name="Normal 9 2 3 7 2" xfId="4460" xr:uid="{00000000-0005-0000-0000-0000551F0000}"/>
    <cellStyle name="Normal 9 2 3 7 2 2" xfId="8684" xr:uid="{00000000-0005-0000-0000-0000561F0000}"/>
    <cellStyle name="Normal 9 2 3 7 2 2 2" xfId="17113" xr:uid="{58564C23-BBC5-42C6-B262-DBE1877656B8}"/>
    <cellStyle name="Normal 9 2 3 7 2 3" xfId="12895" xr:uid="{D30EEF67-3CEA-4A8A-85C5-C520E8E05927}"/>
    <cellStyle name="Normal 9 2 3 7 3" xfId="6539" xr:uid="{00000000-0005-0000-0000-0000571F0000}"/>
    <cellStyle name="Normal 9 2 3 7 3 2" xfId="14968" xr:uid="{EDC8BE03-3823-4D6B-8A7C-1B225E74FC10}"/>
    <cellStyle name="Normal 9 2 3 7 4" xfId="10750" xr:uid="{98972B82-EF55-43A2-80E3-668362E8A377}"/>
    <cellStyle name="Normal 9 2 3 8" xfId="2667" xr:uid="{00000000-0005-0000-0000-0000581F0000}"/>
    <cellStyle name="Normal 9 2 3 8 2" xfId="6952" xr:uid="{00000000-0005-0000-0000-0000591F0000}"/>
    <cellStyle name="Normal 9 2 3 8 2 2" xfId="15381" xr:uid="{C9E3C8F6-ECE9-4EAD-8CCC-DA338535D2B9}"/>
    <cellStyle name="Normal 9 2 3 8 3" xfId="11163" xr:uid="{637836A2-B2AE-4F18-B4EC-09CBD638E16A}"/>
    <cellStyle name="Normal 9 2 3 9" xfId="4887" xr:uid="{00000000-0005-0000-0000-00005A1F0000}"/>
    <cellStyle name="Normal 9 2 3 9 2" xfId="13316" xr:uid="{D4E7F814-61FC-4F6B-9EBB-87CC8053B5C4}"/>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2 2" xfId="15879" xr:uid="{6F86913E-A0D5-4318-8AE0-2B82BE771068}"/>
    <cellStyle name="Normal 9 2 4 2 2 2 3" xfId="11661" xr:uid="{D2FB236B-3267-441F-8ACC-B61C7BDF4C54}"/>
    <cellStyle name="Normal 9 2 4 2 2 3" xfId="5305" xr:uid="{00000000-0005-0000-0000-0000601F0000}"/>
    <cellStyle name="Normal 9 2 4 2 2 3 2" xfId="13734" xr:uid="{2A60E91D-850A-4CCA-8685-5D95B953AF27}"/>
    <cellStyle name="Normal 9 2 4 2 2 4" xfId="9516" xr:uid="{5E0E6AC9-F7AB-4A3C-9348-AF33BAAD7AD9}"/>
    <cellStyle name="Normal 9 2 4 2 3" xfId="1409" xr:uid="{00000000-0005-0000-0000-0000611F0000}"/>
    <cellStyle name="Normal 9 2 4 2 3 2" xfId="3639" xr:uid="{00000000-0005-0000-0000-0000621F0000}"/>
    <cellStyle name="Normal 9 2 4 2 3 2 2" xfId="7863" xr:uid="{00000000-0005-0000-0000-0000631F0000}"/>
    <cellStyle name="Normal 9 2 4 2 3 2 2 2" xfId="16292" xr:uid="{7381383A-6634-4F2D-9826-A081CECE3060}"/>
    <cellStyle name="Normal 9 2 4 2 3 2 3" xfId="12074" xr:uid="{FF820DF1-4936-47D0-9181-B34585179E11}"/>
    <cellStyle name="Normal 9 2 4 2 3 3" xfId="5718" xr:uid="{00000000-0005-0000-0000-0000641F0000}"/>
    <cellStyle name="Normal 9 2 4 2 3 3 2" xfId="14147" xr:uid="{A89CF724-9BBF-41C7-87BC-F46D94027CF7}"/>
    <cellStyle name="Normal 9 2 4 2 3 4" xfId="9929" xr:uid="{D6FC0A4C-BA7C-4210-9776-3E240B791B03}"/>
    <cellStyle name="Normal 9 2 4 2 4" xfId="1822" xr:uid="{00000000-0005-0000-0000-0000651F0000}"/>
    <cellStyle name="Normal 9 2 4 2 4 2" xfId="4052" xr:uid="{00000000-0005-0000-0000-0000661F0000}"/>
    <cellStyle name="Normal 9 2 4 2 4 2 2" xfId="8276" xr:uid="{00000000-0005-0000-0000-0000671F0000}"/>
    <cellStyle name="Normal 9 2 4 2 4 2 2 2" xfId="16705" xr:uid="{D0026D36-5C97-4FAA-A10B-132E757C6A81}"/>
    <cellStyle name="Normal 9 2 4 2 4 2 3" xfId="12487" xr:uid="{EE5198B9-0547-45D1-BEF1-A97A7C401A63}"/>
    <cellStyle name="Normal 9 2 4 2 4 3" xfId="6131" xr:uid="{00000000-0005-0000-0000-0000681F0000}"/>
    <cellStyle name="Normal 9 2 4 2 4 3 2" xfId="14560" xr:uid="{9B21DADD-5B5C-4CE2-A038-4113A9B746D4}"/>
    <cellStyle name="Normal 9 2 4 2 4 4" xfId="10342" xr:uid="{E6EFFE0A-5444-4E39-B049-DDD1BD99795F}"/>
    <cellStyle name="Normal 9 2 4 2 5" xfId="2236" xr:uid="{00000000-0005-0000-0000-0000691F0000}"/>
    <cellStyle name="Normal 9 2 4 2 5 2" xfId="4465" xr:uid="{00000000-0005-0000-0000-00006A1F0000}"/>
    <cellStyle name="Normal 9 2 4 2 5 2 2" xfId="8689" xr:uid="{00000000-0005-0000-0000-00006B1F0000}"/>
    <cellStyle name="Normal 9 2 4 2 5 2 2 2" xfId="17118" xr:uid="{37CA97C6-7AAD-4A21-9C1F-E0A3F790C3BB}"/>
    <cellStyle name="Normal 9 2 4 2 5 2 3" xfId="12900" xr:uid="{2EDC12A2-602B-4B1E-AF43-DD5FD7ADD8F4}"/>
    <cellStyle name="Normal 9 2 4 2 5 3" xfId="6544" xr:uid="{00000000-0005-0000-0000-00006C1F0000}"/>
    <cellStyle name="Normal 9 2 4 2 5 3 2" xfId="14973" xr:uid="{0AED44C0-F55C-4CEA-874A-E99648DEB85F}"/>
    <cellStyle name="Normal 9 2 4 2 5 4" xfId="10755" xr:uid="{9B70D417-1FDF-4C0C-B593-BDA4C900E59A}"/>
    <cellStyle name="Normal 9 2 4 2 6" xfId="2672" xr:uid="{00000000-0005-0000-0000-00006D1F0000}"/>
    <cellStyle name="Normal 9 2 4 2 6 2" xfId="6957" xr:uid="{00000000-0005-0000-0000-00006E1F0000}"/>
    <cellStyle name="Normal 9 2 4 2 6 2 2" xfId="15386" xr:uid="{34ED992C-F742-41A6-A90C-7E3F88354617}"/>
    <cellStyle name="Normal 9 2 4 2 6 3" xfId="11168" xr:uid="{B96A805B-3E76-4F75-A782-E208D4E8FAEE}"/>
    <cellStyle name="Normal 9 2 4 2 7" xfId="4892" xr:uid="{00000000-0005-0000-0000-00006F1F0000}"/>
    <cellStyle name="Normal 9 2 4 2 7 2" xfId="13321" xr:uid="{AFEFC231-DB54-475F-9756-7A459CC84C02}"/>
    <cellStyle name="Normal 9 2 4 2 8" xfId="9103" xr:uid="{E3D234B7-DB17-488A-A4A6-5E2A25545AF4}"/>
    <cellStyle name="Normal 9 2 4 3" xfId="992" xr:uid="{00000000-0005-0000-0000-0000701F0000}"/>
    <cellStyle name="Normal 9 2 4 3 2" xfId="3225" xr:uid="{00000000-0005-0000-0000-0000711F0000}"/>
    <cellStyle name="Normal 9 2 4 3 2 2" xfId="7449" xr:uid="{00000000-0005-0000-0000-0000721F0000}"/>
    <cellStyle name="Normal 9 2 4 3 2 2 2" xfId="15878" xr:uid="{28DF05B4-E64F-42A4-B0E1-4C6C0E8CCA58}"/>
    <cellStyle name="Normal 9 2 4 3 2 3" xfId="11660" xr:uid="{4AB5C76E-0B60-443B-8188-E8BA6FA1A9BB}"/>
    <cellStyle name="Normal 9 2 4 3 3" xfId="5304" xr:uid="{00000000-0005-0000-0000-0000731F0000}"/>
    <cellStyle name="Normal 9 2 4 3 3 2" xfId="13733" xr:uid="{5D132FE8-A5A5-4C05-BCB7-4405FBA189EC}"/>
    <cellStyle name="Normal 9 2 4 3 4" xfId="9515" xr:uid="{007C5E9A-A706-4535-887E-1EC5AF8FC27F}"/>
    <cellStyle name="Normal 9 2 4 4" xfId="1408" xr:uid="{00000000-0005-0000-0000-0000741F0000}"/>
    <cellStyle name="Normal 9 2 4 4 2" xfId="3638" xr:uid="{00000000-0005-0000-0000-0000751F0000}"/>
    <cellStyle name="Normal 9 2 4 4 2 2" xfId="7862" xr:uid="{00000000-0005-0000-0000-0000761F0000}"/>
    <cellStyle name="Normal 9 2 4 4 2 2 2" xfId="16291" xr:uid="{7AFDDF5A-36EE-44D5-A6C9-8FA9879AC070}"/>
    <cellStyle name="Normal 9 2 4 4 2 3" xfId="12073" xr:uid="{74D22EBF-AA29-40E8-B8E0-02B19F4EBA03}"/>
    <cellStyle name="Normal 9 2 4 4 3" xfId="5717" xr:uid="{00000000-0005-0000-0000-0000771F0000}"/>
    <cellStyle name="Normal 9 2 4 4 3 2" xfId="14146" xr:uid="{884D1198-F09D-4BD2-BFCF-DFDF7B405308}"/>
    <cellStyle name="Normal 9 2 4 4 4" xfId="9928" xr:uid="{12D175F5-D362-4F82-93F3-B90A8E2053A9}"/>
    <cellStyle name="Normal 9 2 4 5" xfId="1821" xr:uid="{00000000-0005-0000-0000-0000781F0000}"/>
    <cellStyle name="Normal 9 2 4 5 2" xfId="4051" xr:uid="{00000000-0005-0000-0000-0000791F0000}"/>
    <cellStyle name="Normal 9 2 4 5 2 2" xfId="8275" xr:uid="{00000000-0005-0000-0000-00007A1F0000}"/>
    <cellStyle name="Normal 9 2 4 5 2 2 2" xfId="16704" xr:uid="{8772CEAA-69F0-4B09-BBBB-D00505BAFF75}"/>
    <cellStyle name="Normal 9 2 4 5 2 3" xfId="12486" xr:uid="{AD9FC4D5-FE03-41BC-8857-B471BA2D411D}"/>
    <cellStyle name="Normal 9 2 4 5 3" xfId="6130" xr:uid="{00000000-0005-0000-0000-00007B1F0000}"/>
    <cellStyle name="Normal 9 2 4 5 3 2" xfId="14559" xr:uid="{373CA694-E55B-403A-8405-E75B90C8FB2D}"/>
    <cellStyle name="Normal 9 2 4 5 4" xfId="10341" xr:uid="{926CCE50-5B26-4E16-8CB2-951640AD897A}"/>
    <cellStyle name="Normal 9 2 4 6" xfId="2235" xr:uid="{00000000-0005-0000-0000-00007C1F0000}"/>
    <cellStyle name="Normal 9 2 4 6 2" xfId="4464" xr:uid="{00000000-0005-0000-0000-00007D1F0000}"/>
    <cellStyle name="Normal 9 2 4 6 2 2" xfId="8688" xr:uid="{00000000-0005-0000-0000-00007E1F0000}"/>
    <cellStyle name="Normal 9 2 4 6 2 2 2" xfId="17117" xr:uid="{355D369F-EB9A-4621-B046-9F54625D9BCE}"/>
    <cellStyle name="Normal 9 2 4 6 2 3" xfId="12899" xr:uid="{E6E8E5C3-E7C3-4BD2-BB31-774A9631367E}"/>
    <cellStyle name="Normal 9 2 4 6 3" xfId="6543" xr:uid="{00000000-0005-0000-0000-00007F1F0000}"/>
    <cellStyle name="Normal 9 2 4 6 3 2" xfId="14972" xr:uid="{B1483E71-169F-4DD5-9AF3-F4FD5E9425B5}"/>
    <cellStyle name="Normal 9 2 4 6 4" xfId="10754" xr:uid="{1E60D9A0-C210-45F1-A9A4-E25776AA3670}"/>
    <cellStyle name="Normal 9 2 4 7" xfId="2671" xr:uid="{00000000-0005-0000-0000-0000801F0000}"/>
    <cellStyle name="Normal 9 2 4 7 2" xfId="6956" xr:uid="{00000000-0005-0000-0000-0000811F0000}"/>
    <cellStyle name="Normal 9 2 4 7 2 2" xfId="15385" xr:uid="{9E0684E9-B248-429D-9A04-3A1DD57EF1C5}"/>
    <cellStyle name="Normal 9 2 4 7 3" xfId="11167" xr:uid="{41FB851D-D661-4CBD-A17C-49274FA41A1A}"/>
    <cellStyle name="Normal 9 2 4 8" xfId="4891" xr:uid="{00000000-0005-0000-0000-0000821F0000}"/>
    <cellStyle name="Normal 9 2 4 8 2" xfId="13320" xr:uid="{A684D732-66DE-4AC6-89BC-074A54BE2AA2}"/>
    <cellStyle name="Normal 9 2 4 9" xfId="9102" xr:uid="{4B7B1130-871B-464A-8FC4-3C0CA2324269}"/>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2 2" xfId="15880" xr:uid="{47B8D3D5-51D4-46BD-8791-0F51CC1C432C}"/>
    <cellStyle name="Normal 9 2 5 2 2 3" xfId="11662" xr:uid="{03FE7E37-15CA-4207-ACE6-EBF402172364}"/>
    <cellStyle name="Normal 9 2 5 2 3" xfId="5306" xr:uid="{00000000-0005-0000-0000-0000871F0000}"/>
    <cellStyle name="Normal 9 2 5 2 3 2" xfId="13735" xr:uid="{F0828D51-8E2F-4F80-9E3E-C6DC1F5EEB2D}"/>
    <cellStyle name="Normal 9 2 5 2 4" xfId="9517" xr:uid="{83958BD5-F44E-47A3-8D74-81A783C2DF34}"/>
    <cellStyle name="Normal 9 2 5 3" xfId="1410" xr:uid="{00000000-0005-0000-0000-0000881F0000}"/>
    <cellStyle name="Normal 9 2 5 3 2" xfId="3640" xr:uid="{00000000-0005-0000-0000-0000891F0000}"/>
    <cellStyle name="Normal 9 2 5 3 2 2" xfId="7864" xr:uid="{00000000-0005-0000-0000-00008A1F0000}"/>
    <cellStyle name="Normal 9 2 5 3 2 2 2" xfId="16293" xr:uid="{0349FA57-42DA-49E6-87F9-E0E3AAEA2B42}"/>
    <cellStyle name="Normal 9 2 5 3 2 3" xfId="12075" xr:uid="{A935B8DA-FE79-4F51-A978-DFBD90FC333C}"/>
    <cellStyle name="Normal 9 2 5 3 3" xfId="5719" xr:uid="{00000000-0005-0000-0000-00008B1F0000}"/>
    <cellStyle name="Normal 9 2 5 3 3 2" xfId="14148" xr:uid="{591305EE-A86F-452D-A634-DC689230701C}"/>
    <cellStyle name="Normal 9 2 5 3 4" xfId="9930" xr:uid="{DAA47589-6819-45AF-83B4-D3FEAD6F7451}"/>
    <cellStyle name="Normal 9 2 5 4" xfId="1823" xr:uid="{00000000-0005-0000-0000-00008C1F0000}"/>
    <cellStyle name="Normal 9 2 5 4 2" xfId="4053" xr:uid="{00000000-0005-0000-0000-00008D1F0000}"/>
    <cellStyle name="Normal 9 2 5 4 2 2" xfId="8277" xr:uid="{00000000-0005-0000-0000-00008E1F0000}"/>
    <cellStyle name="Normal 9 2 5 4 2 2 2" xfId="16706" xr:uid="{053916F5-153D-498E-99C6-9B76DAD08CC4}"/>
    <cellStyle name="Normal 9 2 5 4 2 3" xfId="12488" xr:uid="{A46CCEC6-2649-4CFE-A2C4-E3253174F634}"/>
    <cellStyle name="Normal 9 2 5 4 3" xfId="6132" xr:uid="{00000000-0005-0000-0000-00008F1F0000}"/>
    <cellStyle name="Normal 9 2 5 4 3 2" xfId="14561" xr:uid="{BCFACAAB-F92D-4740-8973-C9726144A6D0}"/>
    <cellStyle name="Normal 9 2 5 4 4" xfId="10343" xr:uid="{CD69791E-7B57-4272-BC11-B966F76C85E4}"/>
    <cellStyle name="Normal 9 2 5 5" xfId="2237" xr:uid="{00000000-0005-0000-0000-0000901F0000}"/>
    <cellStyle name="Normal 9 2 5 5 2" xfId="4466" xr:uid="{00000000-0005-0000-0000-0000911F0000}"/>
    <cellStyle name="Normal 9 2 5 5 2 2" xfId="8690" xr:uid="{00000000-0005-0000-0000-0000921F0000}"/>
    <cellStyle name="Normal 9 2 5 5 2 2 2" xfId="17119" xr:uid="{0A6516A4-3CCF-4E88-AF4F-22369354C8F8}"/>
    <cellStyle name="Normal 9 2 5 5 2 3" xfId="12901" xr:uid="{7FA4BFF5-43C4-4D00-B1FA-BDC6FD474C08}"/>
    <cellStyle name="Normal 9 2 5 5 3" xfId="6545" xr:uid="{00000000-0005-0000-0000-0000931F0000}"/>
    <cellStyle name="Normal 9 2 5 5 3 2" xfId="14974" xr:uid="{7FFA7C72-F505-409D-97D8-111B39F58B30}"/>
    <cellStyle name="Normal 9 2 5 5 4" xfId="10756" xr:uid="{2A869D32-DCF1-4B62-BFEB-843AAF22D865}"/>
    <cellStyle name="Normal 9 2 5 6" xfId="2673" xr:uid="{00000000-0005-0000-0000-0000941F0000}"/>
    <cellStyle name="Normal 9 2 5 6 2" xfId="6958" xr:uid="{00000000-0005-0000-0000-0000951F0000}"/>
    <cellStyle name="Normal 9 2 5 6 2 2" xfId="15387" xr:uid="{C968A995-1EC2-48E9-AA8E-D6F855B45E35}"/>
    <cellStyle name="Normal 9 2 5 6 3" xfId="11169" xr:uid="{06447142-4442-43CE-B107-A08A5E4AA601}"/>
    <cellStyle name="Normal 9 2 5 7" xfId="4893" xr:uid="{00000000-0005-0000-0000-0000961F0000}"/>
    <cellStyle name="Normal 9 2 5 7 2" xfId="13322" xr:uid="{67FD5AFA-8FDD-43BF-B745-D7DFEA90E13D}"/>
    <cellStyle name="Normal 9 2 5 8" xfId="9104" xr:uid="{8CF82000-4646-46BA-AD48-ED8246DB75C7}"/>
    <cellStyle name="Normal 9 2 6" xfId="979" xr:uid="{00000000-0005-0000-0000-0000971F0000}"/>
    <cellStyle name="Normal 9 2 6 2" xfId="3212" xr:uid="{00000000-0005-0000-0000-0000981F0000}"/>
    <cellStyle name="Normal 9 2 6 2 2" xfId="7436" xr:uid="{00000000-0005-0000-0000-0000991F0000}"/>
    <cellStyle name="Normal 9 2 6 2 2 2" xfId="15865" xr:uid="{7F92D521-7AA2-45FE-BC74-0EE7D05B27D4}"/>
    <cellStyle name="Normal 9 2 6 2 3" xfId="11647" xr:uid="{50010592-BC2C-4729-A156-A891498E77E0}"/>
    <cellStyle name="Normal 9 2 6 3" xfId="5291" xr:uid="{00000000-0005-0000-0000-00009A1F0000}"/>
    <cellStyle name="Normal 9 2 6 3 2" xfId="13720" xr:uid="{7648A095-7328-4170-A056-B024E8AE5559}"/>
    <cellStyle name="Normal 9 2 6 4" xfId="9502" xr:uid="{589B3BB1-D690-4922-ACD6-F30744E34820}"/>
    <cellStyle name="Normal 9 2 7" xfId="1395" xr:uid="{00000000-0005-0000-0000-00009B1F0000}"/>
    <cellStyle name="Normal 9 2 7 2" xfId="3625" xr:uid="{00000000-0005-0000-0000-00009C1F0000}"/>
    <cellStyle name="Normal 9 2 7 2 2" xfId="7849" xr:uid="{00000000-0005-0000-0000-00009D1F0000}"/>
    <cellStyle name="Normal 9 2 7 2 2 2" xfId="16278" xr:uid="{1D099DA1-9A50-4B78-96FD-F4140B02245B}"/>
    <cellStyle name="Normal 9 2 7 2 3" xfId="12060" xr:uid="{2ED56834-7E98-490F-B8BB-67430F99FEE2}"/>
    <cellStyle name="Normal 9 2 7 3" xfId="5704" xr:uid="{00000000-0005-0000-0000-00009E1F0000}"/>
    <cellStyle name="Normal 9 2 7 3 2" xfId="14133" xr:uid="{8D6DB499-7F70-495B-968F-7E7531EC275B}"/>
    <cellStyle name="Normal 9 2 7 4" xfId="9915" xr:uid="{38998735-825E-46A9-9C7F-F3336C5B842B}"/>
    <cellStyle name="Normal 9 2 8" xfId="1808" xr:uid="{00000000-0005-0000-0000-00009F1F0000}"/>
    <cellStyle name="Normal 9 2 8 2" xfId="4038" xr:uid="{00000000-0005-0000-0000-0000A01F0000}"/>
    <cellStyle name="Normal 9 2 8 2 2" xfId="8262" xr:uid="{00000000-0005-0000-0000-0000A11F0000}"/>
    <cellStyle name="Normal 9 2 8 2 2 2" xfId="16691" xr:uid="{8BD6B1DB-35FA-4230-8475-A8B7EABF2681}"/>
    <cellStyle name="Normal 9 2 8 2 3" xfId="12473" xr:uid="{7038759D-F82C-4826-B823-E500D265A106}"/>
    <cellStyle name="Normal 9 2 8 3" xfId="6117" xr:uid="{00000000-0005-0000-0000-0000A21F0000}"/>
    <cellStyle name="Normal 9 2 8 3 2" xfId="14546" xr:uid="{6C27D16C-808C-4AE6-BDA3-E939D36E8639}"/>
    <cellStyle name="Normal 9 2 8 4" xfId="10328" xr:uid="{0F2F8B33-23C7-4773-B321-3EB516B4D95E}"/>
    <cellStyle name="Normal 9 2 9" xfId="2222" xr:uid="{00000000-0005-0000-0000-0000A31F0000}"/>
    <cellStyle name="Normal 9 2 9 2" xfId="4451" xr:uid="{00000000-0005-0000-0000-0000A41F0000}"/>
    <cellStyle name="Normal 9 2 9 2 2" xfId="8675" xr:uid="{00000000-0005-0000-0000-0000A51F0000}"/>
    <cellStyle name="Normal 9 2 9 2 2 2" xfId="17104" xr:uid="{936C4597-7ACA-46C2-BF77-63DAC5582A4A}"/>
    <cellStyle name="Normal 9 2 9 2 3" xfId="12886" xr:uid="{B0199D94-A7BE-444F-8BC1-EBDA96F8446F}"/>
    <cellStyle name="Normal 9 2 9 3" xfId="6530" xr:uid="{00000000-0005-0000-0000-0000A61F0000}"/>
    <cellStyle name="Normal 9 2 9 3 2" xfId="14959" xr:uid="{5BFF8791-A619-48B9-8E05-FBA98DDD7C81}"/>
    <cellStyle name="Normal 9 2 9 4" xfId="10741" xr:uid="{E48FE872-27B1-4CD2-BFB1-EAE80BBC9097}"/>
    <cellStyle name="Normal 9 3" xfId="527" xr:uid="{00000000-0005-0000-0000-0000A71F0000}"/>
    <cellStyle name="Normal 9 3 10" xfId="4894" xr:uid="{00000000-0005-0000-0000-0000A81F0000}"/>
    <cellStyle name="Normal 9 3 10 2" xfId="13323" xr:uid="{A9A2D8C1-6101-45D8-902B-879B10F0D6A0}"/>
    <cellStyle name="Normal 9 3 11" xfId="9105" xr:uid="{60896F2D-C2C5-4BB5-BE67-E8EC1EC5303E}"/>
    <cellStyle name="Normal 9 3 2" xfId="528" xr:uid="{00000000-0005-0000-0000-0000A91F0000}"/>
    <cellStyle name="Normal 9 3 2 10" xfId="9106" xr:uid="{ACC2F07E-230E-4148-8015-E6FD6341FBD2}"/>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2 2" xfId="15884" xr:uid="{9AFE9D8D-DD6B-491E-8C60-39CAF9DF9BCD}"/>
    <cellStyle name="Normal 9 3 2 2 2 2 2 3" xfId="11666" xr:uid="{F89C256D-FAEA-4AE3-8E89-1001D899B308}"/>
    <cellStyle name="Normal 9 3 2 2 2 2 3" xfId="5310" xr:uid="{00000000-0005-0000-0000-0000AF1F0000}"/>
    <cellStyle name="Normal 9 3 2 2 2 2 3 2" xfId="13739" xr:uid="{868A352F-0624-4983-85AA-25A7A7A34B12}"/>
    <cellStyle name="Normal 9 3 2 2 2 2 4" xfId="9521" xr:uid="{483008F3-C912-472D-8ABD-68A97AD2D709}"/>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2 2" xfId="16297" xr:uid="{0320623A-498F-440F-B4DB-932BD2174561}"/>
    <cellStyle name="Normal 9 3 2 2 2 3 2 3" xfId="12079" xr:uid="{433D60F6-5805-444E-A1E2-CF34E7BDD0B6}"/>
    <cellStyle name="Normal 9 3 2 2 2 3 3" xfId="5723" xr:uid="{00000000-0005-0000-0000-0000B31F0000}"/>
    <cellStyle name="Normal 9 3 2 2 2 3 3 2" xfId="14152" xr:uid="{321DAFD6-DAD0-47D0-8211-F4943A117EFD}"/>
    <cellStyle name="Normal 9 3 2 2 2 3 4" xfId="9934" xr:uid="{0A3581F3-E920-43E1-BA94-85DBB2A70EE4}"/>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2 2" xfId="16710" xr:uid="{A4DFEB37-5D8C-4870-A9E3-5955E569A340}"/>
    <cellStyle name="Normal 9 3 2 2 2 4 2 3" xfId="12492" xr:uid="{39DEB154-5830-4DAD-943F-22CD86D47BFE}"/>
    <cellStyle name="Normal 9 3 2 2 2 4 3" xfId="6136" xr:uid="{00000000-0005-0000-0000-0000B71F0000}"/>
    <cellStyle name="Normal 9 3 2 2 2 4 3 2" xfId="14565" xr:uid="{A76F1A99-EAA2-43DC-BAD5-70269CD9AF59}"/>
    <cellStyle name="Normal 9 3 2 2 2 4 4" xfId="10347" xr:uid="{E2CCD280-B8DD-4689-AAE8-0A57A72100A9}"/>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2 2" xfId="17123" xr:uid="{09379770-C192-4FE6-BA2F-8B29A7145633}"/>
    <cellStyle name="Normal 9 3 2 2 2 5 2 3" xfId="12905" xr:uid="{4D3E9057-2AD9-4623-B11E-199AAAA8B89C}"/>
    <cellStyle name="Normal 9 3 2 2 2 5 3" xfId="6549" xr:uid="{00000000-0005-0000-0000-0000BB1F0000}"/>
    <cellStyle name="Normal 9 3 2 2 2 5 3 2" xfId="14978" xr:uid="{8B7355D8-2536-4ABF-AFF5-3D75D837D534}"/>
    <cellStyle name="Normal 9 3 2 2 2 5 4" xfId="10760" xr:uid="{2B38F157-F78C-48E1-9313-8A3A4B8E254C}"/>
    <cellStyle name="Normal 9 3 2 2 2 6" xfId="2677" xr:uid="{00000000-0005-0000-0000-0000BC1F0000}"/>
    <cellStyle name="Normal 9 3 2 2 2 6 2" xfId="6962" xr:uid="{00000000-0005-0000-0000-0000BD1F0000}"/>
    <cellStyle name="Normal 9 3 2 2 2 6 2 2" xfId="15391" xr:uid="{7D4E0A68-4536-43A1-B8E7-F5EB060EC32C}"/>
    <cellStyle name="Normal 9 3 2 2 2 6 3" xfId="11173" xr:uid="{5F818643-80B9-4EF3-9843-A9FB8E72D8FA}"/>
    <cellStyle name="Normal 9 3 2 2 2 7" xfId="4897" xr:uid="{00000000-0005-0000-0000-0000BE1F0000}"/>
    <cellStyle name="Normal 9 3 2 2 2 7 2" xfId="13326" xr:uid="{079D5373-2492-490C-92EA-2FC15CABB192}"/>
    <cellStyle name="Normal 9 3 2 2 2 8" xfId="9108" xr:uid="{D8FD657A-B6E6-456D-86F0-EBD9FB00271C}"/>
    <cellStyle name="Normal 9 3 2 2 3" xfId="997" xr:uid="{00000000-0005-0000-0000-0000BF1F0000}"/>
    <cellStyle name="Normal 9 3 2 2 3 2" xfId="3230" xr:uid="{00000000-0005-0000-0000-0000C01F0000}"/>
    <cellStyle name="Normal 9 3 2 2 3 2 2" xfId="7454" xr:uid="{00000000-0005-0000-0000-0000C11F0000}"/>
    <cellStyle name="Normal 9 3 2 2 3 2 2 2" xfId="15883" xr:uid="{C16C26A8-72B6-495D-B50E-7211523CCAE8}"/>
    <cellStyle name="Normal 9 3 2 2 3 2 3" xfId="11665" xr:uid="{D8CE3208-4CE1-4732-96DA-116C03C20548}"/>
    <cellStyle name="Normal 9 3 2 2 3 3" xfId="5309" xr:uid="{00000000-0005-0000-0000-0000C21F0000}"/>
    <cellStyle name="Normal 9 3 2 2 3 3 2" xfId="13738" xr:uid="{8DCF0014-137E-4450-915E-9940CAD656C4}"/>
    <cellStyle name="Normal 9 3 2 2 3 4" xfId="9520" xr:uid="{6A52DD9A-66CD-4A0F-8A91-AE6DC7A61628}"/>
    <cellStyle name="Normal 9 3 2 2 4" xfId="1413" xr:uid="{00000000-0005-0000-0000-0000C31F0000}"/>
    <cellStyle name="Normal 9 3 2 2 4 2" xfId="3643" xr:uid="{00000000-0005-0000-0000-0000C41F0000}"/>
    <cellStyle name="Normal 9 3 2 2 4 2 2" xfId="7867" xr:uid="{00000000-0005-0000-0000-0000C51F0000}"/>
    <cellStyle name="Normal 9 3 2 2 4 2 2 2" xfId="16296" xr:uid="{C4FD841E-ABF7-4632-A0E3-9006CF337A12}"/>
    <cellStyle name="Normal 9 3 2 2 4 2 3" xfId="12078" xr:uid="{DB3F9FD7-8FCB-4EDD-A108-DFB4FF77CF90}"/>
    <cellStyle name="Normal 9 3 2 2 4 3" xfId="5722" xr:uid="{00000000-0005-0000-0000-0000C61F0000}"/>
    <cellStyle name="Normal 9 3 2 2 4 3 2" xfId="14151" xr:uid="{5AECB804-0E8D-4BE9-B897-D31800BF018F}"/>
    <cellStyle name="Normal 9 3 2 2 4 4" xfId="9933" xr:uid="{0CC827A2-FB67-47B5-B8A3-FFBF27314971}"/>
    <cellStyle name="Normal 9 3 2 2 5" xfId="1826" xr:uid="{00000000-0005-0000-0000-0000C71F0000}"/>
    <cellStyle name="Normal 9 3 2 2 5 2" xfId="4056" xr:uid="{00000000-0005-0000-0000-0000C81F0000}"/>
    <cellStyle name="Normal 9 3 2 2 5 2 2" xfId="8280" xr:uid="{00000000-0005-0000-0000-0000C91F0000}"/>
    <cellStyle name="Normal 9 3 2 2 5 2 2 2" xfId="16709" xr:uid="{DA92A324-4485-4151-A634-553EA2D1A610}"/>
    <cellStyle name="Normal 9 3 2 2 5 2 3" xfId="12491" xr:uid="{32386B87-CAF7-49EC-B3A2-AB54DCFCD867}"/>
    <cellStyle name="Normal 9 3 2 2 5 3" xfId="6135" xr:uid="{00000000-0005-0000-0000-0000CA1F0000}"/>
    <cellStyle name="Normal 9 3 2 2 5 3 2" xfId="14564" xr:uid="{E470E8D4-97F8-4CE6-A3C7-6A3B88565D0F}"/>
    <cellStyle name="Normal 9 3 2 2 5 4" xfId="10346" xr:uid="{2745BC11-BE4D-4DF5-BBC1-6C9A2AB4AA45}"/>
    <cellStyle name="Normal 9 3 2 2 6" xfId="2240" xr:uid="{00000000-0005-0000-0000-0000CB1F0000}"/>
    <cellStyle name="Normal 9 3 2 2 6 2" xfId="4469" xr:uid="{00000000-0005-0000-0000-0000CC1F0000}"/>
    <cellStyle name="Normal 9 3 2 2 6 2 2" xfId="8693" xr:uid="{00000000-0005-0000-0000-0000CD1F0000}"/>
    <cellStyle name="Normal 9 3 2 2 6 2 2 2" xfId="17122" xr:uid="{4A9E0B90-F291-41F7-88B9-E157676A1234}"/>
    <cellStyle name="Normal 9 3 2 2 6 2 3" xfId="12904" xr:uid="{23EA2388-2F22-4F00-9038-EB74B1FA1D4C}"/>
    <cellStyle name="Normal 9 3 2 2 6 3" xfId="6548" xr:uid="{00000000-0005-0000-0000-0000CE1F0000}"/>
    <cellStyle name="Normal 9 3 2 2 6 3 2" xfId="14977" xr:uid="{1B1A36E1-1111-4F64-91A0-26301285A4F5}"/>
    <cellStyle name="Normal 9 3 2 2 6 4" xfId="10759" xr:uid="{C143B38A-6CD6-4A54-86B2-DCDDB0D6443D}"/>
    <cellStyle name="Normal 9 3 2 2 7" xfId="2676" xr:uid="{00000000-0005-0000-0000-0000CF1F0000}"/>
    <cellStyle name="Normal 9 3 2 2 7 2" xfId="6961" xr:uid="{00000000-0005-0000-0000-0000D01F0000}"/>
    <cellStyle name="Normal 9 3 2 2 7 2 2" xfId="15390" xr:uid="{9B0F1829-54CB-4ABD-B15A-114044C5FD81}"/>
    <cellStyle name="Normal 9 3 2 2 7 3" xfId="11172" xr:uid="{2C50D6A2-D9D7-4090-B9DA-C5C66B196247}"/>
    <cellStyle name="Normal 9 3 2 2 8" xfId="4896" xr:uid="{00000000-0005-0000-0000-0000D11F0000}"/>
    <cellStyle name="Normal 9 3 2 2 8 2" xfId="13325" xr:uid="{5246FC4E-F7BC-4000-8173-C0395F814FF9}"/>
    <cellStyle name="Normal 9 3 2 2 9" xfId="9107" xr:uid="{A12A323D-4309-469D-9E02-C9FA66707D32}"/>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2 2" xfId="15885" xr:uid="{33EB63D3-D94F-4044-91BF-8A2C1E6DD64A}"/>
    <cellStyle name="Normal 9 3 2 3 2 2 3" xfId="11667" xr:uid="{64849EDB-EF1F-4F67-8EEF-279B86FF9A95}"/>
    <cellStyle name="Normal 9 3 2 3 2 3" xfId="5311" xr:uid="{00000000-0005-0000-0000-0000D61F0000}"/>
    <cellStyle name="Normal 9 3 2 3 2 3 2" xfId="13740" xr:uid="{AE5C15CA-3ABF-4382-8B91-4FC7FBB843EB}"/>
    <cellStyle name="Normal 9 3 2 3 2 4" xfId="9522" xr:uid="{D09955A5-047A-4794-AB22-718D874346E8}"/>
    <cellStyle name="Normal 9 3 2 3 3" xfId="1415" xr:uid="{00000000-0005-0000-0000-0000D71F0000}"/>
    <cellStyle name="Normal 9 3 2 3 3 2" xfId="3645" xr:uid="{00000000-0005-0000-0000-0000D81F0000}"/>
    <cellStyle name="Normal 9 3 2 3 3 2 2" xfId="7869" xr:uid="{00000000-0005-0000-0000-0000D91F0000}"/>
    <cellStyle name="Normal 9 3 2 3 3 2 2 2" xfId="16298" xr:uid="{29B99F3D-AD24-4D71-83C9-6B49CF1D4E18}"/>
    <cellStyle name="Normal 9 3 2 3 3 2 3" xfId="12080" xr:uid="{647F6E91-A10A-4070-9676-B44B2D80C259}"/>
    <cellStyle name="Normal 9 3 2 3 3 3" xfId="5724" xr:uid="{00000000-0005-0000-0000-0000DA1F0000}"/>
    <cellStyle name="Normal 9 3 2 3 3 3 2" xfId="14153" xr:uid="{EC905827-3CCF-4126-8026-31AE2AB29A44}"/>
    <cellStyle name="Normal 9 3 2 3 3 4" xfId="9935" xr:uid="{D73EEEC7-BADB-40F6-8F5C-088F780DDD2E}"/>
    <cellStyle name="Normal 9 3 2 3 4" xfId="1828" xr:uid="{00000000-0005-0000-0000-0000DB1F0000}"/>
    <cellStyle name="Normal 9 3 2 3 4 2" xfId="4058" xr:uid="{00000000-0005-0000-0000-0000DC1F0000}"/>
    <cellStyle name="Normal 9 3 2 3 4 2 2" xfId="8282" xr:uid="{00000000-0005-0000-0000-0000DD1F0000}"/>
    <cellStyle name="Normal 9 3 2 3 4 2 2 2" xfId="16711" xr:uid="{E9AFF6C6-79C7-4B33-8531-1890F93BEA6F}"/>
    <cellStyle name="Normal 9 3 2 3 4 2 3" xfId="12493" xr:uid="{19F22D79-8C7A-4944-B687-05C67B91F52A}"/>
    <cellStyle name="Normal 9 3 2 3 4 3" xfId="6137" xr:uid="{00000000-0005-0000-0000-0000DE1F0000}"/>
    <cellStyle name="Normal 9 3 2 3 4 3 2" xfId="14566" xr:uid="{5A45DEF8-1095-4062-8068-3E9D7967D465}"/>
    <cellStyle name="Normal 9 3 2 3 4 4" xfId="10348" xr:uid="{4933C25C-9705-4B95-A9C9-5584DB6F5540}"/>
    <cellStyle name="Normal 9 3 2 3 5" xfId="2242" xr:uid="{00000000-0005-0000-0000-0000DF1F0000}"/>
    <cellStyle name="Normal 9 3 2 3 5 2" xfId="4471" xr:uid="{00000000-0005-0000-0000-0000E01F0000}"/>
    <cellStyle name="Normal 9 3 2 3 5 2 2" xfId="8695" xr:uid="{00000000-0005-0000-0000-0000E11F0000}"/>
    <cellStyle name="Normal 9 3 2 3 5 2 2 2" xfId="17124" xr:uid="{66B78BA0-6B21-4E3C-80CD-C40854309382}"/>
    <cellStyle name="Normal 9 3 2 3 5 2 3" xfId="12906" xr:uid="{6225B85B-C220-4B4E-8CA5-191E2B43E54A}"/>
    <cellStyle name="Normal 9 3 2 3 5 3" xfId="6550" xr:uid="{00000000-0005-0000-0000-0000E21F0000}"/>
    <cellStyle name="Normal 9 3 2 3 5 3 2" xfId="14979" xr:uid="{8CCD6E65-83D3-402C-8B17-95043BE62D7D}"/>
    <cellStyle name="Normal 9 3 2 3 5 4" xfId="10761" xr:uid="{AFA34BC2-50FB-424B-B094-942DEEBD188C}"/>
    <cellStyle name="Normal 9 3 2 3 6" xfId="2678" xr:uid="{00000000-0005-0000-0000-0000E31F0000}"/>
    <cellStyle name="Normal 9 3 2 3 6 2" xfId="6963" xr:uid="{00000000-0005-0000-0000-0000E41F0000}"/>
    <cellStyle name="Normal 9 3 2 3 6 2 2" xfId="15392" xr:uid="{EAB2A4CF-4CC3-499D-8803-235C8762391C}"/>
    <cellStyle name="Normal 9 3 2 3 6 3" xfId="11174" xr:uid="{C4555CA9-354C-440E-8697-964B767C51F7}"/>
    <cellStyle name="Normal 9 3 2 3 7" xfId="4898" xr:uid="{00000000-0005-0000-0000-0000E51F0000}"/>
    <cellStyle name="Normal 9 3 2 3 7 2" xfId="13327" xr:uid="{D44FDE6E-3F8C-4C5C-8894-92826A583093}"/>
    <cellStyle name="Normal 9 3 2 3 8" xfId="9109" xr:uid="{08BB0482-5CDC-4AD2-9F80-314B982533B3}"/>
    <cellStyle name="Normal 9 3 2 4" xfId="996" xr:uid="{00000000-0005-0000-0000-0000E61F0000}"/>
    <cellStyle name="Normal 9 3 2 4 2" xfId="3229" xr:uid="{00000000-0005-0000-0000-0000E71F0000}"/>
    <cellStyle name="Normal 9 3 2 4 2 2" xfId="7453" xr:uid="{00000000-0005-0000-0000-0000E81F0000}"/>
    <cellStyle name="Normal 9 3 2 4 2 2 2" xfId="15882" xr:uid="{476F97CC-8095-4733-90FF-A14DC49AD34E}"/>
    <cellStyle name="Normal 9 3 2 4 2 3" xfId="11664" xr:uid="{94DAF985-981E-45DE-B378-65E34C783E9D}"/>
    <cellStyle name="Normal 9 3 2 4 3" xfId="5308" xr:uid="{00000000-0005-0000-0000-0000E91F0000}"/>
    <cellStyle name="Normal 9 3 2 4 3 2" xfId="13737" xr:uid="{17A69D97-1F3C-425B-89A8-51383721F9DC}"/>
    <cellStyle name="Normal 9 3 2 4 4" xfId="9519" xr:uid="{591BB231-868D-453A-BC9C-3B1A1D58ED3B}"/>
    <cellStyle name="Normal 9 3 2 5" xfId="1412" xr:uid="{00000000-0005-0000-0000-0000EA1F0000}"/>
    <cellStyle name="Normal 9 3 2 5 2" xfId="3642" xr:uid="{00000000-0005-0000-0000-0000EB1F0000}"/>
    <cellStyle name="Normal 9 3 2 5 2 2" xfId="7866" xr:uid="{00000000-0005-0000-0000-0000EC1F0000}"/>
    <cellStyle name="Normal 9 3 2 5 2 2 2" xfId="16295" xr:uid="{DD029364-BD95-432D-954B-6D1B0C0C08C1}"/>
    <cellStyle name="Normal 9 3 2 5 2 3" xfId="12077" xr:uid="{6EF732A2-DD84-428A-B42C-89DFE77D4C30}"/>
    <cellStyle name="Normal 9 3 2 5 3" xfId="5721" xr:uid="{00000000-0005-0000-0000-0000ED1F0000}"/>
    <cellStyle name="Normal 9 3 2 5 3 2" xfId="14150" xr:uid="{15E0C5B7-D59C-45F1-A10A-59ECEABCE6DC}"/>
    <cellStyle name="Normal 9 3 2 5 4" xfId="9932" xr:uid="{615DB312-0797-4A22-A594-BF3F69195339}"/>
    <cellStyle name="Normal 9 3 2 6" xfId="1825" xr:uid="{00000000-0005-0000-0000-0000EE1F0000}"/>
    <cellStyle name="Normal 9 3 2 6 2" xfId="4055" xr:uid="{00000000-0005-0000-0000-0000EF1F0000}"/>
    <cellStyle name="Normal 9 3 2 6 2 2" xfId="8279" xr:uid="{00000000-0005-0000-0000-0000F01F0000}"/>
    <cellStyle name="Normal 9 3 2 6 2 2 2" xfId="16708" xr:uid="{4693B1FC-A4D0-45D2-AA84-8C5DC6566984}"/>
    <cellStyle name="Normal 9 3 2 6 2 3" xfId="12490" xr:uid="{EAAB8CE0-7F42-49CF-87C4-89C0E0D5608E}"/>
    <cellStyle name="Normal 9 3 2 6 3" xfId="6134" xr:uid="{00000000-0005-0000-0000-0000F11F0000}"/>
    <cellStyle name="Normal 9 3 2 6 3 2" xfId="14563" xr:uid="{D5DF16BD-6A02-4CF6-A07F-328A6E143134}"/>
    <cellStyle name="Normal 9 3 2 6 4" xfId="10345" xr:uid="{6483BE92-B68E-4BF5-8684-4B432EB26EBC}"/>
    <cellStyle name="Normal 9 3 2 7" xfId="2239" xr:uid="{00000000-0005-0000-0000-0000F21F0000}"/>
    <cellStyle name="Normal 9 3 2 7 2" xfId="4468" xr:uid="{00000000-0005-0000-0000-0000F31F0000}"/>
    <cellStyle name="Normal 9 3 2 7 2 2" xfId="8692" xr:uid="{00000000-0005-0000-0000-0000F41F0000}"/>
    <cellStyle name="Normal 9 3 2 7 2 2 2" xfId="17121" xr:uid="{846F0238-711B-4EAC-84E9-E95F9C3DD563}"/>
    <cellStyle name="Normal 9 3 2 7 2 3" xfId="12903" xr:uid="{AC987948-867B-4CB9-8420-998B71960218}"/>
    <cellStyle name="Normal 9 3 2 7 3" xfId="6547" xr:uid="{00000000-0005-0000-0000-0000F51F0000}"/>
    <cellStyle name="Normal 9 3 2 7 3 2" xfId="14976" xr:uid="{E73115BF-17EF-4AA9-A454-B47C1442E38B}"/>
    <cellStyle name="Normal 9 3 2 7 4" xfId="10758" xr:uid="{32ED79F0-1FF0-4A30-A73E-68F1AE7EB8A2}"/>
    <cellStyle name="Normal 9 3 2 8" xfId="2675" xr:uid="{00000000-0005-0000-0000-0000F61F0000}"/>
    <cellStyle name="Normal 9 3 2 8 2" xfId="6960" xr:uid="{00000000-0005-0000-0000-0000F71F0000}"/>
    <cellStyle name="Normal 9 3 2 8 2 2" xfId="15389" xr:uid="{91D9AA99-5781-4775-A65B-E705B893C434}"/>
    <cellStyle name="Normal 9 3 2 8 3" xfId="11171" xr:uid="{65B735CF-04A4-4EBD-B51D-88FAFA0D1A4F}"/>
    <cellStyle name="Normal 9 3 2 9" xfId="4895" xr:uid="{00000000-0005-0000-0000-0000F81F0000}"/>
    <cellStyle name="Normal 9 3 2 9 2" xfId="13324" xr:uid="{28BA5E20-C0A5-40B8-9687-7C36EC8C2976}"/>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2 2" xfId="15887" xr:uid="{82E88D87-EE13-490C-A910-2B4E55F0C742}"/>
    <cellStyle name="Normal 9 3 3 2 2 2 3" xfId="11669" xr:uid="{FE6ED634-9C93-462F-B52B-AA7848D2DA66}"/>
    <cellStyle name="Normal 9 3 3 2 2 3" xfId="5313" xr:uid="{00000000-0005-0000-0000-0000FE1F0000}"/>
    <cellStyle name="Normal 9 3 3 2 2 3 2" xfId="13742" xr:uid="{46A48962-196E-4DDC-96B5-CD8CD451DA45}"/>
    <cellStyle name="Normal 9 3 3 2 2 4" xfId="9524" xr:uid="{A450372C-A427-47A6-9E79-11DC79F47F73}"/>
    <cellStyle name="Normal 9 3 3 2 3" xfId="1417" xr:uid="{00000000-0005-0000-0000-0000FF1F0000}"/>
    <cellStyle name="Normal 9 3 3 2 3 2" xfId="3647" xr:uid="{00000000-0005-0000-0000-000000200000}"/>
    <cellStyle name="Normal 9 3 3 2 3 2 2" xfId="7871" xr:uid="{00000000-0005-0000-0000-000001200000}"/>
    <cellStyle name="Normal 9 3 3 2 3 2 2 2" xfId="16300" xr:uid="{71D2B653-93A1-4E1F-A58D-BCA98E8CE883}"/>
    <cellStyle name="Normal 9 3 3 2 3 2 3" xfId="12082" xr:uid="{4043F79F-3901-438D-92BC-C45BEA8EDB89}"/>
    <cellStyle name="Normal 9 3 3 2 3 3" xfId="5726" xr:uid="{00000000-0005-0000-0000-000002200000}"/>
    <cellStyle name="Normal 9 3 3 2 3 3 2" xfId="14155" xr:uid="{713C7AD3-A1CA-479A-BC31-882FE97609AB}"/>
    <cellStyle name="Normal 9 3 3 2 3 4" xfId="9937" xr:uid="{3CFC3449-51D4-480F-8EE6-D1905A6C6D9A}"/>
    <cellStyle name="Normal 9 3 3 2 4" xfId="1830" xr:uid="{00000000-0005-0000-0000-000003200000}"/>
    <cellStyle name="Normal 9 3 3 2 4 2" xfId="4060" xr:uid="{00000000-0005-0000-0000-000004200000}"/>
    <cellStyle name="Normal 9 3 3 2 4 2 2" xfId="8284" xr:uid="{00000000-0005-0000-0000-000005200000}"/>
    <cellStyle name="Normal 9 3 3 2 4 2 2 2" xfId="16713" xr:uid="{F9D16029-DBC5-4DFD-A352-AB825E0B0E70}"/>
    <cellStyle name="Normal 9 3 3 2 4 2 3" xfId="12495" xr:uid="{53F80981-0203-414E-BF30-C32AF6FB3F51}"/>
    <cellStyle name="Normal 9 3 3 2 4 3" xfId="6139" xr:uid="{00000000-0005-0000-0000-000006200000}"/>
    <cellStyle name="Normal 9 3 3 2 4 3 2" xfId="14568" xr:uid="{ADA3CE55-30C5-47C0-9E34-D286A981576B}"/>
    <cellStyle name="Normal 9 3 3 2 4 4" xfId="10350" xr:uid="{476D396D-F67F-4C47-B4AA-3F34143F9F8A}"/>
    <cellStyle name="Normal 9 3 3 2 5" xfId="2244" xr:uid="{00000000-0005-0000-0000-000007200000}"/>
    <cellStyle name="Normal 9 3 3 2 5 2" xfId="4473" xr:uid="{00000000-0005-0000-0000-000008200000}"/>
    <cellStyle name="Normal 9 3 3 2 5 2 2" xfId="8697" xr:uid="{00000000-0005-0000-0000-000009200000}"/>
    <cellStyle name="Normal 9 3 3 2 5 2 2 2" xfId="17126" xr:uid="{8070F657-29EB-4470-872F-FEDF20C567F5}"/>
    <cellStyle name="Normal 9 3 3 2 5 2 3" xfId="12908" xr:uid="{2F566008-4AE6-44D4-9630-E30D7B024E99}"/>
    <cellStyle name="Normal 9 3 3 2 5 3" xfId="6552" xr:uid="{00000000-0005-0000-0000-00000A200000}"/>
    <cellStyle name="Normal 9 3 3 2 5 3 2" xfId="14981" xr:uid="{CDA4DB6D-32BA-4349-9AD2-86C4C65A0B87}"/>
    <cellStyle name="Normal 9 3 3 2 5 4" xfId="10763" xr:uid="{04A7D3DE-4575-4761-BDDD-FC2AA5395679}"/>
    <cellStyle name="Normal 9 3 3 2 6" xfId="2680" xr:uid="{00000000-0005-0000-0000-00000B200000}"/>
    <cellStyle name="Normal 9 3 3 2 6 2" xfId="6965" xr:uid="{00000000-0005-0000-0000-00000C200000}"/>
    <cellStyle name="Normal 9 3 3 2 6 2 2" xfId="15394" xr:uid="{9EFCDF89-6835-4450-BA0B-8DEE2B625DE3}"/>
    <cellStyle name="Normal 9 3 3 2 6 3" xfId="11176" xr:uid="{859B7DEB-648A-4FBA-84F6-1680C8E11558}"/>
    <cellStyle name="Normal 9 3 3 2 7" xfId="4900" xr:uid="{00000000-0005-0000-0000-00000D200000}"/>
    <cellStyle name="Normal 9 3 3 2 7 2" xfId="13329" xr:uid="{08F9FB64-230C-4B7D-AC7A-06C99987D91B}"/>
    <cellStyle name="Normal 9 3 3 2 8" xfId="9111" xr:uid="{AAA13146-98B4-4669-9840-AD869B1E96AC}"/>
    <cellStyle name="Normal 9 3 3 3" xfId="1000" xr:uid="{00000000-0005-0000-0000-00000E200000}"/>
    <cellStyle name="Normal 9 3 3 3 2" xfId="3233" xr:uid="{00000000-0005-0000-0000-00000F200000}"/>
    <cellStyle name="Normal 9 3 3 3 2 2" xfId="7457" xr:uid="{00000000-0005-0000-0000-000010200000}"/>
    <cellStyle name="Normal 9 3 3 3 2 2 2" xfId="15886" xr:uid="{48C7B41D-D11C-46D7-9068-DFC04DE349B7}"/>
    <cellStyle name="Normal 9 3 3 3 2 3" xfId="11668" xr:uid="{2244AFAD-6681-4873-A214-0702BDD1D6A6}"/>
    <cellStyle name="Normal 9 3 3 3 3" xfId="5312" xr:uid="{00000000-0005-0000-0000-000011200000}"/>
    <cellStyle name="Normal 9 3 3 3 3 2" xfId="13741" xr:uid="{76B0650B-141C-4ABD-850A-1ECE120EF227}"/>
    <cellStyle name="Normal 9 3 3 3 4" xfId="9523" xr:uid="{A1A2FB49-465F-49B3-B74B-6FC2BFA2A658}"/>
    <cellStyle name="Normal 9 3 3 4" xfId="1416" xr:uid="{00000000-0005-0000-0000-000012200000}"/>
    <cellStyle name="Normal 9 3 3 4 2" xfId="3646" xr:uid="{00000000-0005-0000-0000-000013200000}"/>
    <cellStyle name="Normal 9 3 3 4 2 2" xfId="7870" xr:uid="{00000000-0005-0000-0000-000014200000}"/>
    <cellStyle name="Normal 9 3 3 4 2 2 2" xfId="16299" xr:uid="{24560207-C2A4-4849-9075-E91B83D3B2BC}"/>
    <cellStyle name="Normal 9 3 3 4 2 3" xfId="12081" xr:uid="{48F59E25-084C-41D7-AF8E-6FF4ADAE5D83}"/>
    <cellStyle name="Normal 9 3 3 4 3" xfId="5725" xr:uid="{00000000-0005-0000-0000-000015200000}"/>
    <cellStyle name="Normal 9 3 3 4 3 2" xfId="14154" xr:uid="{3B982CB5-5E23-48EE-8CB4-D9595C434496}"/>
    <cellStyle name="Normal 9 3 3 4 4" xfId="9936" xr:uid="{B142EB69-5F73-460B-9024-7E5F23AECE66}"/>
    <cellStyle name="Normal 9 3 3 5" xfId="1829" xr:uid="{00000000-0005-0000-0000-000016200000}"/>
    <cellStyle name="Normal 9 3 3 5 2" xfId="4059" xr:uid="{00000000-0005-0000-0000-000017200000}"/>
    <cellStyle name="Normal 9 3 3 5 2 2" xfId="8283" xr:uid="{00000000-0005-0000-0000-000018200000}"/>
    <cellStyle name="Normal 9 3 3 5 2 2 2" xfId="16712" xr:uid="{2EB9986A-7405-47A4-ACAB-4D9ABE044199}"/>
    <cellStyle name="Normal 9 3 3 5 2 3" xfId="12494" xr:uid="{42BFE03D-7740-49EE-A4CC-704682AB2DDD}"/>
    <cellStyle name="Normal 9 3 3 5 3" xfId="6138" xr:uid="{00000000-0005-0000-0000-000019200000}"/>
    <cellStyle name="Normal 9 3 3 5 3 2" xfId="14567" xr:uid="{F065F8A2-9F03-42F2-8822-CD5FFCA018DC}"/>
    <cellStyle name="Normal 9 3 3 5 4" xfId="10349" xr:uid="{818B07C7-B5CC-455B-8F9B-81548FE0D9BD}"/>
    <cellStyle name="Normal 9 3 3 6" xfId="2243" xr:uid="{00000000-0005-0000-0000-00001A200000}"/>
    <cellStyle name="Normal 9 3 3 6 2" xfId="4472" xr:uid="{00000000-0005-0000-0000-00001B200000}"/>
    <cellStyle name="Normal 9 3 3 6 2 2" xfId="8696" xr:uid="{00000000-0005-0000-0000-00001C200000}"/>
    <cellStyle name="Normal 9 3 3 6 2 2 2" xfId="17125" xr:uid="{3C08213B-A9E9-4E73-B7B4-CAED79CDF6E3}"/>
    <cellStyle name="Normal 9 3 3 6 2 3" xfId="12907" xr:uid="{BC541DE3-FD30-4EF7-B501-2043CB8B3464}"/>
    <cellStyle name="Normal 9 3 3 6 3" xfId="6551" xr:uid="{00000000-0005-0000-0000-00001D200000}"/>
    <cellStyle name="Normal 9 3 3 6 3 2" xfId="14980" xr:uid="{6945CD4B-7ADC-43E5-BBCD-20A12100D629}"/>
    <cellStyle name="Normal 9 3 3 6 4" xfId="10762" xr:uid="{D6DF07DD-57B8-4BB3-8EE0-7D89653FF540}"/>
    <cellStyle name="Normal 9 3 3 7" xfId="2679" xr:uid="{00000000-0005-0000-0000-00001E200000}"/>
    <cellStyle name="Normal 9 3 3 7 2" xfId="6964" xr:uid="{00000000-0005-0000-0000-00001F200000}"/>
    <cellStyle name="Normal 9 3 3 7 2 2" xfId="15393" xr:uid="{E853B58A-B06A-44A1-8687-E8505C405AAA}"/>
    <cellStyle name="Normal 9 3 3 7 3" xfId="11175" xr:uid="{C58FC92F-7619-41ED-9FB7-526416812322}"/>
    <cellStyle name="Normal 9 3 3 8" xfId="4899" xr:uid="{00000000-0005-0000-0000-000020200000}"/>
    <cellStyle name="Normal 9 3 3 8 2" xfId="13328" xr:uid="{BD20DDD7-5890-4DFE-86EA-AEA85C735848}"/>
    <cellStyle name="Normal 9 3 3 9" xfId="9110" xr:uid="{0FA818B6-8BAB-49F3-8122-161FDEB900A8}"/>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2 2" xfId="15888" xr:uid="{1424ECF7-D91F-4EAC-98E6-21134C2B418F}"/>
    <cellStyle name="Normal 9 3 4 2 2 3" xfId="11670" xr:uid="{6FFFEF7E-FDF1-4CCE-98BB-52AEAC991331}"/>
    <cellStyle name="Normal 9 3 4 2 3" xfId="5314" xr:uid="{00000000-0005-0000-0000-000025200000}"/>
    <cellStyle name="Normal 9 3 4 2 3 2" xfId="13743" xr:uid="{4F9D3409-A090-4ED9-BBA5-004C469CC941}"/>
    <cellStyle name="Normal 9 3 4 2 4" xfId="9525" xr:uid="{BFDB1A8F-6E11-420B-9881-3C3199547E4A}"/>
    <cellStyle name="Normal 9 3 4 3" xfId="1418" xr:uid="{00000000-0005-0000-0000-000026200000}"/>
    <cellStyle name="Normal 9 3 4 3 2" xfId="3648" xr:uid="{00000000-0005-0000-0000-000027200000}"/>
    <cellStyle name="Normal 9 3 4 3 2 2" xfId="7872" xr:uid="{00000000-0005-0000-0000-000028200000}"/>
    <cellStyle name="Normal 9 3 4 3 2 2 2" xfId="16301" xr:uid="{F9B489BD-66B1-4259-A497-3BDA2299F2D7}"/>
    <cellStyle name="Normal 9 3 4 3 2 3" xfId="12083" xr:uid="{E88171B7-BA72-474F-A7D8-25E0E701ACDC}"/>
    <cellStyle name="Normal 9 3 4 3 3" xfId="5727" xr:uid="{00000000-0005-0000-0000-000029200000}"/>
    <cellStyle name="Normal 9 3 4 3 3 2" xfId="14156" xr:uid="{7C9BB3FD-AFB0-45B9-ADC4-1786595C75D8}"/>
    <cellStyle name="Normal 9 3 4 3 4" xfId="9938" xr:uid="{36F451A2-BD05-45DD-8D5F-C29703544874}"/>
    <cellStyle name="Normal 9 3 4 4" xfId="1831" xr:uid="{00000000-0005-0000-0000-00002A200000}"/>
    <cellStyle name="Normal 9 3 4 4 2" xfId="4061" xr:uid="{00000000-0005-0000-0000-00002B200000}"/>
    <cellStyle name="Normal 9 3 4 4 2 2" xfId="8285" xr:uid="{00000000-0005-0000-0000-00002C200000}"/>
    <cellStyle name="Normal 9 3 4 4 2 2 2" xfId="16714" xr:uid="{98DBDDC9-E5B8-4A90-823B-51F5FB182CD9}"/>
    <cellStyle name="Normal 9 3 4 4 2 3" xfId="12496" xr:uid="{880A3355-9E52-42E3-AC0A-8FF65885F346}"/>
    <cellStyle name="Normal 9 3 4 4 3" xfId="6140" xr:uid="{00000000-0005-0000-0000-00002D200000}"/>
    <cellStyle name="Normal 9 3 4 4 3 2" xfId="14569" xr:uid="{6BEF783C-CEC9-4161-8E85-B4C886A35116}"/>
    <cellStyle name="Normal 9 3 4 4 4" xfId="10351" xr:uid="{4F1B4D54-8468-4CAD-93DD-AB20D5D53C2E}"/>
    <cellStyle name="Normal 9 3 4 5" xfId="2245" xr:uid="{00000000-0005-0000-0000-00002E200000}"/>
    <cellStyle name="Normal 9 3 4 5 2" xfId="4474" xr:uid="{00000000-0005-0000-0000-00002F200000}"/>
    <cellStyle name="Normal 9 3 4 5 2 2" xfId="8698" xr:uid="{00000000-0005-0000-0000-000030200000}"/>
    <cellStyle name="Normal 9 3 4 5 2 2 2" xfId="17127" xr:uid="{5C2F963E-835D-4D54-ADE2-8DAFD3852F68}"/>
    <cellStyle name="Normal 9 3 4 5 2 3" xfId="12909" xr:uid="{463E39E8-EA64-4B0D-8CA5-B1FA04AA7066}"/>
    <cellStyle name="Normal 9 3 4 5 3" xfId="6553" xr:uid="{00000000-0005-0000-0000-000031200000}"/>
    <cellStyle name="Normal 9 3 4 5 3 2" xfId="14982" xr:uid="{A21CC775-C182-4839-9B6D-E6E66F6E1980}"/>
    <cellStyle name="Normal 9 3 4 5 4" xfId="10764" xr:uid="{2F9EDC5D-3455-4057-BE8E-927C49EF366C}"/>
    <cellStyle name="Normal 9 3 4 6" xfId="2681" xr:uid="{00000000-0005-0000-0000-000032200000}"/>
    <cellStyle name="Normal 9 3 4 6 2" xfId="6966" xr:uid="{00000000-0005-0000-0000-000033200000}"/>
    <cellStyle name="Normal 9 3 4 6 2 2" xfId="15395" xr:uid="{AB856D4A-F335-4D6E-98CA-83618E959F79}"/>
    <cellStyle name="Normal 9 3 4 6 3" xfId="11177" xr:uid="{12AD81E4-6B5A-4B16-B272-359DE485F30F}"/>
    <cellStyle name="Normal 9 3 4 7" xfId="4901" xr:uid="{00000000-0005-0000-0000-000034200000}"/>
    <cellStyle name="Normal 9 3 4 7 2" xfId="13330" xr:uid="{1D42CB6D-9782-4626-AD80-01B93779FB3A}"/>
    <cellStyle name="Normal 9 3 4 8" xfId="9112" xr:uid="{3F58CCD7-C7F9-441F-83B6-190C2B694030}"/>
    <cellStyle name="Normal 9 3 5" xfId="995" xr:uid="{00000000-0005-0000-0000-000035200000}"/>
    <cellStyle name="Normal 9 3 5 2" xfId="3228" xr:uid="{00000000-0005-0000-0000-000036200000}"/>
    <cellStyle name="Normal 9 3 5 2 2" xfId="7452" xr:uid="{00000000-0005-0000-0000-000037200000}"/>
    <cellStyle name="Normal 9 3 5 2 2 2" xfId="15881" xr:uid="{C1A10056-9343-4FDD-B335-70CA070F76F4}"/>
    <cellStyle name="Normal 9 3 5 2 3" xfId="11663" xr:uid="{A8C90658-9E67-4D5E-BFEE-2E0DDE721829}"/>
    <cellStyle name="Normal 9 3 5 3" xfId="5307" xr:uid="{00000000-0005-0000-0000-000038200000}"/>
    <cellStyle name="Normal 9 3 5 3 2" xfId="13736" xr:uid="{AC8221E5-A9EF-465A-9CDB-BB02C5B59A90}"/>
    <cellStyle name="Normal 9 3 5 4" xfId="9518" xr:uid="{CDCDF683-9CE1-456F-9390-B5680918DD22}"/>
    <cellStyle name="Normal 9 3 6" xfId="1411" xr:uid="{00000000-0005-0000-0000-000039200000}"/>
    <cellStyle name="Normal 9 3 6 2" xfId="3641" xr:uid="{00000000-0005-0000-0000-00003A200000}"/>
    <cellStyle name="Normal 9 3 6 2 2" xfId="7865" xr:uid="{00000000-0005-0000-0000-00003B200000}"/>
    <cellStyle name="Normal 9 3 6 2 2 2" xfId="16294" xr:uid="{C3462787-0C63-43F3-B098-A9EA6772DC2E}"/>
    <cellStyle name="Normal 9 3 6 2 3" xfId="12076" xr:uid="{0C38B950-4819-4584-B36D-ED63CCAD4BA0}"/>
    <cellStyle name="Normal 9 3 6 3" xfId="5720" xr:uid="{00000000-0005-0000-0000-00003C200000}"/>
    <cellStyle name="Normal 9 3 6 3 2" xfId="14149" xr:uid="{7040AE2A-6BF9-471B-BC1E-EE3145C5522E}"/>
    <cellStyle name="Normal 9 3 6 4" xfId="9931" xr:uid="{36F5A6F0-994A-47C0-AE4E-6E4E7E52870B}"/>
    <cellStyle name="Normal 9 3 7" xfId="1824" xr:uid="{00000000-0005-0000-0000-00003D200000}"/>
    <cellStyle name="Normal 9 3 7 2" xfId="4054" xr:uid="{00000000-0005-0000-0000-00003E200000}"/>
    <cellStyle name="Normal 9 3 7 2 2" xfId="8278" xr:uid="{00000000-0005-0000-0000-00003F200000}"/>
    <cellStyle name="Normal 9 3 7 2 2 2" xfId="16707" xr:uid="{8D1E694E-90FC-4D31-95CC-B416CBAA8044}"/>
    <cellStyle name="Normal 9 3 7 2 3" xfId="12489" xr:uid="{434C463F-1A14-48AD-AC69-ECFB0CDE432A}"/>
    <cellStyle name="Normal 9 3 7 3" xfId="6133" xr:uid="{00000000-0005-0000-0000-000040200000}"/>
    <cellStyle name="Normal 9 3 7 3 2" xfId="14562" xr:uid="{7655B75F-5E3A-4591-B8B1-B6F46B4244E0}"/>
    <cellStyle name="Normal 9 3 7 4" xfId="10344" xr:uid="{E87BD616-1819-4DF4-A81D-98D5AC84F995}"/>
    <cellStyle name="Normal 9 3 8" xfId="2238" xr:uid="{00000000-0005-0000-0000-000041200000}"/>
    <cellStyle name="Normal 9 3 8 2" xfId="4467" xr:uid="{00000000-0005-0000-0000-000042200000}"/>
    <cellStyle name="Normal 9 3 8 2 2" xfId="8691" xr:uid="{00000000-0005-0000-0000-000043200000}"/>
    <cellStyle name="Normal 9 3 8 2 2 2" xfId="17120" xr:uid="{D9EAE404-C64B-4579-B434-DC8CE115FB33}"/>
    <cellStyle name="Normal 9 3 8 2 3" xfId="12902" xr:uid="{2C9FB3DA-C11A-4308-8467-EB06F2E557E4}"/>
    <cellStyle name="Normal 9 3 8 3" xfId="6546" xr:uid="{00000000-0005-0000-0000-000044200000}"/>
    <cellStyle name="Normal 9 3 8 3 2" xfId="14975" xr:uid="{68215074-53BC-4658-A1EC-5CBDCBCB7EFE}"/>
    <cellStyle name="Normal 9 3 8 4" xfId="10757" xr:uid="{F3B087C6-CB32-41FA-AC1B-47C6265809A3}"/>
    <cellStyle name="Normal 9 3 9" xfId="2674" xr:uid="{00000000-0005-0000-0000-000045200000}"/>
    <cellStyle name="Normal 9 3 9 2" xfId="6959" xr:uid="{00000000-0005-0000-0000-000046200000}"/>
    <cellStyle name="Normal 9 3 9 2 2" xfId="15388" xr:uid="{1AA42ED2-6F70-496E-AC0E-3D4CE5921957}"/>
    <cellStyle name="Normal 9 3 9 3" xfId="11170" xr:uid="{9B719AD2-F492-48A2-8F07-37D72BC6B6E9}"/>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2 2" xfId="15890" xr:uid="{7F5E39D4-27AA-408A-AA57-D06BB1162994}"/>
    <cellStyle name="Normal 9 5 2 2 2 3" xfId="11672" xr:uid="{695088B7-2931-4333-95F0-AED1387B2479}"/>
    <cellStyle name="Normal 9 5 2 2 3" xfId="5316" xr:uid="{00000000-0005-0000-0000-00004E200000}"/>
    <cellStyle name="Normal 9 5 2 2 3 2" xfId="13745" xr:uid="{25D06843-5E85-46FC-9F8D-3645A443925D}"/>
    <cellStyle name="Normal 9 5 2 2 4" xfId="9527" xr:uid="{9B8567C5-39E5-4838-95D6-AF84CD4938E1}"/>
    <cellStyle name="Normal 9 5 2 3" xfId="1420" xr:uid="{00000000-0005-0000-0000-00004F200000}"/>
    <cellStyle name="Normal 9 5 2 3 2" xfId="3650" xr:uid="{00000000-0005-0000-0000-000050200000}"/>
    <cellStyle name="Normal 9 5 2 3 2 2" xfId="7874" xr:uid="{00000000-0005-0000-0000-000051200000}"/>
    <cellStyle name="Normal 9 5 2 3 2 2 2" xfId="16303" xr:uid="{1384B03F-C1FA-4E3E-9FC3-804747366F73}"/>
    <cellStyle name="Normal 9 5 2 3 2 3" xfId="12085" xr:uid="{D4F06A21-FF6A-4F83-8AD3-93D7827C0545}"/>
    <cellStyle name="Normal 9 5 2 3 3" xfId="5729" xr:uid="{00000000-0005-0000-0000-000052200000}"/>
    <cellStyle name="Normal 9 5 2 3 3 2" xfId="14158" xr:uid="{EB8C1452-B512-4243-8DCB-14C0A5B3BF44}"/>
    <cellStyle name="Normal 9 5 2 3 4" xfId="9940" xr:uid="{009085C3-3A75-4C53-8A24-45192BFE5C55}"/>
    <cellStyle name="Normal 9 5 2 4" xfId="1833" xr:uid="{00000000-0005-0000-0000-000053200000}"/>
    <cellStyle name="Normal 9 5 2 4 2" xfId="4063" xr:uid="{00000000-0005-0000-0000-000054200000}"/>
    <cellStyle name="Normal 9 5 2 4 2 2" xfId="8287" xr:uid="{00000000-0005-0000-0000-000055200000}"/>
    <cellStyle name="Normal 9 5 2 4 2 2 2" xfId="16716" xr:uid="{8B107BF5-A10D-4266-9CA4-A7288955B94F}"/>
    <cellStyle name="Normal 9 5 2 4 2 3" xfId="12498" xr:uid="{AD2B92D9-84DE-4081-B1AF-6693DC3778FC}"/>
    <cellStyle name="Normal 9 5 2 4 3" xfId="6142" xr:uid="{00000000-0005-0000-0000-000056200000}"/>
    <cellStyle name="Normal 9 5 2 4 3 2" xfId="14571" xr:uid="{AF3AA49C-7DAA-4C57-AF37-F2771A61234F}"/>
    <cellStyle name="Normal 9 5 2 4 4" xfId="10353" xr:uid="{BE8EB755-B3EF-40AD-B878-2AD08F077D53}"/>
    <cellStyle name="Normal 9 5 2 5" xfId="2247" xr:uid="{00000000-0005-0000-0000-000057200000}"/>
    <cellStyle name="Normal 9 5 2 5 2" xfId="4476" xr:uid="{00000000-0005-0000-0000-000058200000}"/>
    <cellStyle name="Normal 9 5 2 5 2 2" xfId="8700" xr:uid="{00000000-0005-0000-0000-000059200000}"/>
    <cellStyle name="Normal 9 5 2 5 2 2 2" xfId="17129" xr:uid="{6FD5E833-0A34-4FA7-8D7A-28E02E8477ED}"/>
    <cellStyle name="Normal 9 5 2 5 2 3" xfId="12911" xr:uid="{12FE4471-E741-434C-A829-6833DD9519C6}"/>
    <cellStyle name="Normal 9 5 2 5 3" xfId="6555" xr:uid="{00000000-0005-0000-0000-00005A200000}"/>
    <cellStyle name="Normal 9 5 2 5 3 2" xfId="14984" xr:uid="{115E3E4D-4063-4E25-A891-C1BE75AC329C}"/>
    <cellStyle name="Normal 9 5 2 5 4" xfId="10766" xr:uid="{AA5468CE-F607-4852-8A19-977E5FE5D745}"/>
    <cellStyle name="Normal 9 5 2 6" xfId="2683" xr:uid="{00000000-0005-0000-0000-00005B200000}"/>
    <cellStyle name="Normal 9 5 2 6 2" xfId="6968" xr:uid="{00000000-0005-0000-0000-00005C200000}"/>
    <cellStyle name="Normal 9 5 2 6 2 2" xfId="15397" xr:uid="{0BB2C8F1-DA90-4B72-AF93-0AA4D7C7696B}"/>
    <cellStyle name="Normal 9 5 2 6 3" xfId="11179" xr:uid="{4138C8AB-0919-4F1D-A32B-3B663F04D583}"/>
    <cellStyle name="Normal 9 5 2 7" xfId="4903" xr:uid="{00000000-0005-0000-0000-00005D200000}"/>
    <cellStyle name="Normal 9 5 2 7 2" xfId="13332" xr:uid="{205322F7-C251-40EE-9A1F-A246F8A51AFB}"/>
    <cellStyle name="Normal 9 5 2 8" xfId="9114" xr:uid="{E6FF812D-A6DD-4F82-ABD3-AC781BD82829}"/>
    <cellStyle name="Normal 9 5 3" xfId="1004" xr:uid="{00000000-0005-0000-0000-00005E200000}"/>
    <cellStyle name="Normal 9 5 3 2" xfId="3236" xr:uid="{00000000-0005-0000-0000-00005F200000}"/>
    <cellStyle name="Normal 9 5 3 2 2" xfId="7460" xr:uid="{00000000-0005-0000-0000-000060200000}"/>
    <cellStyle name="Normal 9 5 3 2 2 2" xfId="15889" xr:uid="{F18F2D9F-ABFE-4FD9-898E-63060F166A5A}"/>
    <cellStyle name="Normal 9 5 3 2 3" xfId="11671" xr:uid="{1003407D-0EC9-4920-BB1F-ADF02FB3F589}"/>
    <cellStyle name="Normal 9 5 3 3" xfId="5315" xr:uid="{00000000-0005-0000-0000-000061200000}"/>
    <cellStyle name="Normal 9 5 3 3 2" xfId="13744" xr:uid="{F5579B4A-751C-419A-86CC-2F9A931F400B}"/>
    <cellStyle name="Normal 9 5 3 4" xfId="9526" xr:uid="{8639B7FF-002D-4C01-B158-DF971E876CAE}"/>
    <cellStyle name="Normal 9 5 4" xfId="1419" xr:uid="{00000000-0005-0000-0000-000062200000}"/>
    <cellStyle name="Normal 9 5 4 2" xfId="3649" xr:uid="{00000000-0005-0000-0000-000063200000}"/>
    <cellStyle name="Normal 9 5 4 2 2" xfId="7873" xr:uid="{00000000-0005-0000-0000-000064200000}"/>
    <cellStyle name="Normal 9 5 4 2 2 2" xfId="16302" xr:uid="{238D4C7D-2452-498F-8137-AC4661C97AEA}"/>
    <cellStyle name="Normal 9 5 4 2 3" xfId="12084" xr:uid="{1B53F4F4-6E24-40EA-950C-81A166721C42}"/>
    <cellStyle name="Normal 9 5 4 3" xfId="5728" xr:uid="{00000000-0005-0000-0000-000065200000}"/>
    <cellStyle name="Normal 9 5 4 3 2" xfId="14157" xr:uid="{B34D4D5D-5ED3-4939-9881-0F43C9953458}"/>
    <cellStyle name="Normal 9 5 4 4" xfId="9939" xr:uid="{6CECEA1E-5707-4DE6-BE49-A8A4080CA3A7}"/>
    <cellStyle name="Normal 9 5 5" xfId="1832" xr:uid="{00000000-0005-0000-0000-000066200000}"/>
    <cellStyle name="Normal 9 5 5 2" xfId="4062" xr:uid="{00000000-0005-0000-0000-000067200000}"/>
    <cellStyle name="Normal 9 5 5 2 2" xfId="8286" xr:uid="{00000000-0005-0000-0000-000068200000}"/>
    <cellStyle name="Normal 9 5 5 2 2 2" xfId="16715" xr:uid="{A36596A3-833E-41E8-9F20-DE6E92FEBA89}"/>
    <cellStyle name="Normal 9 5 5 2 3" xfId="12497" xr:uid="{FEF5197A-2356-41A1-89FA-5279AE2D9010}"/>
    <cellStyle name="Normal 9 5 5 3" xfId="6141" xr:uid="{00000000-0005-0000-0000-000069200000}"/>
    <cellStyle name="Normal 9 5 5 3 2" xfId="14570" xr:uid="{994C0776-5453-470B-AD79-1FAA40A9B6D1}"/>
    <cellStyle name="Normal 9 5 5 4" xfId="10352" xr:uid="{397E31E3-51B5-4060-8AB6-F9EF4B1D5DFC}"/>
    <cellStyle name="Normal 9 5 6" xfId="2246" xr:uid="{00000000-0005-0000-0000-00006A200000}"/>
    <cellStyle name="Normal 9 5 6 2" xfId="4475" xr:uid="{00000000-0005-0000-0000-00006B200000}"/>
    <cellStyle name="Normal 9 5 6 2 2" xfId="8699" xr:uid="{00000000-0005-0000-0000-00006C200000}"/>
    <cellStyle name="Normal 9 5 6 2 2 2" xfId="17128" xr:uid="{E35B40DF-4CA7-4CFF-B2D0-F42F7C29B9BC}"/>
    <cellStyle name="Normal 9 5 6 2 3" xfId="12910" xr:uid="{E46136E1-C3BE-4F2A-9374-5CB92E989580}"/>
    <cellStyle name="Normal 9 5 6 3" xfId="6554" xr:uid="{00000000-0005-0000-0000-00006D200000}"/>
    <cellStyle name="Normal 9 5 6 3 2" xfId="14983" xr:uid="{9FFED0FB-96B3-4FF4-ADDD-5458D7E0ACAF}"/>
    <cellStyle name="Normal 9 5 6 4" xfId="10765" xr:uid="{59258041-CBFE-4F65-AFB2-CF6CBE345C3E}"/>
    <cellStyle name="Normal 9 5 7" xfId="2682" xr:uid="{00000000-0005-0000-0000-00006E200000}"/>
    <cellStyle name="Normal 9 5 7 2" xfId="6967" xr:uid="{00000000-0005-0000-0000-00006F200000}"/>
    <cellStyle name="Normal 9 5 7 2 2" xfId="15396" xr:uid="{FB3D10F5-648B-4F1D-B1BE-5B58791FC84F}"/>
    <cellStyle name="Normal 9 5 7 3" xfId="11178" xr:uid="{AAC85FE6-0189-4B94-81AC-FF523F92B01C}"/>
    <cellStyle name="Normal 9 5 8" xfId="4902" xr:uid="{00000000-0005-0000-0000-000070200000}"/>
    <cellStyle name="Normal 9 5 8 2" xfId="13331" xr:uid="{1D6994F7-B955-432A-917F-8E810858964B}"/>
    <cellStyle name="Normal 9 5 9" xfId="9113" xr:uid="{135AE484-9B95-4475-A071-9DC45054ECFD}"/>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2 2" xfId="15891" xr:uid="{F3558986-BD90-43D8-B546-35A006D6203C}"/>
    <cellStyle name="Normal 9 6 2 2 3" xfId="11673" xr:uid="{B2ACA493-BAF5-49AE-AD9A-5AAE73EB5E6D}"/>
    <cellStyle name="Normal 9 6 2 3" xfId="5317" xr:uid="{00000000-0005-0000-0000-000075200000}"/>
    <cellStyle name="Normal 9 6 2 3 2" xfId="13746" xr:uid="{3C2E793E-6943-4454-9121-D6AD4238311A}"/>
    <cellStyle name="Normal 9 6 2 4" xfId="9528" xr:uid="{59DF8753-D87F-4C4B-9F63-8781C38DE953}"/>
    <cellStyle name="Normal 9 6 3" xfId="1421" xr:uid="{00000000-0005-0000-0000-000076200000}"/>
    <cellStyle name="Normal 9 6 3 2" xfId="3651" xr:uid="{00000000-0005-0000-0000-000077200000}"/>
    <cellStyle name="Normal 9 6 3 2 2" xfId="7875" xr:uid="{00000000-0005-0000-0000-000078200000}"/>
    <cellStyle name="Normal 9 6 3 2 2 2" xfId="16304" xr:uid="{92711520-991B-4984-918A-4BE749639D80}"/>
    <cellStyle name="Normal 9 6 3 2 3" xfId="12086" xr:uid="{6006C9F2-B0CA-485A-9635-6BF59C0613B0}"/>
    <cellStyle name="Normal 9 6 3 3" xfId="5730" xr:uid="{00000000-0005-0000-0000-000079200000}"/>
    <cellStyle name="Normal 9 6 3 3 2" xfId="14159" xr:uid="{B3466F8A-45EC-45F4-BEC1-38F15E9EB8D5}"/>
    <cellStyle name="Normal 9 6 3 4" xfId="9941" xr:uid="{5691F723-B510-4E6C-83E4-43194A1B774B}"/>
    <cellStyle name="Normal 9 6 4" xfId="1834" xr:uid="{00000000-0005-0000-0000-00007A200000}"/>
    <cellStyle name="Normal 9 6 4 2" xfId="4064" xr:uid="{00000000-0005-0000-0000-00007B200000}"/>
    <cellStyle name="Normal 9 6 4 2 2" xfId="8288" xr:uid="{00000000-0005-0000-0000-00007C200000}"/>
    <cellStyle name="Normal 9 6 4 2 2 2" xfId="16717" xr:uid="{F1567517-5AE5-40E4-BCB9-9A9600620628}"/>
    <cellStyle name="Normal 9 6 4 2 3" xfId="12499" xr:uid="{12F31C83-5163-4B9A-8860-7D5D0D6087CE}"/>
    <cellStyle name="Normal 9 6 4 3" xfId="6143" xr:uid="{00000000-0005-0000-0000-00007D200000}"/>
    <cellStyle name="Normal 9 6 4 3 2" xfId="14572" xr:uid="{03B66961-4EC2-4837-86F6-E44E98272C45}"/>
    <cellStyle name="Normal 9 6 4 4" xfId="10354" xr:uid="{926F5416-F5A7-4D4B-B001-A6C88F497123}"/>
    <cellStyle name="Normal 9 6 5" xfId="2248" xr:uid="{00000000-0005-0000-0000-00007E200000}"/>
    <cellStyle name="Normal 9 6 5 2" xfId="4477" xr:uid="{00000000-0005-0000-0000-00007F200000}"/>
    <cellStyle name="Normal 9 6 5 2 2" xfId="8701" xr:uid="{00000000-0005-0000-0000-000080200000}"/>
    <cellStyle name="Normal 9 6 5 2 2 2" xfId="17130" xr:uid="{5B0FC99F-F144-4A27-A2D4-D56651E9E4C3}"/>
    <cellStyle name="Normal 9 6 5 2 3" xfId="12912" xr:uid="{BCD09FEE-9A1B-4F0B-B735-BD4D839FD955}"/>
    <cellStyle name="Normal 9 6 5 3" xfId="6556" xr:uid="{00000000-0005-0000-0000-000081200000}"/>
    <cellStyle name="Normal 9 6 5 3 2" xfId="14985" xr:uid="{BC39E091-42F5-4A29-857D-EF587D17F353}"/>
    <cellStyle name="Normal 9 6 5 4" xfId="10767" xr:uid="{43696456-4E31-4A4C-970B-3B73C500DCAC}"/>
    <cellStyle name="Normal 9 6 6" xfId="2684" xr:uid="{00000000-0005-0000-0000-000082200000}"/>
    <cellStyle name="Normal 9 6 6 2" xfId="6969" xr:uid="{00000000-0005-0000-0000-000083200000}"/>
    <cellStyle name="Normal 9 6 6 2 2" xfId="15398" xr:uid="{EEE9B74C-03BB-4C95-9679-800FB220D954}"/>
    <cellStyle name="Normal 9 6 6 3" xfId="11180" xr:uid="{333BD770-FA73-4054-85E6-5512B0E17363}"/>
    <cellStyle name="Normal 9 6 7" xfId="4904" xr:uid="{00000000-0005-0000-0000-000084200000}"/>
    <cellStyle name="Normal 9 6 7 2" xfId="13333" xr:uid="{F14724EE-E6B0-45C3-83DF-1972C51B0316}"/>
    <cellStyle name="Normal 9 6 8" xfId="9115" xr:uid="{43C68E50-C29F-44B4-B4E2-185F56E6EE28}"/>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2 2" xfId="15479" xr:uid="{421295C7-C00A-4287-9340-5358EE8E92AB}"/>
    <cellStyle name="Note 2 2 10 3" xfId="11261" xr:uid="{96225DD1-111F-4539-A850-CAFB2020901C}"/>
    <cellStyle name="Note 2 2 11" xfId="4905" xr:uid="{00000000-0005-0000-0000-000093200000}"/>
    <cellStyle name="Note 2 2 11 2" xfId="13334" xr:uid="{61B2C731-6A3E-4010-98EC-4307D7EF832A}"/>
    <cellStyle name="Note 2 2 12" xfId="9116" xr:uid="{61045873-BE51-40CC-89B0-B8F13EB82811}"/>
    <cellStyle name="Note 2 2 2" xfId="547" xr:uid="{00000000-0005-0000-0000-000094200000}"/>
    <cellStyle name="Note 2 2 2 10" xfId="4906" xr:uid="{00000000-0005-0000-0000-000095200000}"/>
    <cellStyle name="Note 2 2 2 10 2" xfId="13335" xr:uid="{46F9312A-A066-44AB-8896-6664A89E0963}"/>
    <cellStyle name="Note 2 2 2 11" xfId="9117" xr:uid="{F82EE471-E0AE-4E76-875E-EA83FCB03A7B}"/>
    <cellStyle name="Note 2 2 2 2" xfId="548" xr:uid="{00000000-0005-0000-0000-000096200000}"/>
    <cellStyle name="Note 2 2 2 2 10" xfId="9118" xr:uid="{43C8A720-8D07-48C9-9A19-E724D01827AF}"/>
    <cellStyle name="Note 2 2 2 2 2" xfId="1009" xr:uid="{00000000-0005-0000-0000-000097200000}"/>
    <cellStyle name="Note 2 2 2 2 2 2" xfId="3241" xr:uid="{00000000-0005-0000-0000-000098200000}"/>
    <cellStyle name="Note 2 2 2 2 2 2 2" xfId="7465" xr:uid="{00000000-0005-0000-0000-000099200000}"/>
    <cellStyle name="Note 2 2 2 2 2 2 2 2" xfId="15894" xr:uid="{C270332B-9E9C-4731-8478-182029197AA7}"/>
    <cellStyle name="Note 2 2 2 2 2 2 3" xfId="11676" xr:uid="{309F1ADA-7A3C-431C-9633-0DF784FE6BFA}"/>
    <cellStyle name="Note 2 2 2 2 2 3" xfId="5320" xr:uid="{00000000-0005-0000-0000-00009A200000}"/>
    <cellStyle name="Note 2 2 2 2 2 3 2" xfId="13749" xr:uid="{C6B7E2FA-388A-4FA0-B643-29CDF3FD79BE}"/>
    <cellStyle name="Note 2 2 2 2 2 4" xfId="9531" xr:uid="{2933A1DC-E6E4-401A-912F-13F285C98DF3}"/>
    <cellStyle name="Note 2 2 2 2 3" xfId="1424" xr:uid="{00000000-0005-0000-0000-00009B200000}"/>
    <cellStyle name="Note 2 2 2 2 3 2" xfId="3654" xr:uid="{00000000-0005-0000-0000-00009C200000}"/>
    <cellStyle name="Note 2 2 2 2 3 2 2" xfId="7878" xr:uid="{00000000-0005-0000-0000-00009D200000}"/>
    <cellStyle name="Note 2 2 2 2 3 2 2 2" xfId="16307" xr:uid="{2BEFE456-3792-4FFF-BE52-2F0AD2AC0091}"/>
    <cellStyle name="Note 2 2 2 2 3 2 3" xfId="12089" xr:uid="{064A039A-208C-4B09-AF82-AA13F121BC7A}"/>
    <cellStyle name="Note 2 2 2 2 3 3" xfId="5733" xr:uid="{00000000-0005-0000-0000-00009E200000}"/>
    <cellStyle name="Note 2 2 2 2 3 3 2" xfId="14162" xr:uid="{797035CE-56F5-4C57-89DC-D48FD9DD52B2}"/>
    <cellStyle name="Note 2 2 2 2 3 4" xfId="9944" xr:uid="{F30E46E8-1677-4F96-A3D2-AC010D26B1AE}"/>
    <cellStyle name="Note 2 2 2 2 4" xfId="1838" xr:uid="{00000000-0005-0000-0000-00009F200000}"/>
    <cellStyle name="Note 2 2 2 2 4 2" xfId="4067" xr:uid="{00000000-0005-0000-0000-0000A0200000}"/>
    <cellStyle name="Note 2 2 2 2 4 2 2" xfId="8291" xr:uid="{00000000-0005-0000-0000-0000A1200000}"/>
    <cellStyle name="Note 2 2 2 2 4 2 2 2" xfId="16720" xr:uid="{204731CE-9E24-4DB6-ACAD-07EC3035F350}"/>
    <cellStyle name="Note 2 2 2 2 4 2 3" xfId="12502" xr:uid="{E805D11E-4D2F-4EE0-9429-F3F59D19D7C0}"/>
    <cellStyle name="Note 2 2 2 2 4 3" xfId="6146" xr:uid="{00000000-0005-0000-0000-0000A2200000}"/>
    <cellStyle name="Note 2 2 2 2 4 3 2" xfId="14575" xr:uid="{B48C23BB-C8E2-4593-84BE-75CB9BC88E30}"/>
    <cellStyle name="Note 2 2 2 2 4 4" xfId="10357" xr:uid="{A3409CCA-3250-46FC-A941-792C42AA7F2E}"/>
    <cellStyle name="Note 2 2 2 2 5" xfId="2251" xr:uid="{00000000-0005-0000-0000-0000A3200000}"/>
    <cellStyle name="Note 2 2 2 2 5 2" xfId="4480" xr:uid="{00000000-0005-0000-0000-0000A4200000}"/>
    <cellStyle name="Note 2 2 2 2 5 2 2" xfId="8704" xr:uid="{00000000-0005-0000-0000-0000A5200000}"/>
    <cellStyle name="Note 2 2 2 2 5 2 2 2" xfId="17133" xr:uid="{1B359B71-4047-41F3-94C6-F19CFFAA3F3B}"/>
    <cellStyle name="Note 2 2 2 2 5 2 3" xfId="12915" xr:uid="{4D8CDE4B-4505-49E6-B67A-948D25C0BA76}"/>
    <cellStyle name="Note 2 2 2 2 5 3" xfId="6559" xr:uid="{00000000-0005-0000-0000-0000A6200000}"/>
    <cellStyle name="Note 2 2 2 2 5 3 2" xfId="14988" xr:uid="{D779B674-A5D6-4DBB-9D6F-73851453B897}"/>
    <cellStyle name="Note 2 2 2 2 5 4" xfId="10770" xr:uid="{518D51D3-4983-46EA-AAE8-A103A38CE9D4}"/>
    <cellStyle name="Note 2 2 2 2 6" xfId="2687" xr:uid="{00000000-0005-0000-0000-0000A7200000}"/>
    <cellStyle name="Note 2 2 2 2 6 2" xfId="6972" xr:uid="{00000000-0005-0000-0000-0000A8200000}"/>
    <cellStyle name="Note 2 2 2 2 6 2 2" xfId="15401" xr:uid="{125E44E8-DDF3-4638-9BFB-76FEBB949611}"/>
    <cellStyle name="Note 2 2 2 2 6 3" xfId="11183" xr:uid="{3CB0378D-C0C4-45C2-979B-D6311B744BB5}"/>
    <cellStyle name="Note 2 2 2 2 7" xfId="2746" xr:uid="{00000000-0005-0000-0000-0000A9200000}"/>
    <cellStyle name="Note 2 2 2 2 8" xfId="2827" xr:uid="{00000000-0005-0000-0000-0000AA200000}"/>
    <cellStyle name="Note 2 2 2 2 8 2" xfId="7052" xr:uid="{00000000-0005-0000-0000-0000AB200000}"/>
    <cellStyle name="Note 2 2 2 2 8 2 2" xfId="15481" xr:uid="{378E7659-535F-4F35-BF13-E126205FA725}"/>
    <cellStyle name="Note 2 2 2 2 8 3" xfId="11263" xr:uid="{E1DE7561-7DCF-48D9-B4A4-0A3F475B4D65}"/>
    <cellStyle name="Note 2 2 2 2 9" xfId="4907" xr:uid="{00000000-0005-0000-0000-0000AC200000}"/>
    <cellStyle name="Note 2 2 2 2 9 2" xfId="13336" xr:uid="{A86C14C1-0DDC-471E-AC70-C05B49E96EC8}"/>
    <cellStyle name="Note 2 2 2 3" xfId="1008" xr:uid="{00000000-0005-0000-0000-0000AD200000}"/>
    <cellStyle name="Note 2 2 2 3 2" xfId="3240" xr:uid="{00000000-0005-0000-0000-0000AE200000}"/>
    <cellStyle name="Note 2 2 2 3 2 2" xfId="7464" xr:uid="{00000000-0005-0000-0000-0000AF200000}"/>
    <cellStyle name="Note 2 2 2 3 2 2 2" xfId="15893" xr:uid="{EFCC2A61-4D46-475D-B1C2-D48A158B5342}"/>
    <cellStyle name="Note 2 2 2 3 2 3" xfId="11675" xr:uid="{B308D943-C17E-4448-8A61-7F016DFFACDC}"/>
    <cellStyle name="Note 2 2 2 3 3" xfId="5319" xr:uid="{00000000-0005-0000-0000-0000B0200000}"/>
    <cellStyle name="Note 2 2 2 3 3 2" xfId="13748" xr:uid="{B3E46D7A-42DF-479C-880B-1D92EE312A31}"/>
    <cellStyle name="Note 2 2 2 3 4" xfId="9530" xr:uid="{21BF30AA-03AA-4B27-8C21-F8E489083AF4}"/>
    <cellStyle name="Note 2 2 2 4" xfId="1423" xr:uid="{00000000-0005-0000-0000-0000B1200000}"/>
    <cellStyle name="Note 2 2 2 4 2" xfId="3653" xr:uid="{00000000-0005-0000-0000-0000B2200000}"/>
    <cellStyle name="Note 2 2 2 4 2 2" xfId="7877" xr:uid="{00000000-0005-0000-0000-0000B3200000}"/>
    <cellStyle name="Note 2 2 2 4 2 2 2" xfId="16306" xr:uid="{9A502BAE-1F0E-4037-9568-E6EE747B1E4A}"/>
    <cellStyle name="Note 2 2 2 4 2 3" xfId="12088" xr:uid="{C420171F-0E4B-41DC-BE20-E2F9A2925B14}"/>
    <cellStyle name="Note 2 2 2 4 3" xfId="5732" xr:uid="{00000000-0005-0000-0000-0000B4200000}"/>
    <cellStyle name="Note 2 2 2 4 3 2" xfId="14161" xr:uid="{4F66E2FE-A0C5-43B3-9724-4ECF0AFD1CD4}"/>
    <cellStyle name="Note 2 2 2 4 4" xfId="9943" xr:uid="{CD414238-9FCA-4E69-9885-3AE598E10457}"/>
    <cellStyle name="Note 2 2 2 5" xfId="1837" xr:uid="{00000000-0005-0000-0000-0000B5200000}"/>
    <cellStyle name="Note 2 2 2 5 2" xfId="4066" xr:uid="{00000000-0005-0000-0000-0000B6200000}"/>
    <cellStyle name="Note 2 2 2 5 2 2" xfId="8290" xr:uid="{00000000-0005-0000-0000-0000B7200000}"/>
    <cellStyle name="Note 2 2 2 5 2 2 2" xfId="16719" xr:uid="{BE10C97D-F943-4A54-AC37-02C60773E099}"/>
    <cellStyle name="Note 2 2 2 5 2 3" xfId="12501" xr:uid="{5CD8E525-7C82-49C9-8A54-B67D56FDFE49}"/>
    <cellStyle name="Note 2 2 2 5 3" xfId="6145" xr:uid="{00000000-0005-0000-0000-0000B8200000}"/>
    <cellStyle name="Note 2 2 2 5 3 2" xfId="14574" xr:uid="{2F7B26D3-DFAA-49CD-AFB5-43AC4513A9FE}"/>
    <cellStyle name="Note 2 2 2 5 4" xfId="10356" xr:uid="{2A9379E7-BA91-4735-8099-232BB146921F}"/>
    <cellStyle name="Note 2 2 2 6" xfId="2250" xr:uid="{00000000-0005-0000-0000-0000B9200000}"/>
    <cellStyle name="Note 2 2 2 6 2" xfId="4479" xr:uid="{00000000-0005-0000-0000-0000BA200000}"/>
    <cellStyle name="Note 2 2 2 6 2 2" xfId="8703" xr:uid="{00000000-0005-0000-0000-0000BB200000}"/>
    <cellStyle name="Note 2 2 2 6 2 2 2" xfId="17132" xr:uid="{73970713-7E8D-4833-9CA2-8F046B942919}"/>
    <cellStyle name="Note 2 2 2 6 2 3" xfId="12914" xr:uid="{A24DC869-EA51-403C-A33C-C94B81D32B61}"/>
    <cellStyle name="Note 2 2 2 6 3" xfId="6558" xr:uid="{00000000-0005-0000-0000-0000BC200000}"/>
    <cellStyle name="Note 2 2 2 6 3 2" xfId="14987" xr:uid="{1853C51F-61F1-4C92-AA94-DBF89292E43C}"/>
    <cellStyle name="Note 2 2 2 6 4" xfId="10769" xr:uid="{A6D22E05-9F4C-488A-A692-B23ED3D2719A}"/>
    <cellStyle name="Note 2 2 2 7" xfId="2686" xr:uid="{00000000-0005-0000-0000-0000BD200000}"/>
    <cellStyle name="Note 2 2 2 7 2" xfId="6971" xr:uid="{00000000-0005-0000-0000-0000BE200000}"/>
    <cellStyle name="Note 2 2 2 7 2 2" xfId="15400" xr:uid="{DC1670B0-E916-49BE-9B3C-F180E17A3CF1}"/>
    <cellStyle name="Note 2 2 2 7 3" xfId="11182" xr:uid="{8FCF7B76-A9F7-4192-8E61-E34F86C38B89}"/>
    <cellStyle name="Note 2 2 2 8" xfId="2745" xr:uid="{00000000-0005-0000-0000-0000BF200000}"/>
    <cellStyle name="Note 2 2 2 9" xfId="2826" xr:uid="{00000000-0005-0000-0000-0000C0200000}"/>
    <cellStyle name="Note 2 2 2 9 2" xfId="7051" xr:uid="{00000000-0005-0000-0000-0000C1200000}"/>
    <cellStyle name="Note 2 2 2 9 2 2" xfId="15480" xr:uid="{F87FD9AA-3027-413E-B3D7-3AEDC4DF09DC}"/>
    <cellStyle name="Note 2 2 2 9 3" xfId="11262" xr:uid="{A4AFA405-D34E-4585-8D1F-41ED92B03B5C}"/>
    <cellStyle name="Note 2 2 3" xfId="549" xr:uid="{00000000-0005-0000-0000-0000C2200000}"/>
    <cellStyle name="Note 2 2 3 10" xfId="9119" xr:uid="{F68788B6-2038-45C5-8F32-0D0E8881BCA9}"/>
    <cellStyle name="Note 2 2 3 2" xfId="1010" xr:uid="{00000000-0005-0000-0000-0000C3200000}"/>
    <cellStyle name="Note 2 2 3 2 2" xfId="3242" xr:uid="{00000000-0005-0000-0000-0000C4200000}"/>
    <cellStyle name="Note 2 2 3 2 2 2" xfId="7466" xr:uid="{00000000-0005-0000-0000-0000C5200000}"/>
    <cellStyle name="Note 2 2 3 2 2 2 2" xfId="15895" xr:uid="{1E26A450-94FF-489A-8A59-664239C75F12}"/>
    <cellStyle name="Note 2 2 3 2 2 3" xfId="11677" xr:uid="{B266008F-3BD6-4224-8051-C2BBCDD57FD1}"/>
    <cellStyle name="Note 2 2 3 2 3" xfId="5321" xr:uid="{00000000-0005-0000-0000-0000C6200000}"/>
    <cellStyle name="Note 2 2 3 2 3 2" xfId="13750" xr:uid="{1A93080D-5775-4B8A-B1F0-1E28AE8CADE6}"/>
    <cellStyle name="Note 2 2 3 2 4" xfId="9532" xr:uid="{F6DD3DE9-C0F7-42C2-A1D0-1CCA298999A8}"/>
    <cellStyle name="Note 2 2 3 3" xfId="1425" xr:uid="{00000000-0005-0000-0000-0000C7200000}"/>
    <cellStyle name="Note 2 2 3 3 2" xfId="3655" xr:uid="{00000000-0005-0000-0000-0000C8200000}"/>
    <cellStyle name="Note 2 2 3 3 2 2" xfId="7879" xr:uid="{00000000-0005-0000-0000-0000C9200000}"/>
    <cellStyle name="Note 2 2 3 3 2 2 2" xfId="16308" xr:uid="{181F9254-FC72-4ED2-B239-C92CA3C4BEC9}"/>
    <cellStyle name="Note 2 2 3 3 2 3" xfId="12090" xr:uid="{E87F4016-015F-4FB7-AB11-BBCE8D24E85A}"/>
    <cellStyle name="Note 2 2 3 3 3" xfId="5734" xr:uid="{00000000-0005-0000-0000-0000CA200000}"/>
    <cellStyle name="Note 2 2 3 3 3 2" xfId="14163" xr:uid="{069FF318-EDA4-4F31-8A00-16B14309286D}"/>
    <cellStyle name="Note 2 2 3 3 4" xfId="9945" xr:uid="{7B17712B-C074-48C1-9475-8AF76C3D0CF0}"/>
    <cellStyle name="Note 2 2 3 4" xfId="1839" xr:uid="{00000000-0005-0000-0000-0000CB200000}"/>
    <cellStyle name="Note 2 2 3 4 2" xfId="4068" xr:uid="{00000000-0005-0000-0000-0000CC200000}"/>
    <cellStyle name="Note 2 2 3 4 2 2" xfId="8292" xr:uid="{00000000-0005-0000-0000-0000CD200000}"/>
    <cellStyle name="Note 2 2 3 4 2 2 2" xfId="16721" xr:uid="{6102B586-58FA-4D52-867D-19BDBACB3216}"/>
    <cellStyle name="Note 2 2 3 4 2 3" xfId="12503" xr:uid="{D0D9CCA7-D55E-437B-A095-C7046F005CAB}"/>
    <cellStyle name="Note 2 2 3 4 3" xfId="6147" xr:uid="{00000000-0005-0000-0000-0000CE200000}"/>
    <cellStyle name="Note 2 2 3 4 3 2" xfId="14576" xr:uid="{96454073-0E1E-4E56-BA88-B4AF509D4CFC}"/>
    <cellStyle name="Note 2 2 3 4 4" xfId="10358" xr:uid="{9A08DB59-D6CA-4BE3-A199-949DDE234A70}"/>
    <cellStyle name="Note 2 2 3 5" xfId="2252" xr:uid="{00000000-0005-0000-0000-0000CF200000}"/>
    <cellStyle name="Note 2 2 3 5 2" xfId="4481" xr:uid="{00000000-0005-0000-0000-0000D0200000}"/>
    <cellStyle name="Note 2 2 3 5 2 2" xfId="8705" xr:uid="{00000000-0005-0000-0000-0000D1200000}"/>
    <cellStyle name="Note 2 2 3 5 2 2 2" xfId="17134" xr:uid="{58C3B72D-F3AC-4FB9-A927-4C9F9ACEF9FA}"/>
    <cellStyle name="Note 2 2 3 5 2 3" xfId="12916" xr:uid="{1002D979-E692-4952-8DF6-2B8379743513}"/>
    <cellStyle name="Note 2 2 3 5 3" xfId="6560" xr:uid="{00000000-0005-0000-0000-0000D2200000}"/>
    <cellStyle name="Note 2 2 3 5 3 2" xfId="14989" xr:uid="{427CE97A-CC0D-4678-AC83-E20D063384D6}"/>
    <cellStyle name="Note 2 2 3 5 4" xfId="10771" xr:uid="{A63DE3F6-C3FB-402F-966E-E38DFAD1676C}"/>
    <cellStyle name="Note 2 2 3 6" xfId="2688" xr:uid="{00000000-0005-0000-0000-0000D3200000}"/>
    <cellStyle name="Note 2 2 3 6 2" xfId="6973" xr:uid="{00000000-0005-0000-0000-0000D4200000}"/>
    <cellStyle name="Note 2 2 3 6 2 2" xfId="15402" xr:uid="{56061880-13A3-4488-BB21-951BBB18923D}"/>
    <cellStyle name="Note 2 2 3 6 3" xfId="11184" xr:uid="{F1E6FF54-2C5F-4B37-8BA3-198864CD42AB}"/>
    <cellStyle name="Note 2 2 3 7" xfId="2747" xr:uid="{00000000-0005-0000-0000-0000D5200000}"/>
    <cellStyle name="Note 2 2 3 8" xfId="2828" xr:uid="{00000000-0005-0000-0000-0000D6200000}"/>
    <cellStyle name="Note 2 2 3 8 2" xfId="7053" xr:uid="{00000000-0005-0000-0000-0000D7200000}"/>
    <cellStyle name="Note 2 2 3 8 2 2" xfId="15482" xr:uid="{BCDC0447-2960-4E6D-A1EB-12C2DA292381}"/>
    <cellStyle name="Note 2 2 3 8 3" xfId="11264" xr:uid="{A7826F2C-D8C1-4E9F-A552-33F2908A584B}"/>
    <cellStyle name="Note 2 2 3 9" xfId="4908" xr:uid="{00000000-0005-0000-0000-0000D8200000}"/>
    <cellStyle name="Note 2 2 3 9 2" xfId="13337" xr:uid="{0953454B-C1BF-4F86-A512-24C35A62E5FA}"/>
    <cellStyle name="Note 2 2 4" xfId="1007" xr:uid="{00000000-0005-0000-0000-0000D9200000}"/>
    <cellStyle name="Note 2 2 4 2" xfId="3239" xr:uid="{00000000-0005-0000-0000-0000DA200000}"/>
    <cellStyle name="Note 2 2 4 2 2" xfId="7463" xr:uid="{00000000-0005-0000-0000-0000DB200000}"/>
    <cellStyle name="Note 2 2 4 2 2 2" xfId="15892" xr:uid="{AC2D275C-AD08-4F0C-9B96-9D6F4BD839EE}"/>
    <cellStyle name="Note 2 2 4 2 3" xfId="11674" xr:uid="{C4CC2EA9-DAE4-40F6-859F-F98A5B8A89BB}"/>
    <cellStyle name="Note 2 2 4 3" xfId="5318" xr:uid="{00000000-0005-0000-0000-0000DC200000}"/>
    <cellStyle name="Note 2 2 4 3 2" xfId="13747" xr:uid="{3D441A43-5DFB-444C-B281-8F21D352B94F}"/>
    <cellStyle name="Note 2 2 4 4" xfId="9529" xr:uid="{3D714D9D-6CF7-47B1-84FC-2E5924E0A960}"/>
    <cellStyle name="Note 2 2 5" xfId="1422" xr:uid="{00000000-0005-0000-0000-0000DD200000}"/>
    <cellStyle name="Note 2 2 5 2" xfId="3652" xr:uid="{00000000-0005-0000-0000-0000DE200000}"/>
    <cellStyle name="Note 2 2 5 2 2" xfId="7876" xr:uid="{00000000-0005-0000-0000-0000DF200000}"/>
    <cellStyle name="Note 2 2 5 2 2 2" xfId="16305" xr:uid="{664683DF-B41D-4FC1-9930-990E340AC547}"/>
    <cellStyle name="Note 2 2 5 2 3" xfId="12087" xr:uid="{404D6D3A-05B8-45E6-99C6-8E8B27B4567E}"/>
    <cellStyle name="Note 2 2 5 3" xfId="5731" xr:uid="{00000000-0005-0000-0000-0000E0200000}"/>
    <cellStyle name="Note 2 2 5 3 2" xfId="14160" xr:uid="{8BD7BF37-28AE-407D-8BEF-0D28A07F9BBA}"/>
    <cellStyle name="Note 2 2 5 4" xfId="9942" xr:uid="{F8362D14-B0C6-451C-B17F-7C919E55C1B5}"/>
    <cellStyle name="Note 2 2 6" xfId="1836" xr:uid="{00000000-0005-0000-0000-0000E1200000}"/>
    <cellStyle name="Note 2 2 6 2" xfId="4065" xr:uid="{00000000-0005-0000-0000-0000E2200000}"/>
    <cellStyle name="Note 2 2 6 2 2" xfId="8289" xr:uid="{00000000-0005-0000-0000-0000E3200000}"/>
    <cellStyle name="Note 2 2 6 2 2 2" xfId="16718" xr:uid="{3EE6E1EC-DD54-4799-AEA4-A2503D270766}"/>
    <cellStyle name="Note 2 2 6 2 3" xfId="12500" xr:uid="{74CDA5C0-A635-4401-B740-1A854C82B996}"/>
    <cellStyle name="Note 2 2 6 3" xfId="6144" xr:uid="{00000000-0005-0000-0000-0000E4200000}"/>
    <cellStyle name="Note 2 2 6 3 2" xfId="14573" xr:uid="{D02DB02C-A305-4876-947E-A411AFE36F0C}"/>
    <cellStyle name="Note 2 2 6 4" xfId="10355" xr:uid="{8B53005B-A970-4400-B05D-2581F1A921CE}"/>
    <cellStyle name="Note 2 2 7" xfId="2249" xr:uid="{00000000-0005-0000-0000-0000E5200000}"/>
    <cellStyle name="Note 2 2 7 2" xfId="4478" xr:uid="{00000000-0005-0000-0000-0000E6200000}"/>
    <cellStyle name="Note 2 2 7 2 2" xfId="8702" xr:uid="{00000000-0005-0000-0000-0000E7200000}"/>
    <cellStyle name="Note 2 2 7 2 2 2" xfId="17131" xr:uid="{B0FFFB2E-E430-4BA3-A49A-94FEABD29D42}"/>
    <cellStyle name="Note 2 2 7 2 3" xfId="12913" xr:uid="{79B71D05-A48E-499E-8E26-1AAD01A795C8}"/>
    <cellStyle name="Note 2 2 7 3" xfId="6557" xr:uid="{00000000-0005-0000-0000-0000E8200000}"/>
    <cellStyle name="Note 2 2 7 3 2" xfId="14986" xr:uid="{C9DFAA53-8678-4CB8-8E0F-F488AC6B4D48}"/>
    <cellStyle name="Note 2 2 7 4" xfId="10768" xr:uid="{1ECD23A3-3F72-44B8-BF7F-AE7F5C49D6F1}"/>
    <cellStyle name="Note 2 2 8" xfId="2685" xr:uid="{00000000-0005-0000-0000-0000E9200000}"/>
    <cellStyle name="Note 2 2 8 2" xfId="6970" xr:uid="{00000000-0005-0000-0000-0000EA200000}"/>
    <cellStyle name="Note 2 2 8 2 2" xfId="15399" xr:uid="{233BD8A9-A814-4437-84F9-9231407F322B}"/>
    <cellStyle name="Note 2 2 8 3" xfId="11181" xr:uid="{D0B63C9F-7C3D-44C9-9DB8-B16D2D25BE17}"/>
    <cellStyle name="Note 2 2 9" xfId="2744" xr:uid="{00000000-0005-0000-0000-0000EB200000}"/>
    <cellStyle name="Note 2 3" xfId="550" xr:uid="{00000000-0005-0000-0000-0000EC200000}"/>
    <cellStyle name="Note 2 3 10" xfId="4909" xr:uid="{00000000-0005-0000-0000-0000ED200000}"/>
    <cellStyle name="Note 2 3 10 2" xfId="13338" xr:uid="{C5BD174B-AA82-46AE-AA36-364E8FA9933D}"/>
    <cellStyle name="Note 2 3 11" xfId="9120" xr:uid="{F9294903-1391-4E79-A958-A2D3E056D296}"/>
    <cellStyle name="Note 2 3 2" xfId="551" xr:uid="{00000000-0005-0000-0000-0000EE200000}"/>
    <cellStyle name="Note 2 3 2 10" xfId="9121" xr:uid="{B7A61CF3-AAE5-4E60-94BC-105ECE3303C7}"/>
    <cellStyle name="Note 2 3 2 2" xfId="1012" xr:uid="{00000000-0005-0000-0000-0000EF200000}"/>
    <cellStyle name="Note 2 3 2 2 2" xfId="3244" xr:uid="{00000000-0005-0000-0000-0000F0200000}"/>
    <cellStyle name="Note 2 3 2 2 2 2" xfId="7468" xr:uid="{00000000-0005-0000-0000-0000F1200000}"/>
    <cellStyle name="Note 2 3 2 2 2 2 2" xfId="15897" xr:uid="{68BDA486-C3E9-4E0B-AD50-539E184F7D8F}"/>
    <cellStyle name="Note 2 3 2 2 2 3" xfId="11679" xr:uid="{812FA208-AFC6-4989-8693-466179E4AA61}"/>
    <cellStyle name="Note 2 3 2 2 3" xfId="5323" xr:uid="{00000000-0005-0000-0000-0000F2200000}"/>
    <cellStyle name="Note 2 3 2 2 3 2" xfId="13752" xr:uid="{6563B166-861E-4F2E-9E12-62E22A9D7E36}"/>
    <cellStyle name="Note 2 3 2 2 4" xfId="9534" xr:uid="{7DA08C68-51FB-4469-98E3-CDB38D4C3B1D}"/>
    <cellStyle name="Note 2 3 2 3" xfId="1427" xr:uid="{00000000-0005-0000-0000-0000F3200000}"/>
    <cellStyle name="Note 2 3 2 3 2" xfId="3657" xr:uid="{00000000-0005-0000-0000-0000F4200000}"/>
    <cellStyle name="Note 2 3 2 3 2 2" xfId="7881" xr:uid="{00000000-0005-0000-0000-0000F5200000}"/>
    <cellStyle name="Note 2 3 2 3 2 2 2" xfId="16310" xr:uid="{1E6D1F0D-D5D0-46B4-ACCE-E16025BD7740}"/>
    <cellStyle name="Note 2 3 2 3 2 3" xfId="12092" xr:uid="{2FB95819-8F04-4A8B-B961-243516C11980}"/>
    <cellStyle name="Note 2 3 2 3 3" xfId="5736" xr:uid="{00000000-0005-0000-0000-0000F6200000}"/>
    <cellStyle name="Note 2 3 2 3 3 2" xfId="14165" xr:uid="{3DDD6745-1801-4D6E-B3AB-6BB07E7E72FA}"/>
    <cellStyle name="Note 2 3 2 3 4" xfId="9947" xr:uid="{139393A5-99CB-41B6-B6C6-F48C7727D74F}"/>
    <cellStyle name="Note 2 3 2 4" xfId="1841" xr:uid="{00000000-0005-0000-0000-0000F7200000}"/>
    <cellStyle name="Note 2 3 2 4 2" xfId="4070" xr:uid="{00000000-0005-0000-0000-0000F8200000}"/>
    <cellStyle name="Note 2 3 2 4 2 2" xfId="8294" xr:uid="{00000000-0005-0000-0000-0000F9200000}"/>
    <cellStyle name="Note 2 3 2 4 2 2 2" xfId="16723" xr:uid="{F23851A6-1AF2-40E8-AE64-9CE348166F62}"/>
    <cellStyle name="Note 2 3 2 4 2 3" xfId="12505" xr:uid="{7EE49138-C893-4B50-A5A5-088A7B6D2E44}"/>
    <cellStyle name="Note 2 3 2 4 3" xfId="6149" xr:uid="{00000000-0005-0000-0000-0000FA200000}"/>
    <cellStyle name="Note 2 3 2 4 3 2" xfId="14578" xr:uid="{F5E80552-817A-42DD-8E55-1987FE7439EF}"/>
    <cellStyle name="Note 2 3 2 4 4" xfId="10360" xr:uid="{AE3961ED-0EA3-422F-AF66-86804510CC2B}"/>
    <cellStyle name="Note 2 3 2 5" xfId="2254" xr:uid="{00000000-0005-0000-0000-0000FB200000}"/>
    <cellStyle name="Note 2 3 2 5 2" xfId="4483" xr:uid="{00000000-0005-0000-0000-0000FC200000}"/>
    <cellStyle name="Note 2 3 2 5 2 2" xfId="8707" xr:uid="{00000000-0005-0000-0000-0000FD200000}"/>
    <cellStyle name="Note 2 3 2 5 2 2 2" xfId="17136" xr:uid="{B7E6A3BD-4F1F-4BD8-A499-BD7870469035}"/>
    <cellStyle name="Note 2 3 2 5 2 3" xfId="12918" xr:uid="{8F216361-DE59-483E-B441-ACD7E9D07B04}"/>
    <cellStyle name="Note 2 3 2 5 3" xfId="6562" xr:uid="{00000000-0005-0000-0000-0000FE200000}"/>
    <cellStyle name="Note 2 3 2 5 3 2" xfId="14991" xr:uid="{FAA2E769-314F-455A-BA08-9E697B295778}"/>
    <cellStyle name="Note 2 3 2 5 4" xfId="10773" xr:uid="{14089FDB-F49B-4817-8E0B-CCD46A24581B}"/>
    <cellStyle name="Note 2 3 2 6" xfId="2690" xr:uid="{00000000-0005-0000-0000-0000FF200000}"/>
    <cellStyle name="Note 2 3 2 6 2" xfId="6975" xr:uid="{00000000-0005-0000-0000-000000210000}"/>
    <cellStyle name="Note 2 3 2 6 2 2" xfId="15404" xr:uid="{C34B5776-033A-4C72-882F-4B585CB181B9}"/>
    <cellStyle name="Note 2 3 2 6 3" xfId="11186" xr:uid="{8A2C4B98-330F-4B44-B78A-CFADD9D50A75}"/>
    <cellStyle name="Note 2 3 2 7" xfId="2749" xr:uid="{00000000-0005-0000-0000-000001210000}"/>
    <cellStyle name="Note 2 3 2 8" xfId="2830" xr:uid="{00000000-0005-0000-0000-000002210000}"/>
    <cellStyle name="Note 2 3 2 8 2" xfId="7055" xr:uid="{00000000-0005-0000-0000-000003210000}"/>
    <cellStyle name="Note 2 3 2 8 2 2" xfId="15484" xr:uid="{2BEBACCA-DCE1-4B70-8770-CF48263304D1}"/>
    <cellStyle name="Note 2 3 2 8 3" xfId="11266" xr:uid="{CC4FC459-E7D8-4E89-858E-6D36C42572CE}"/>
    <cellStyle name="Note 2 3 2 9" xfId="4910" xr:uid="{00000000-0005-0000-0000-000004210000}"/>
    <cellStyle name="Note 2 3 2 9 2" xfId="13339" xr:uid="{9AAD1729-DDC2-4C95-8FE5-DE4761BDA710}"/>
    <cellStyle name="Note 2 3 3" xfId="1011" xr:uid="{00000000-0005-0000-0000-000005210000}"/>
    <cellStyle name="Note 2 3 3 2" xfId="3243" xr:uid="{00000000-0005-0000-0000-000006210000}"/>
    <cellStyle name="Note 2 3 3 2 2" xfId="7467" xr:uid="{00000000-0005-0000-0000-000007210000}"/>
    <cellStyle name="Note 2 3 3 2 2 2" xfId="15896" xr:uid="{5B92FF2A-BCA7-4DC5-B7A0-5D087B79FAB2}"/>
    <cellStyle name="Note 2 3 3 2 3" xfId="11678" xr:uid="{91C029A0-754D-49B7-9593-748C7F991C75}"/>
    <cellStyle name="Note 2 3 3 3" xfId="5322" xr:uid="{00000000-0005-0000-0000-000008210000}"/>
    <cellStyle name="Note 2 3 3 3 2" xfId="13751" xr:uid="{CE5306E2-E889-4A68-A33B-A306739ACCCE}"/>
    <cellStyle name="Note 2 3 3 4" xfId="9533" xr:uid="{76B6AD9F-0DC6-46AE-8469-FA734460619A}"/>
    <cellStyle name="Note 2 3 4" xfId="1426" xr:uid="{00000000-0005-0000-0000-000009210000}"/>
    <cellStyle name="Note 2 3 4 2" xfId="3656" xr:uid="{00000000-0005-0000-0000-00000A210000}"/>
    <cellStyle name="Note 2 3 4 2 2" xfId="7880" xr:uid="{00000000-0005-0000-0000-00000B210000}"/>
    <cellStyle name="Note 2 3 4 2 2 2" xfId="16309" xr:uid="{9DC52669-EF02-4153-B3E9-A0721CD862EF}"/>
    <cellStyle name="Note 2 3 4 2 3" xfId="12091" xr:uid="{09B75CDE-62A0-46B9-9F41-DF1B36B94761}"/>
    <cellStyle name="Note 2 3 4 3" xfId="5735" xr:uid="{00000000-0005-0000-0000-00000C210000}"/>
    <cellStyle name="Note 2 3 4 3 2" xfId="14164" xr:uid="{A8AEA46A-62AC-45F8-A3B6-EF1889DDE1E5}"/>
    <cellStyle name="Note 2 3 4 4" xfId="9946" xr:uid="{AE7787B9-AF75-483B-A809-B83EEDFE376F}"/>
    <cellStyle name="Note 2 3 5" xfId="1840" xr:uid="{00000000-0005-0000-0000-00000D210000}"/>
    <cellStyle name="Note 2 3 5 2" xfId="4069" xr:uid="{00000000-0005-0000-0000-00000E210000}"/>
    <cellStyle name="Note 2 3 5 2 2" xfId="8293" xr:uid="{00000000-0005-0000-0000-00000F210000}"/>
    <cellStyle name="Note 2 3 5 2 2 2" xfId="16722" xr:uid="{F061BB82-341E-4EB3-B65A-B3A0D2CD78EB}"/>
    <cellStyle name="Note 2 3 5 2 3" xfId="12504" xr:uid="{41912B36-9597-4DB2-A62F-64C7183FB28E}"/>
    <cellStyle name="Note 2 3 5 3" xfId="6148" xr:uid="{00000000-0005-0000-0000-000010210000}"/>
    <cellStyle name="Note 2 3 5 3 2" xfId="14577" xr:uid="{CAB90052-1CB7-4F12-9343-A948F9790806}"/>
    <cellStyle name="Note 2 3 5 4" xfId="10359" xr:uid="{D2FFDDE7-2BD3-4228-8CEA-D8BAE530606D}"/>
    <cellStyle name="Note 2 3 6" xfId="2253" xr:uid="{00000000-0005-0000-0000-000011210000}"/>
    <cellStyle name="Note 2 3 6 2" xfId="4482" xr:uid="{00000000-0005-0000-0000-000012210000}"/>
    <cellStyle name="Note 2 3 6 2 2" xfId="8706" xr:uid="{00000000-0005-0000-0000-000013210000}"/>
    <cellStyle name="Note 2 3 6 2 2 2" xfId="17135" xr:uid="{180A16A5-D638-4510-8BAF-5CA34690B626}"/>
    <cellStyle name="Note 2 3 6 2 3" xfId="12917" xr:uid="{8FA2457C-50BC-42C9-BD94-43CDFF1CA3EC}"/>
    <cellStyle name="Note 2 3 6 3" xfId="6561" xr:uid="{00000000-0005-0000-0000-000014210000}"/>
    <cellStyle name="Note 2 3 6 3 2" xfId="14990" xr:uid="{6EA27D3A-90DD-4BA1-BF25-63579DABF284}"/>
    <cellStyle name="Note 2 3 6 4" xfId="10772" xr:uid="{22A6E5BA-74DD-4730-94A9-AF3934027B9B}"/>
    <cellStyle name="Note 2 3 7" xfId="2689" xr:uid="{00000000-0005-0000-0000-000015210000}"/>
    <cellStyle name="Note 2 3 7 2" xfId="6974" xr:uid="{00000000-0005-0000-0000-000016210000}"/>
    <cellStyle name="Note 2 3 7 2 2" xfId="15403" xr:uid="{9F297376-FACA-4984-B4E4-3DA571F0F559}"/>
    <cellStyle name="Note 2 3 7 3" xfId="11185" xr:uid="{245783D9-D0AF-4672-9FA9-932C79B86286}"/>
    <cellStyle name="Note 2 3 8" xfId="2748" xr:uid="{00000000-0005-0000-0000-000017210000}"/>
    <cellStyle name="Note 2 3 9" xfId="2829" xr:uid="{00000000-0005-0000-0000-000018210000}"/>
    <cellStyle name="Note 2 3 9 2" xfId="7054" xr:uid="{00000000-0005-0000-0000-000019210000}"/>
    <cellStyle name="Note 2 3 9 2 2" xfId="15483" xr:uid="{B208B4B5-856C-4FE5-A27B-304EA30A3344}"/>
    <cellStyle name="Note 2 3 9 3" xfId="11265" xr:uid="{94C4E808-85A7-44E7-9BA9-8F0D0C9BAB86}"/>
    <cellStyle name="Note 2 4" xfId="552" xr:uid="{00000000-0005-0000-0000-00001A210000}"/>
    <cellStyle name="Note 2 4 10" xfId="9122" xr:uid="{D46010F4-3574-4E31-91A7-3ED0027AB572}"/>
    <cellStyle name="Note 2 4 2" xfId="1013" xr:uid="{00000000-0005-0000-0000-00001B210000}"/>
    <cellStyle name="Note 2 4 2 2" xfId="3245" xr:uid="{00000000-0005-0000-0000-00001C210000}"/>
    <cellStyle name="Note 2 4 2 2 2" xfId="7469" xr:uid="{00000000-0005-0000-0000-00001D210000}"/>
    <cellStyle name="Note 2 4 2 2 2 2" xfId="15898" xr:uid="{A359FAAB-DA99-4240-B0A2-30864EDDCD0A}"/>
    <cellStyle name="Note 2 4 2 2 3" xfId="11680" xr:uid="{D2B29123-8B7D-4671-A6E4-E12B451EC896}"/>
    <cellStyle name="Note 2 4 2 3" xfId="5324" xr:uid="{00000000-0005-0000-0000-00001E210000}"/>
    <cellStyle name="Note 2 4 2 3 2" xfId="13753" xr:uid="{E35B013D-807B-49E0-BA5C-BA079BBDD691}"/>
    <cellStyle name="Note 2 4 2 4" xfId="9535" xr:uid="{A1F8D917-6F1C-42DC-9D44-50536B381815}"/>
    <cellStyle name="Note 2 4 3" xfId="1428" xr:uid="{00000000-0005-0000-0000-00001F210000}"/>
    <cellStyle name="Note 2 4 3 2" xfId="3658" xr:uid="{00000000-0005-0000-0000-000020210000}"/>
    <cellStyle name="Note 2 4 3 2 2" xfId="7882" xr:uid="{00000000-0005-0000-0000-000021210000}"/>
    <cellStyle name="Note 2 4 3 2 2 2" xfId="16311" xr:uid="{65233F6D-C91B-461F-A32C-B6DDBD141C76}"/>
    <cellStyle name="Note 2 4 3 2 3" xfId="12093" xr:uid="{F44E772B-9620-4E26-9EF8-A8CDF2FC9C93}"/>
    <cellStyle name="Note 2 4 3 3" xfId="5737" xr:uid="{00000000-0005-0000-0000-000022210000}"/>
    <cellStyle name="Note 2 4 3 3 2" xfId="14166" xr:uid="{8E5A154E-9F7F-489A-BD39-5A14795870BD}"/>
    <cellStyle name="Note 2 4 3 4" xfId="9948" xr:uid="{6D41CCD5-1B3D-43AA-9C53-D3A73AD73F8B}"/>
    <cellStyle name="Note 2 4 4" xfId="1842" xr:uid="{00000000-0005-0000-0000-000023210000}"/>
    <cellStyle name="Note 2 4 4 2" xfId="4071" xr:uid="{00000000-0005-0000-0000-000024210000}"/>
    <cellStyle name="Note 2 4 4 2 2" xfId="8295" xr:uid="{00000000-0005-0000-0000-000025210000}"/>
    <cellStyle name="Note 2 4 4 2 2 2" xfId="16724" xr:uid="{2F96C034-6710-412D-A3AA-362B58F15F05}"/>
    <cellStyle name="Note 2 4 4 2 3" xfId="12506" xr:uid="{CD443C5C-D9AD-4D3C-8D33-67321CA29BD3}"/>
    <cellStyle name="Note 2 4 4 3" xfId="6150" xr:uid="{00000000-0005-0000-0000-000026210000}"/>
    <cellStyle name="Note 2 4 4 3 2" xfId="14579" xr:uid="{84DD1FB4-8066-4D13-9BC5-30D061EC0FC6}"/>
    <cellStyle name="Note 2 4 4 4" xfId="10361" xr:uid="{13B80BD9-CB15-459C-9759-CBD6B638BFD1}"/>
    <cellStyle name="Note 2 4 5" xfId="2255" xr:uid="{00000000-0005-0000-0000-000027210000}"/>
    <cellStyle name="Note 2 4 5 2" xfId="4484" xr:uid="{00000000-0005-0000-0000-000028210000}"/>
    <cellStyle name="Note 2 4 5 2 2" xfId="8708" xr:uid="{00000000-0005-0000-0000-000029210000}"/>
    <cellStyle name="Note 2 4 5 2 2 2" xfId="17137" xr:uid="{467BF77D-6326-4294-8905-3E1CA4A33568}"/>
    <cellStyle name="Note 2 4 5 2 3" xfId="12919" xr:uid="{61198D70-41B2-4F63-AF38-1B65F99166E6}"/>
    <cellStyle name="Note 2 4 5 3" xfId="6563" xr:uid="{00000000-0005-0000-0000-00002A210000}"/>
    <cellStyle name="Note 2 4 5 3 2" xfId="14992" xr:uid="{D608E9F1-B6D7-43C0-9263-24070F30AF04}"/>
    <cellStyle name="Note 2 4 5 4" xfId="10774" xr:uid="{65B44ADB-E35E-472F-9E47-1FCEF70E02E6}"/>
    <cellStyle name="Note 2 4 6" xfId="2691" xr:uid="{00000000-0005-0000-0000-00002B210000}"/>
    <cellStyle name="Note 2 4 6 2" xfId="6976" xr:uid="{00000000-0005-0000-0000-00002C210000}"/>
    <cellStyle name="Note 2 4 6 2 2" xfId="15405" xr:uid="{D24ECD79-9784-441C-B30D-7168AEAD220B}"/>
    <cellStyle name="Note 2 4 6 3" xfId="11187" xr:uid="{99E08930-7802-42A3-96A0-6286A6D57450}"/>
    <cellStyle name="Note 2 4 7" xfId="2750" xr:uid="{00000000-0005-0000-0000-00002D210000}"/>
    <cellStyle name="Note 2 4 8" xfId="2831" xr:uid="{00000000-0005-0000-0000-00002E210000}"/>
    <cellStyle name="Note 2 4 8 2" xfId="7056" xr:uid="{00000000-0005-0000-0000-00002F210000}"/>
    <cellStyle name="Note 2 4 8 2 2" xfId="15485" xr:uid="{1C8147FD-ED92-4D6B-AA68-4CA700B12ABF}"/>
    <cellStyle name="Note 2 4 8 3" xfId="11267" xr:uid="{D85E62D3-3033-44FE-B2E8-7F49FE86F5FF}"/>
    <cellStyle name="Note 2 4 9" xfId="4911" xr:uid="{00000000-0005-0000-0000-000030210000}"/>
    <cellStyle name="Note 2 4 9 2" xfId="13340" xr:uid="{76592B95-6EBA-4E03-BA66-16319508CC26}"/>
    <cellStyle name="Note 2 5" xfId="553" xr:uid="{00000000-0005-0000-0000-000031210000}"/>
    <cellStyle name="Note 2 5 10" xfId="9123" xr:uid="{DA753279-50B1-4C80-B1A9-EFA969CFF249}"/>
    <cellStyle name="Note 2 5 2" xfId="1014" xr:uid="{00000000-0005-0000-0000-000032210000}"/>
    <cellStyle name="Note 2 5 2 2" xfId="3246" xr:uid="{00000000-0005-0000-0000-000033210000}"/>
    <cellStyle name="Note 2 5 2 2 2" xfId="7470" xr:uid="{00000000-0005-0000-0000-000034210000}"/>
    <cellStyle name="Note 2 5 2 2 2 2" xfId="15899" xr:uid="{8A34BE61-4DDA-44AA-A056-679B19E916F8}"/>
    <cellStyle name="Note 2 5 2 2 3" xfId="11681" xr:uid="{74CAC211-7B39-40B8-94D2-1D70F00B56F3}"/>
    <cellStyle name="Note 2 5 2 3" xfId="5325" xr:uid="{00000000-0005-0000-0000-000035210000}"/>
    <cellStyle name="Note 2 5 2 3 2" xfId="13754" xr:uid="{690B64D5-4E18-488A-9B28-65FEACBDC0C8}"/>
    <cellStyle name="Note 2 5 2 4" xfId="9536" xr:uid="{8123286B-A098-4FC1-BCAF-38E8709B85F0}"/>
    <cellStyle name="Note 2 5 3" xfId="1429" xr:uid="{00000000-0005-0000-0000-000036210000}"/>
    <cellStyle name="Note 2 5 3 2" xfId="3659" xr:uid="{00000000-0005-0000-0000-000037210000}"/>
    <cellStyle name="Note 2 5 3 2 2" xfId="7883" xr:uid="{00000000-0005-0000-0000-000038210000}"/>
    <cellStyle name="Note 2 5 3 2 2 2" xfId="16312" xr:uid="{BF7D78BE-8A57-4C17-8D8D-65109BDD5BF8}"/>
    <cellStyle name="Note 2 5 3 2 3" xfId="12094" xr:uid="{438278BE-150F-49CB-9719-0DB07C1BBB1A}"/>
    <cellStyle name="Note 2 5 3 3" xfId="5738" xr:uid="{00000000-0005-0000-0000-000039210000}"/>
    <cellStyle name="Note 2 5 3 3 2" xfId="14167" xr:uid="{D7C1DF93-C6EB-475C-B3B8-C56AD76C2189}"/>
    <cellStyle name="Note 2 5 3 4" xfId="9949" xr:uid="{0905AF37-2E9A-4A86-9EB8-6509022D39C6}"/>
    <cellStyle name="Note 2 5 4" xfId="1843" xr:uid="{00000000-0005-0000-0000-00003A210000}"/>
    <cellStyle name="Note 2 5 4 2" xfId="4072" xr:uid="{00000000-0005-0000-0000-00003B210000}"/>
    <cellStyle name="Note 2 5 4 2 2" xfId="8296" xr:uid="{00000000-0005-0000-0000-00003C210000}"/>
    <cellStyle name="Note 2 5 4 2 2 2" xfId="16725" xr:uid="{14B6EBE8-089E-4C39-8430-F45942CA8722}"/>
    <cellStyle name="Note 2 5 4 2 3" xfId="12507" xr:uid="{D7DAC942-C6EE-4891-BE6E-3DE1BEDA9131}"/>
    <cellStyle name="Note 2 5 4 3" xfId="6151" xr:uid="{00000000-0005-0000-0000-00003D210000}"/>
    <cellStyle name="Note 2 5 4 3 2" xfId="14580" xr:uid="{38B15DA1-216E-4853-9560-5DCB3BFF501C}"/>
    <cellStyle name="Note 2 5 4 4" xfId="10362" xr:uid="{A5667154-012A-4BED-926C-E0A628BC35BF}"/>
    <cellStyle name="Note 2 5 5" xfId="2256" xr:uid="{00000000-0005-0000-0000-00003E210000}"/>
    <cellStyle name="Note 2 5 5 2" xfId="4485" xr:uid="{00000000-0005-0000-0000-00003F210000}"/>
    <cellStyle name="Note 2 5 5 2 2" xfId="8709" xr:uid="{00000000-0005-0000-0000-000040210000}"/>
    <cellStyle name="Note 2 5 5 2 2 2" xfId="17138" xr:uid="{D85CB3FC-DB6F-4B68-ADBE-E6BE70DEC1D4}"/>
    <cellStyle name="Note 2 5 5 2 3" xfId="12920" xr:uid="{5979550A-4164-4A5A-B1D3-B53CC02491BB}"/>
    <cellStyle name="Note 2 5 5 3" xfId="6564" xr:uid="{00000000-0005-0000-0000-000041210000}"/>
    <cellStyle name="Note 2 5 5 3 2" xfId="14993" xr:uid="{488A0C6D-4204-4FF5-8AC9-66DFDF979DA4}"/>
    <cellStyle name="Note 2 5 5 4" xfId="10775" xr:uid="{CA23BBB0-ECAA-4463-802D-202B0CA1F58F}"/>
    <cellStyle name="Note 2 5 6" xfId="2692" xr:uid="{00000000-0005-0000-0000-000042210000}"/>
    <cellStyle name="Note 2 5 6 2" xfId="6977" xr:uid="{00000000-0005-0000-0000-000043210000}"/>
    <cellStyle name="Note 2 5 6 2 2" xfId="15406" xr:uid="{3C222390-7E9D-44C3-8E8E-F65321780557}"/>
    <cellStyle name="Note 2 5 6 3" xfId="11188" xr:uid="{5B65096B-E32E-4016-B17B-D9A6D69C61E6}"/>
    <cellStyle name="Note 2 5 7" xfId="2751" xr:uid="{00000000-0005-0000-0000-000044210000}"/>
    <cellStyle name="Note 2 5 8" xfId="2832" xr:uid="{00000000-0005-0000-0000-000045210000}"/>
    <cellStyle name="Note 2 5 8 2" xfId="7057" xr:uid="{00000000-0005-0000-0000-000046210000}"/>
    <cellStyle name="Note 2 5 8 2 2" xfId="15486" xr:uid="{32062C73-CEDD-43D7-B63D-9E40F460D02D}"/>
    <cellStyle name="Note 2 5 8 3" xfId="11268" xr:uid="{064598D7-2DE0-411D-A832-8B37625A4E75}"/>
    <cellStyle name="Note 2 5 9" xfId="4912" xr:uid="{00000000-0005-0000-0000-000047210000}"/>
    <cellStyle name="Note 2 5 9 2" xfId="13341" xr:uid="{0AD4F96C-26E3-4365-AA09-EADB235CD741}"/>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2 2" xfId="15487" xr:uid="{CD3E2110-10A2-4BB6-992D-B297BB93D651}"/>
    <cellStyle name="Note 3 2 10 3" xfId="11269" xr:uid="{EF1B9535-6A72-4722-8F66-437E966CC0F7}"/>
    <cellStyle name="Note 3 2 11" xfId="4913" xr:uid="{00000000-0005-0000-0000-00004C210000}"/>
    <cellStyle name="Note 3 2 11 2" xfId="13342" xr:uid="{DA8AB73C-E624-4B82-83EE-FC54B1BFA94A}"/>
    <cellStyle name="Note 3 2 12" xfId="9124" xr:uid="{EAF6B942-1828-4D2D-9EBD-A19DB689D9C0}"/>
    <cellStyle name="Note 3 2 2" xfId="556" xr:uid="{00000000-0005-0000-0000-00004D210000}"/>
    <cellStyle name="Note 3 2 2 10" xfId="4914" xr:uid="{00000000-0005-0000-0000-00004E210000}"/>
    <cellStyle name="Note 3 2 2 10 2" xfId="13343" xr:uid="{8414C27D-B9C9-4396-8AA5-DAE975AD263C}"/>
    <cellStyle name="Note 3 2 2 11" xfId="9125" xr:uid="{8B9A1733-37CB-461B-AAC7-2E51BC46CD21}"/>
    <cellStyle name="Note 3 2 2 2" xfId="557" xr:uid="{00000000-0005-0000-0000-00004F210000}"/>
    <cellStyle name="Note 3 2 2 2 10" xfId="9126" xr:uid="{240E7F13-8894-412F-8A39-6118F7A3870E}"/>
    <cellStyle name="Note 3 2 2 2 2" xfId="1017" xr:uid="{00000000-0005-0000-0000-000050210000}"/>
    <cellStyle name="Note 3 2 2 2 2 2" xfId="3249" xr:uid="{00000000-0005-0000-0000-000051210000}"/>
    <cellStyle name="Note 3 2 2 2 2 2 2" xfId="7473" xr:uid="{00000000-0005-0000-0000-000052210000}"/>
    <cellStyle name="Note 3 2 2 2 2 2 2 2" xfId="15902" xr:uid="{E29AB89C-5048-4A1A-A86D-07E6C038DABC}"/>
    <cellStyle name="Note 3 2 2 2 2 2 3" xfId="11684" xr:uid="{61FA38FE-C95A-4A53-ACEC-398CFB4E62BC}"/>
    <cellStyle name="Note 3 2 2 2 2 3" xfId="5328" xr:uid="{00000000-0005-0000-0000-000053210000}"/>
    <cellStyle name="Note 3 2 2 2 2 3 2" xfId="13757" xr:uid="{46D64663-0ED8-453B-A632-9366C2E59BC0}"/>
    <cellStyle name="Note 3 2 2 2 2 4" xfId="9539" xr:uid="{B3F5C0A9-B609-462A-AF1F-9D79473A18B2}"/>
    <cellStyle name="Note 3 2 2 2 3" xfId="1432" xr:uid="{00000000-0005-0000-0000-000054210000}"/>
    <cellStyle name="Note 3 2 2 2 3 2" xfId="3662" xr:uid="{00000000-0005-0000-0000-000055210000}"/>
    <cellStyle name="Note 3 2 2 2 3 2 2" xfId="7886" xr:uid="{00000000-0005-0000-0000-000056210000}"/>
    <cellStyle name="Note 3 2 2 2 3 2 2 2" xfId="16315" xr:uid="{F4485E91-41BD-4A98-BD00-D1E9EB16BCE2}"/>
    <cellStyle name="Note 3 2 2 2 3 2 3" xfId="12097" xr:uid="{B60BA7BF-0D65-42F7-AE6B-8EBFFE0BEA14}"/>
    <cellStyle name="Note 3 2 2 2 3 3" xfId="5741" xr:uid="{00000000-0005-0000-0000-000057210000}"/>
    <cellStyle name="Note 3 2 2 2 3 3 2" xfId="14170" xr:uid="{B009E9C5-B152-4445-9F05-A76C4E7A7E3C}"/>
    <cellStyle name="Note 3 2 2 2 3 4" xfId="9952" xr:uid="{B2E52E04-FB79-4ED8-8762-BAFA8E4C1CF1}"/>
    <cellStyle name="Note 3 2 2 2 4" xfId="1846" xr:uid="{00000000-0005-0000-0000-000058210000}"/>
    <cellStyle name="Note 3 2 2 2 4 2" xfId="4075" xr:uid="{00000000-0005-0000-0000-000059210000}"/>
    <cellStyle name="Note 3 2 2 2 4 2 2" xfId="8299" xr:uid="{00000000-0005-0000-0000-00005A210000}"/>
    <cellStyle name="Note 3 2 2 2 4 2 2 2" xfId="16728" xr:uid="{E9F39873-E0BB-4816-8C16-E10E5E0412AB}"/>
    <cellStyle name="Note 3 2 2 2 4 2 3" xfId="12510" xr:uid="{0D953AF2-53A9-4C0E-8BA8-3D634C923A44}"/>
    <cellStyle name="Note 3 2 2 2 4 3" xfId="6154" xr:uid="{00000000-0005-0000-0000-00005B210000}"/>
    <cellStyle name="Note 3 2 2 2 4 3 2" xfId="14583" xr:uid="{F086FA53-B601-4AB9-924B-F3826C0F9C96}"/>
    <cellStyle name="Note 3 2 2 2 4 4" xfId="10365" xr:uid="{46731A7A-D06E-4ACE-947B-0026672D26B0}"/>
    <cellStyle name="Note 3 2 2 2 5" xfId="2259" xr:uid="{00000000-0005-0000-0000-00005C210000}"/>
    <cellStyle name="Note 3 2 2 2 5 2" xfId="4488" xr:uid="{00000000-0005-0000-0000-00005D210000}"/>
    <cellStyle name="Note 3 2 2 2 5 2 2" xfId="8712" xr:uid="{00000000-0005-0000-0000-00005E210000}"/>
    <cellStyle name="Note 3 2 2 2 5 2 2 2" xfId="17141" xr:uid="{1723088B-FE4A-4D55-83CF-8300685A0F15}"/>
    <cellStyle name="Note 3 2 2 2 5 2 3" xfId="12923" xr:uid="{2AEB8660-6118-48EE-810C-60B693D33B8A}"/>
    <cellStyle name="Note 3 2 2 2 5 3" xfId="6567" xr:uid="{00000000-0005-0000-0000-00005F210000}"/>
    <cellStyle name="Note 3 2 2 2 5 3 2" xfId="14996" xr:uid="{E4800E71-920D-4290-96A8-C5A7B91D0BD0}"/>
    <cellStyle name="Note 3 2 2 2 5 4" xfId="10778" xr:uid="{F1993352-20CC-4EF7-BCCD-A526DC931906}"/>
    <cellStyle name="Note 3 2 2 2 6" xfId="2695" xr:uid="{00000000-0005-0000-0000-000060210000}"/>
    <cellStyle name="Note 3 2 2 2 6 2" xfId="6980" xr:uid="{00000000-0005-0000-0000-000061210000}"/>
    <cellStyle name="Note 3 2 2 2 6 2 2" xfId="15409" xr:uid="{83E02FC9-7003-4C7E-B09B-514DC4EC47F6}"/>
    <cellStyle name="Note 3 2 2 2 6 3" xfId="11191" xr:uid="{999244B1-7E92-497B-BC1B-AA825E65E6EA}"/>
    <cellStyle name="Note 3 2 2 2 7" xfId="2754" xr:uid="{00000000-0005-0000-0000-000062210000}"/>
    <cellStyle name="Note 3 2 2 2 8" xfId="2835" xr:uid="{00000000-0005-0000-0000-000063210000}"/>
    <cellStyle name="Note 3 2 2 2 8 2" xfId="7060" xr:uid="{00000000-0005-0000-0000-000064210000}"/>
    <cellStyle name="Note 3 2 2 2 8 2 2" xfId="15489" xr:uid="{A3ABC5D6-5A5A-4CFB-A599-6392EDE8E875}"/>
    <cellStyle name="Note 3 2 2 2 8 3" xfId="11271" xr:uid="{42879093-0B3A-41C7-A97E-C1C770B14230}"/>
    <cellStyle name="Note 3 2 2 2 9" xfId="4915" xr:uid="{00000000-0005-0000-0000-000065210000}"/>
    <cellStyle name="Note 3 2 2 2 9 2" xfId="13344" xr:uid="{2C7F376F-A866-411B-A0B3-DFCFC023D0D8}"/>
    <cellStyle name="Note 3 2 2 3" xfId="1016" xr:uid="{00000000-0005-0000-0000-000066210000}"/>
    <cellStyle name="Note 3 2 2 3 2" xfId="3248" xr:uid="{00000000-0005-0000-0000-000067210000}"/>
    <cellStyle name="Note 3 2 2 3 2 2" xfId="7472" xr:uid="{00000000-0005-0000-0000-000068210000}"/>
    <cellStyle name="Note 3 2 2 3 2 2 2" xfId="15901" xr:uid="{7B961728-1AAD-406D-A4D5-9A7B4AEC618C}"/>
    <cellStyle name="Note 3 2 2 3 2 3" xfId="11683" xr:uid="{D4DCFAB1-1978-4EE3-AEB8-7298E8C3BE4C}"/>
    <cellStyle name="Note 3 2 2 3 3" xfId="5327" xr:uid="{00000000-0005-0000-0000-000069210000}"/>
    <cellStyle name="Note 3 2 2 3 3 2" xfId="13756" xr:uid="{CE92D1AF-948A-4F4C-A09C-7A14FC575BAB}"/>
    <cellStyle name="Note 3 2 2 3 4" xfId="9538" xr:uid="{10F00C36-67EE-4279-86B7-C84F990865E4}"/>
    <cellStyle name="Note 3 2 2 4" xfId="1431" xr:uid="{00000000-0005-0000-0000-00006A210000}"/>
    <cellStyle name="Note 3 2 2 4 2" xfId="3661" xr:uid="{00000000-0005-0000-0000-00006B210000}"/>
    <cellStyle name="Note 3 2 2 4 2 2" xfId="7885" xr:uid="{00000000-0005-0000-0000-00006C210000}"/>
    <cellStyle name="Note 3 2 2 4 2 2 2" xfId="16314" xr:uid="{C92B7B46-2D95-4272-9210-416112EB126A}"/>
    <cellStyle name="Note 3 2 2 4 2 3" xfId="12096" xr:uid="{7082FB74-868A-4D3D-8F2C-C5A2ECF4D09E}"/>
    <cellStyle name="Note 3 2 2 4 3" xfId="5740" xr:uid="{00000000-0005-0000-0000-00006D210000}"/>
    <cellStyle name="Note 3 2 2 4 3 2" xfId="14169" xr:uid="{D5371A02-92F3-4188-9B93-C17A6134EE44}"/>
    <cellStyle name="Note 3 2 2 4 4" xfId="9951" xr:uid="{7F0C1CBD-ADB7-4E83-9DB1-7E4572C536B1}"/>
    <cellStyle name="Note 3 2 2 5" xfId="1845" xr:uid="{00000000-0005-0000-0000-00006E210000}"/>
    <cellStyle name="Note 3 2 2 5 2" xfId="4074" xr:uid="{00000000-0005-0000-0000-00006F210000}"/>
    <cellStyle name="Note 3 2 2 5 2 2" xfId="8298" xr:uid="{00000000-0005-0000-0000-000070210000}"/>
    <cellStyle name="Note 3 2 2 5 2 2 2" xfId="16727" xr:uid="{9F1CBE82-699B-47A5-A9A2-1245EFCF60AA}"/>
    <cellStyle name="Note 3 2 2 5 2 3" xfId="12509" xr:uid="{9776BA34-43CB-4A1B-BD77-F36DBBE72F5D}"/>
    <cellStyle name="Note 3 2 2 5 3" xfId="6153" xr:uid="{00000000-0005-0000-0000-000071210000}"/>
    <cellStyle name="Note 3 2 2 5 3 2" xfId="14582" xr:uid="{BB0481D2-0440-40CB-9D50-BFD44CE44E7F}"/>
    <cellStyle name="Note 3 2 2 5 4" xfId="10364" xr:uid="{88F7450B-7792-4AAB-BABF-D0E9CD68E55F}"/>
    <cellStyle name="Note 3 2 2 6" xfId="2258" xr:uid="{00000000-0005-0000-0000-000072210000}"/>
    <cellStyle name="Note 3 2 2 6 2" xfId="4487" xr:uid="{00000000-0005-0000-0000-000073210000}"/>
    <cellStyle name="Note 3 2 2 6 2 2" xfId="8711" xr:uid="{00000000-0005-0000-0000-000074210000}"/>
    <cellStyle name="Note 3 2 2 6 2 2 2" xfId="17140" xr:uid="{3CD46A6A-D308-4822-B2C6-0A4756746E34}"/>
    <cellStyle name="Note 3 2 2 6 2 3" xfId="12922" xr:uid="{49C511E4-8A31-494F-9E7C-3BCF19465F27}"/>
    <cellStyle name="Note 3 2 2 6 3" xfId="6566" xr:uid="{00000000-0005-0000-0000-000075210000}"/>
    <cellStyle name="Note 3 2 2 6 3 2" xfId="14995" xr:uid="{25BF2FC1-4196-4609-8866-9FC8E2ED5098}"/>
    <cellStyle name="Note 3 2 2 6 4" xfId="10777" xr:uid="{57A5A3DA-3E59-4715-B513-466D4C2EEA8B}"/>
    <cellStyle name="Note 3 2 2 7" xfId="2694" xr:uid="{00000000-0005-0000-0000-000076210000}"/>
    <cellStyle name="Note 3 2 2 7 2" xfId="6979" xr:uid="{00000000-0005-0000-0000-000077210000}"/>
    <cellStyle name="Note 3 2 2 7 2 2" xfId="15408" xr:uid="{F4423D37-F87F-43B0-912C-F608452FF53B}"/>
    <cellStyle name="Note 3 2 2 7 3" xfId="11190" xr:uid="{B5846337-C5CD-4B36-823D-EB240FE8707A}"/>
    <cellStyle name="Note 3 2 2 8" xfId="2753" xr:uid="{00000000-0005-0000-0000-000078210000}"/>
    <cellStyle name="Note 3 2 2 9" xfId="2834" xr:uid="{00000000-0005-0000-0000-000079210000}"/>
    <cellStyle name="Note 3 2 2 9 2" xfId="7059" xr:uid="{00000000-0005-0000-0000-00007A210000}"/>
    <cellStyle name="Note 3 2 2 9 2 2" xfId="15488" xr:uid="{DE93039E-4008-4659-9E9E-C66CDD14B048}"/>
    <cellStyle name="Note 3 2 2 9 3" xfId="11270" xr:uid="{D3B97BE3-8088-41FC-B29B-79E62ADC5652}"/>
    <cellStyle name="Note 3 2 3" xfId="558" xr:uid="{00000000-0005-0000-0000-00007B210000}"/>
    <cellStyle name="Note 3 2 3 10" xfId="9127" xr:uid="{62FBF92E-5CF6-49AB-B15E-EC48C552EC76}"/>
    <cellStyle name="Note 3 2 3 2" xfId="1018" xr:uid="{00000000-0005-0000-0000-00007C210000}"/>
    <cellStyle name="Note 3 2 3 2 2" xfId="3250" xr:uid="{00000000-0005-0000-0000-00007D210000}"/>
    <cellStyle name="Note 3 2 3 2 2 2" xfId="7474" xr:uid="{00000000-0005-0000-0000-00007E210000}"/>
    <cellStyle name="Note 3 2 3 2 2 2 2" xfId="15903" xr:uid="{568E2608-D3DD-4489-B274-47E3E1F99B66}"/>
    <cellStyle name="Note 3 2 3 2 2 3" xfId="11685" xr:uid="{8C10ED42-0789-466C-A219-D19D51C150DD}"/>
    <cellStyle name="Note 3 2 3 2 3" xfId="5329" xr:uid="{00000000-0005-0000-0000-00007F210000}"/>
    <cellStyle name="Note 3 2 3 2 3 2" xfId="13758" xr:uid="{3C66119F-7651-4B07-B494-15AA1B036DBC}"/>
    <cellStyle name="Note 3 2 3 2 4" xfId="9540" xr:uid="{C69E32BA-6933-413A-92B8-BD5459C4459C}"/>
    <cellStyle name="Note 3 2 3 3" xfId="1433" xr:uid="{00000000-0005-0000-0000-000080210000}"/>
    <cellStyle name="Note 3 2 3 3 2" xfId="3663" xr:uid="{00000000-0005-0000-0000-000081210000}"/>
    <cellStyle name="Note 3 2 3 3 2 2" xfId="7887" xr:uid="{00000000-0005-0000-0000-000082210000}"/>
    <cellStyle name="Note 3 2 3 3 2 2 2" xfId="16316" xr:uid="{523E8203-1F5A-4FED-9BE3-1869B5691F49}"/>
    <cellStyle name="Note 3 2 3 3 2 3" xfId="12098" xr:uid="{3490AC30-E316-4CF7-8CD7-EFDB5E57F316}"/>
    <cellStyle name="Note 3 2 3 3 3" xfId="5742" xr:uid="{00000000-0005-0000-0000-000083210000}"/>
    <cellStyle name="Note 3 2 3 3 3 2" xfId="14171" xr:uid="{40CBC5A8-5301-4CA5-B535-ED4F454C57AC}"/>
    <cellStyle name="Note 3 2 3 3 4" xfId="9953" xr:uid="{77020D4C-B128-406A-A7B8-E4EC8DD84190}"/>
    <cellStyle name="Note 3 2 3 4" xfId="1847" xr:uid="{00000000-0005-0000-0000-000084210000}"/>
    <cellStyle name="Note 3 2 3 4 2" xfId="4076" xr:uid="{00000000-0005-0000-0000-000085210000}"/>
    <cellStyle name="Note 3 2 3 4 2 2" xfId="8300" xr:uid="{00000000-0005-0000-0000-000086210000}"/>
    <cellStyle name="Note 3 2 3 4 2 2 2" xfId="16729" xr:uid="{64505DA4-2C83-4923-84BE-82E0DD8402E0}"/>
    <cellStyle name="Note 3 2 3 4 2 3" xfId="12511" xr:uid="{DCC2BF75-06DF-4570-90BF-0469C4F38CFE}"/>
    <cellStyle name="Note 3 2 3 4 3" xfId="6155" xr:uid="{00000000-0005-0000-0000-000087210000}"/>
    <cellStyle name="Note 3 2 3 4 3 2" xfId="14584" xr:uid="{72C1EF38-8BE5-4661-8B0A-328F2BF7DB45}"/>
    <cellStyle name="Note 3 2 3 4 4" xfId="10366" xr:uid="{27DDCDD1-3D56-4771-9A90-534CA2A3A21C}"/>
    <cellStyle name="Note 3 2 3 5" xfId="2260" xr:uid="{00000000-0005-0000-0000-000088210000}"/>
    <cellStyle name="Note 3 2 3 5 2" xfId="4489" xr:uid="{00000000-0005-0000-0000-000089210000}"/>
    <cellStyle name="Note 3 2 3 5 2 2" xfId="8713" xr:uid="{00000000-0005-0000-0000-00008A210000}"/>
    <cellStyle name="Note 3 2 3 5 2 2 2" xfId="17142" xr:uid="{1F3A7DE8-38A7-49CA-81C7-1D9B9A409352}"/>
    <cellStyle name="Note 3 2 3 5 2 3" xfId="12924" xr:uid="{D8FC28FD-F53C-4ECF-A202-79B856A21BFA}"/>
    <cellStyle name="Note 3 2 3 5 3" xfId="6568" xr:uid="{00000000-0005-0000-0000-00008B210000}"/>
    <cellStyle name="Note 3 2 3 5 3 2" xfId="14997" xr:uid="{1DE324C8-3DA2-4B17-B7C4-D0A62CEB1261}"/>
    <cellStyle name="Note 3 2 3 5 4" xfId="10779" xr:uid="{F36F7703-0FBB-4C38-A94C-315986B9D937}"/>
    <cellStyle name="Note 3 2 3 6" xfId="2696" xr:uid="{00000000-0005-0000-0000-00008C210000}"/>
    <cellStyle name="Note 3 2 3 6 2" xfId="6981" xr:uid="{00000000-0005-0000-0000-00008D210000}"/>
    <cellStyle name="Note 3 2 3 6 2 2" xfId="15410" xr:uid="{FF157FCD-7B1A-4E78-ABCE-FABE1C5C4C82}"/>
    <cellStyle name="Note 3 2 3 6 3" xfId="11192" xr:uid="{47F985D3-5A7F-4B0E-8883-AE212471B751}"/>
    <cellStyle name="Note 3 2 3 7" xfId="2755" xr:uid="{00000000-0005-0000-0000-00008E210000}"/>
    <cellStyle name="Note 3 2 3 8" xfId="2836" xr:uid="{00000000-0005-0000-0000-00008F210000}"/>
    <cellStyle name="Note 3 2 3 8 2" xfId="7061" xr:uid="{00000000-0005-0000-0000-000090210000}"/>
    <cellStyle name="Note 3 2 3 8 2 2" xfId="15490" xr:uid="{13D88BD6-D95F-4F05-8AF1-E22707018FF2}"/>
    <cellStyle name="Note 3 2 3 8 3" xfId="11272" xr:uid="{E11BEFF7-56E1-45B0-B129-7454AD1A9B74}"/>
    <cellStyle name="Note 3 2 3 9" xfId="4916" xr:uid="{00000000-0005-0000-0000-000091210000}"/>
    <cellStyle name="Note 3 2 3 9 2" xfId="13345" xr:uid="{D989BE0B-3DC1-473F-9025-E30D16040757}"/>
    <cellStyle name="Note 3 2 4" xfId="1015" xr:uid="{00000000-0005-0000-0000-000092210000}"/>
    <cellStyle name="Note 3 2 4 2" xfId="3247" xr:uid="{00000000-0005-0000-0000-000093210000}"/>
    <cellStyle name="Note 3 2 4 2 2" xfId="7471" xr:uid="{00000000-0005-0000-0000-000094210000}"/>
    <cellStyle name="Note 3 2 4 2 2 2" xfId="15900" xr:uid="{6A1A3403-E320-4EDC-84B4-5A0D24ECDD24}"/>
    <cellStyle name="Note 3 2 4 2 3" xfId="11682" xr:uid="{9BDE211C-192E-487B-8E21-743A1580D035}"/>
    <cellStyle name="Note 3 2 4 3" xfId="5326" xr:uid="{00000000-0005-0000-0000-000095210000}"/>
    <cellStyle name="Note 3 2 4 3 2" xfId="13755" xr:uid="{E97F15E4-F69E-4A85-B19E-C21A1F890A2A}"/>
    <cellStyle name="Note 3 2 4 4" xfId="9537" xr:uid="{601FB4C1-7A19-4F7F-A10D-E69F13E655C5}"/>
    <cellStyle name="Note 3 2 5" xfId="1430" xr:uid="{00000000-0005-0000-0000-000096210000}"/>
    <cellStyle name="Note 3 2 5 2" xfId="3660" xr:uid="{00000000-0005-0000-0000-000097210000}"/>
    <cellStyle name="Note 3 2 5 2 2" xfId="7884" xr:uid="{00000000-0005-0000-0000-000098210000}"/>
    <cellStyle name="Note 3 2 5 2 2 2" xfId="16313" xr:uid="{FC99457C-4026-47CD-9D6C-3F2926466AFE}"/>
    <cellStyle name="Note 3 2 5 2 3" xfId="12095" xr:uid="{FE5308B0-5C28-4302-AA04-18D5FD8ABFE3}"/>
    <cellStyle name="Note 3 2 5 3" xfId="5739" xr:uid="{00000000-0005-0000-0000-000099210000}"/>
    <cellStyle name="Note 3 2 5 3 2" xfId="14168" xr:uid="{756804A3-8F53-41E6-A31C-4253820E83B9}"/>
    <cellStyle name="Note 3 2 5 4" xfId="9950" xr:uid="{68DA39B9-EA6F-4A7A-989F-E5674C86298D}"/>
    <cellStyle name="Note 3 2 6" xfId="1844" xr:uid="{00000000-0005-0000-0000-00009A210000}"/>
    <cellStyle name="Note 3 2 6 2" xfId="4073" xr:uid="{00000000-0005-0000-0000-00009B210000}"/>
    <cellStyle name="Note 3 2 6 2 2" xfId="8297" xr:uid="{00000000-0005-0000-0000-00009C210000}"/>
    <cellStyle name="Note 3 2 6 2 2 2" xfId="16726" xr:uid="{BAEAAB1D-E0FA-4B16-82F1-270801490E30}"/>
    <cellStyle name="Note 3 2 6 2 3" xfId="12508" xr:uid="{D1DAE0B8-BA6F-4BF1-923B-38C2BADC3331}"/>
    <cellStyle name="Note 3 2 6 3" xfId="6152" xr:uid="{00000000-0005-0000-0000-00009D210000}"/>
    <cellStyle name="Note 3 2 6 3 2" xfId="14581" xr:uid="{59E5A9FD-0FFA-48D2-B62F-5F6DD09CD528}"/>
    <cellStyle name="Note 3 2 6 4" xfId="10363" xr:uid="{208A5AA2-597B-4746-86C7-2B83E5608FB4}"/>
    <cellStyle name="Note 3 2 7" xfId="2257" xr:uid="{00000000-0005-0000-0000-00009E210000}"/>
    <cellStyle name="Note 3 2 7 2" xfId="4486" xr:uid="{00000000-0005-0000-0000-00009F210000}"/>
    <cellStyle name="Note 3 2 7 2 2" xfId="8710" xr:uid="{00000000-0005-0000-0000-0000A0210000}"/>
    <cellStyle name="Note 3 2 7 2 2 2" xfId="17139" xr:uid="{8999B9D1-3771-4FE3-81EC-7DA3923DD7CB}"/>
    <cellStyle name="Note 3 2 7 2 3" xfId="12921" xr:uid="{7616A6B3-A626-4095-AA8F-C4410491F14B}"/>
    <cellStyle name="Note 3 2 7 3" xfId="6565" xr:uid="{00000000-0005-0000-0000-0000A1210000}"/>
    <cellStyle name="Note 3 2 7 3 2" xfId="14994" xr:uid="{B848ED56-22B4-4F83-A240-2B72F0CCFCE1}"/>
    <cellStyle name="Note 3 2 7 4" xfId="10776" xr:uid="{A7B145BB-CF2E-4713-8DF5-6A6E1CA81B14}"/>
    <cellStyle name="Note 3 2 8" xfId="2693" xr:uid="{00000000-0005-0000-0000-0000A2210000}"/>
    <cellStyle name="Note 3 2 8 2" xfId="6978" xr:uid="{00000000-0005-0000-0000-0000A3210000}"/>
    <cellStyle name="Note 3 2 8 2 2" xfId="15407" xr:uid="{C95BEB44-3450-4260-BAA0-37861C45840E}"/>
    <cellStyle name="Note 3 2 8 3" xfId="11189" xr:uid="{56069B91-E3E5-4200-8E0B-63BD5BE2EF31}"/>
    <cellStyle name="Note 3 2 9" xfId="2752" xr:uid="{00000000-0005-0000-0000-0000A4210000}"/>
    <cellStyle name="Note 3 3" xfId="559" xr:uid="{00000000-0005-0000-0000-0000A5210000}"/>
    <cellStyle name="Note 3 3 10" xfId="4917" xr:uid="{00000000-0005-0000-0000-0000A6210000}"/>
    <cellStyle name="Note 3 3 10 2" xfId="13346" xr:uid="{DEFB2ACA-F733-4498-9DC1-AC3A0EF22568}"/>
    <cellStyle name="Note 3 3 11" xfId="9128" xr:uid="{7F303CD5-D746-4FDE-B6C0-CF704721C322}"/>
    <cellStyle name="Note 3 3 2" xfId="560" xr:uid="{00000000-0005-0000-0000-0000A7210000}"/>
    <cellStyle name="Note 3 3 2 10" xfId="9129" xr:uid="{50217204-298E-462B-B888-5BC5A1710AB9}"/>
    <cellStyle name="Note 3 3 2 2" xfId="1020" xr:uid="{00000000-0005-0000-0000-0000A8210000}"/>
    <cellStyle name="Note 3 3 2 2 2" xfId="3252" xr:uid="{00000000-0005-0000-0000-0000A9210000}"/>
    <cellStyle name="Note 3 3 2 2 2 2" xfId="7476" xr:uid="{00000000-0005-0000-0000-0000AA210000}"/>
    <cellStyle name="Note 3 3 2 2 2 2 2" xfId="15905" xr:uid="{92BFCDE4-2E4F-457D-8B45-18D391EC7A8B}"/>
    <cellStyle name="Note 3 3 2 2 2 3" xfId="11687" xr:uid="{F8ED49FC-7546-4EF5-92BD-90BAA96877A3}"/>
    <cellStyle name="Note 3 3 2 2 3" xfId="5331" xr:uid="{00000000-0005-0000-0000-0000AB210000}"/>
    <cellStyle name="Note 3 3 2 2 3 2" xfId="13760" xr:uid="{6C430B7E-707C-446A-ACBA-FAE7C6F20967}"/>
    <cellStyle name="Note 3 3 2 2 4" xfId="9542" xr:uid="{2AB4AA87-BF28-4BF4-B461-AE27C9A6450A}"/>
    <cellStyle name="Note 3 3 2 3" xfId="1435" xr:uid="{00000000-0005-0000-0000-0000AC210000}"/>
    <cellStyle name="Note 3 3 2 3 2" xfId="3665" xr:uid="{00000000-0005-0000-0000-0000AD210000}"/>
    <cellStyle name="Note 3 3 2 3 2 2" xfId="7889" xr:uid="{00000000-0005-0000-0000-0000AE210000}"/>
    <cellStyle name="Note 3 3 2 3 2 2 2" xfId="16318" xr:uid="{FCB453AA-74D1-4323-8399-7EFA32E15289}"/>
    <cellStyle name="Note 3 3 2 3 2 3" xfId="12100" xr:uid="{03F7D316-A3AF-4F31-8469-D5A7CDFEC461}"/>
    <cellStyle name="Note 3 3 2 3 3" xfId="5744" xr:uid="{00000000-0005-0000-0000-0000AF210000}"/>
    <cellStyle name="Note 3 3 2 3 3 2" xfId="14173" xr:uid="{AAF914EF-C109-4790-BEF7-A5DC4F78978D}"/>
    <cellStyle name="Note 3 3 2 3 4" xfId="9955" xr:uid="{338CCE34-1FA5-4D8A-9E66-9C22B5E1CD91}"/>
    <cellStyle name="Note 3 3 2 4" xfId="1849" xr:uid="{00000000-0005-0000-0000-0000B0210000}"/>
    <cellStyle name="Note 3 3 2 4 2" xfId="4078" xr:uid="{00000000-0005-0000-0000-0000B1210000}"/>
    <cellStyle name="Note 3 3 2 4 2 2" xfId="8302" xr:uid="{00000000-0005-0000-0000-0000B2210000}"/>
    <cellStyle name="Note 3 3 2 4 2 2 2" xfId="16731" xr:uid="{57FE9C19-DCA7-4A78-AAF2-8152F328C3DA}"/>
    <cellStyle name="Note 3 3 2 4 2 3" xfId="12513" xr:uid="{CB188369-3F7F-43F4-BA8A-BD1322B27DDC}"/>
    <cellStyle name="Note 3 3 2 4 3" xfId="6157" xr:uid="{00000000-0005-0000-0000-0000B3210000}"/>
    <cellStyle name="Note 3 3 2 4 3 2" xfId="14586" xr:uid="{392535A9-D8A9-44CA-A52C-D16979134A8D}"/>
    <cellStyle name="Note 3 3 2 4 4" xfId="10368" xr:uid="{ED9FCB9D-718F-4646-BB1E-8F58EFCA1B7F}"/>
    <cellStyle name="Note 3 3 2 5" xfId="2262" xr:uid="{00000000-0005-0000-0000-0000B4210000}"/>
    <cellStyle name="Note 3 3 2 5 2" xfId="4491" xr:uid="{00000000-0005-0000-0000-0000B5210000}"/>
    <cellStyle name="Note 3 3 2 5 2 2" xfId="8715" xr:uid="{00000000-0005-0000-0000-0000B6210000}"/>
    <cellStyle name="Note 3 3 2 5 2 2 2" xfId="17144" xr:uid="{FCD4A49D-3FD3-4C61-BF8C-FCB3D24CC313}"/>
    <cellStyle name="Note 3 3 2 5 2 3" xfId="12926" xr:uid="{2D10EAB9-6A71-44B5-95F8-C70D76E255B5}"/>
    <cellStyle name="Note 3 3 2 5 3" xfId="6570" xr:uid="{00000000-0005-0000-0000-0000B7210000}"/>
    <cellStyle name="Note 3 3 2 5 3 2" xfId="14999" xr:uid="{A14E6F1D-609E-420A-A0D4-39C7D899CD10}"/>
    <cellStyle name="Note 3 3 2 5 4" xfId="10781" xr:uid="{36F0DFD1-B8C7-42A0-87C3-B6D73728600A}"/>
    <cellStyle name="Note 3 3 2 6" xfId="2698" xr:uid="{00000000-0005-0000-0000-0000B8210000}"/>
    <cellStyle name="Note 3 3 2 6 2" xfId="6983" xr:uid="{00000000-0005-0000-0000-0000B9210000}"/>
    <cellStyle name="Note 3 3 2 6 2 2" xfId="15412" xr:uid="{996A8165-26C4-48A2-9E2E-0B16A9BCF1AF}"/>
    <cellStyle name="Note 3 3 2 6 3" xfId="11194" xr:uid="{C1E348A7-94E9-4C53-9EC9-8800A177B140}"/>
    <cellStyle name="Note 3 3 2 7" xfId="2757" xr:uid="{00000000-0005-0000-0000-0000BA210000}"/>
    <cellStyle name="Note 3 3 2 8" xfId="2838" xr:uid="{00000000-0005-0000-0000-0000BB210000}"/>
    <cellStyle name="Note 3 3 2 8 2" xfId="7063" xr:uid="{00000000-0005-0000-0000-0000BC210000}"/>
    <cellStyle name="Note 3 3 2 8 2 2" xfId="15492" xr:uid="{B6F9A3CA-D8F2-4DE7-BA41-0D367D0D0BCB}"/>
    <cellStyle name="Note 3 3 2 8 3" xfId="11274" xr:uid="{3515C8FE-0E1D-42D3-8FD3-503001E95ED6}"/>
    <cellStyle name="Note 3 3 2 9" xfId="4918" xr:uid="{00000000-0005-0000-0000-0000BD210000}"/>
    <cellStyle name="Note 3 3 2 9 2" xfId="13347" xr:uid="{7FFBD266-694F-485F-BC3E-AECB6A75DD82}"/>
    <cellStyle name="Note 3 3 3" xfId="1019" xr:uid="{00000000-0005-0000-0000-0000BE210000}"/>
    <cellStyle name="Note 3 3 3 2" xfId="3251" xr:uid="{00000000-0005-0000-0000-0000BF210000}"/>
    <cellStyle name="Note 3 3 3 2 2" xfId="7475" xr:uid="{00000000-0005-0000-0000-0000C0210000}"/>
    <cellStyle name="Note 3 3 3 2 2 2" xfId="15904" xr:uid="{3CAB9170-FF4C-49F4-98F4-375CDB218BBF}"/>
    <cellStyle name="Note 3 3 3 2 3" xfId="11686" xr:uid="{09F7537F-8143-4B18-BB73-92083F902D06}"/>
    <cellStyle name="Note 3 3 3 3" xfId="5330" xr:uid="{00000000-0005-0000-0000-0000C1210000}"/>
    <cellStyle name="Note 3 3 3 3 2" xfId="13759" xr:uid="{C7A0D82D-7E63-4650-BA51-AC92DF40D7FF}"/>
    <cellStyle name="Note 3 3 3 4" xfId="9541" xr:uid="{DACAC74F-7A5A-46C7-97A8-573DF29EF1D9}"/>
    <cellStyle name="Note 3 3 4" xfId="1434" xr:uid="{00000000-0005-0000-0000-0000C2210000}"/>
    <cellStyle name="Note 3 3 4 2" xfId="3664" xr:uid="{00000000-0005-0000-0000-0000C3210000}"/>
    <cellStyle name="Note 3 3 4 2 2" xfId="7888" xr:uid="{00000000-0005-0000-0000-0000C4210000}"/>
    <cellStyle name="Note 3 3 4 2 2 2" xfId="16317" xr:uid="{54976067-D8C9-4686-B288-D20EC07D9162}"/>
    <cellStyle name="Note 3 3 4 2 3" xfId="12099" xr:uid="{45FA6349-1AEB-4C8D-A5A2-C251EA72FD86}"/>
    <cellStyle name="Note 3 3 4 3" xfId="5743" xr:uid="{00000000-0005-0000-0000-0000C5210000}"/>
    <cellStyle name="Note 3 3 4 3 2" xfId="14172" xr:uid="{BD2CCAD0-3418-423D-9995-89B5B29FD1BD}"/>
    <cellStyle name="Note 3 3 4 4" xfId="9954" xr:uid="{F5CAF0CA-BFA5-4979-B89A-7BF0FD33EB76}"/>
    <cellStyle name="Note 3 3 5" xfId="1848" xr:uid="{00000000-0005-0000-0000-0000C6210000}"/>
    <cellStyle name="Note 3 3 5 2" xfId="4077" xr:uid="{00000000-0005-0000-0000-0000C7210000}"/>
    <cellStyle name="Note 3 3 5 2 2" xfId="8301" xr:uid="{00000000-0005-0000-0000-0000C8210000}"/>
    <cellStyle name="Note 3 3 5 2 2 2" xfId="16730" xr:uid="{9869CBD0-3218-4E20-BCB0-15EFCBE73C00}"/>
    <cellStyle name="Note 3 3 5 2 3" xfId="12512" xr:uid="{0EA82096-1102-446C-BDB8-EF3BE095E3DA}"/>
    <cellStyle name="Note 3 3 5 3" xfId="6156" xr:uid="{00000000-0005-0000-0000-0000C9210000}"/>
    <cellStyle name="Note 3 3 5 3 2" xfId="14585" xr:uid="{2D83D43B-9A3A-4234-AA8E-A1293FF93700}"/>
    <cellStyle name="Note 3 3 5 4" xfId="10367" xr:uid="{706B966B-6300-4B76-AC6A-9F5A37F43625}"/>
    <cellStyle name="Note 3 3 6" xfId="2261" xr:uid="{00000000-0005-0000-0000-0000CA210000}"/>
    <cellStyle name="Note 3 3 6 2" xfId="4490" xr:uid="{00000000-0005-0000-0000-0000CB210000}"/>
    <cellStyle name="Note 3 3 6 2 2" xfId="8714" xr:uid="{00000000-0005-0000-0000-0000CC210000}"/>
    <cellStyle name="Note 3 3 6 2 2 2" xfId="17143" xr:uid="{85CE5B89-8A93-4DFD-9A82-91C545EF7270}"/>
    <cellStyle name="Note 3 3 6 2 3" xfId="12925" xr:uid="{B2374C15-4C04-46CE-B44C-EF714A8459DC}"/>
    <cellStyle name="Note 3 3 6 3" xfId="6569" xr:uid="{00000000-0005-0000-0000-0000CD210000}"/>
    <cellStyle name="Note 3 3 6 3 2" xfId="14998" xr:uid="{8B76DE56-EE24-4C55-954B-B824F530B6DE}"/>
    <cellStyle name="Note 3 3 6 4" xfId="10780" xr:uid="{162009F6-78A0-47A7-B784-91802F321DBB}"/>
    <cellStyle name="Note 3 3 7" xfId="2697" xr:uid="{00000000-0005-0000-0000-0000CE210000}"/>
    <cellStyle name="Note 3 3 7 2" xfId="6982" xr:uid="{00000000-0005-0000-0000-0000CF210000}"/>
    <cellStyle name="Note 3 3 7 2 2" xfId="15411" xr:uid="{E3179798-1C96-49D4-B549-B6FDD3E0967F}"/>
    <cellStyle name="Note 3 3 7 3" xfId="11193" xr:uid="{409E5B3A-9AB9-455F-BB8F-C81EC2821D05}"/>
    <cellStyle name="Note 3 3 8" xfId="2756" xr:uid="{00000000-0005-0000-0000-0000D0210000}"/>
    <cellStyle name="Note 3 3 9" xfId="2837" xr:uid="{00000000-0005-0000-0000-0000D1210000}"/>
    <cellStyle name="Note 3 3 9 2" xfId="7062" xr:uid="{00000000-0005-0000-0000-0000D2210000}"/>
    <cellStyle name="Note 3 3 9 2 2" xfId="15491" xr:uid="{20C87E8E-9226-4D4F-89AB-541187B01D95}"/>
    <cellStyle name="Note 3 3 9 3" xfId="11273" xr:uid="{61F5F4CC-C826-40CC-843A-2BF2C57B0191}"/>
    <cellStyle name="Note 3 4" xfId="561" xr:uid="{00000000-0005-0000-0000-0000D3210000}"/>
    <cellStyle name="Note 3 4 10" xfId="9130" xr:uid="{E4314D52-E7B4-46F8-B0BD-C42D3EB56B99}"/>
    <cellStyle name="Note 3 4 2" xfId="1021" xr:uid="{00000000-0005-0000-0000-0000D4210000}"/>
    <cellStyle name="Note 3 4 2 2" xfId="3253" xr:uid="{00000000-0005-0000-0000-0000D5210000}"/>
    <cellStyle name="Note 3 4 2 2 2" xfId="7477" xr:uid="{00000000-0005-0000-0000-0000D6210000}"/>
    <cellStyle name="Note 3 4 2 2 2 2" xfId="15906" xr:uid="{ED18CE4B-C037-4C9F-9051-BC02BF1B9058}"/>
    <cellStyle name="Note 3 4 2 2 3" xfId="11688" xr:uid="{AC125666-478F-42FB-B6CE-C01821BCDA49}"/>
    <cellStyle name="Note 3 4 2 3" xfId="5332" xr:uid="{00000000-0005-0000-0000-0000D7210000}"/>
    <cellStyle name="Note 3 4 2 3 2" xfId="13761" xr:uid="{82C30C63-54E2-4392-8D57-24555BF4C170}"/>
    <cellStyle name="Note 3 4 2 4" xfId="9543" xr:uid="{E28A3B0C-7EA4-4024-B492-3F55177B462E}"/>
    <cellStyle name="Note 3 4 3" xfId="1436" xr:uid="{00000000-0005-0000-0000-0000D8210000}"/>
    <cellStyle name="Note 3 4 3 2" xfId="3666" xr:uid="{00000000-0005-0000-0000-0000D9210000}"/>
    <cellStyle name="Note 3 4 3 2 2" xfId="7890" xr:uid="{00000000-0005-0000-0000-0000DA210000}"/>
    <cellStyle name="Note 3 4 3 2 2 2" xfId="16319" xr:uid="{F334AC39-0127-4D7E-94BA-38E881E18746}"/>
    <cellStyle name="Note 3 4 3 2 3" xfId="12101" xr:uid="{C9EF9E12-EBC8-4C9F-BD87-C0C030E8A14B}"/>
    <cellStyle name="Note 3 4 3 3" xfId="5745" xr:uid="{00000000-0005-0000-0000-0000DB210000}"/>
    <cellStyle name="Note 3 4 3 3 2" xfId="14174" xr:uid="{5DD2EF0D-E98D-4E0F-A3F9-4FB0863AB67C}"/>
    <cellStyle name="Note 3 4 3 4" xfId="9956" xr:uid="{2EA75712-C332-4F00-A097-90C3282B2361}"/>
    <cellStyle name="Note 3 4 4" xfId="1850" xr:uid="{00000000-0005-0000-0000-0000DC210000}"/>
    <cellStyle name="Note 3 4 4 2" xfId="4079" xr:uid="{00000000-0005-0000-0000-0000DD210000}"/>
    <cellStyle name="Note 3 4 4 2 2" xfId="8303" xr:uid="{00000000-0005-0000-0000-0000DE210000}"/>
    <cellStyle name="Note 3 4 4 2 2 2" xfId="16732" xr:uid="{BBE6DA68-8DDD-497A-B08A-71C8FD3CE80B}"/>
    <cellStyle name="Note 3 4 4 2 3" xfId="12514" xr:uid="{9A518029-CECF-4BD3-B259-13B44D6943C6}"/>
    <cellStyle name="Note 3 4 4 3" xfId="6158" xr:uid="{00000000-0005-0000-0000-0000DF210000}"/>
    <cellStyle name="Note 3 4 4 3 2" xfId="14587" xr:uid="{2CF07D0C-905C-4211-9726-6B680A470A06}"/>
    <cellStyle name="Note 3 4 4 4" xfId="10369" xr:uid="{820A578D-EA20-4789-93AC-6BE57E3F4B22}"/>
    <cellStyle name="Note 3 4 5" xfId="2263" xr:uid="{00000000-0005-0000-0000-0000E0210000}"/>
    <cellStyle name="Note 3 4 5 2" xfId="4492" xr:uid="{00000000-0005-0000-0000-0000E1210000}"/>
    <cellStyle name="Note 3 4 5 2 2" xfId="8716" xr:uid="{00000000-0005-0000-0000-0000E2210000}"/>
    <cellStyle name="Note 3 4 5 2 2 2" xfId="17145" xr:uid="{9F78A448-4AB8-4430-87B2-F403F389D588}"/>
    <cellStyle name="Note 3 4 5 2 3" xfId="12927" xr:uid="{15D1F6FE-571C-4954-BA12-34D52DA1A60D}"/>
    <cellStyle name="Note 3 4 5 3" xfId="6571" xr:uid="{00000000-0005-0000-0000-0000E3210000}"/>
    <cellStyle name="Note 3 4 5 3 2" xfId="15000" xr:uid="{0633D5A7-FB32-46CA-8C70-D8EC0B51788A}"/>
    <cellStyle name="Note 3 4 5 4" xfId="10782" xr:uid="{1648CF94-17FC-4DBF-A44A-F6E22684D124}"/>
    <cellStyle name="Note 3 4 6" xfId="2699" xr:uid="{00000000-0005-0000-0000-0000E4210000}"/>
    <cellStyle name="Note 3 4 6 2" xfId="6984" xr:uid="{00000000-0005-0000-0000-0000E5210000}"/>
    <cellStyle name="Note 3 4 6 2 2" xfId="15413" xr:uid="{898ED8EB-D36E-4593-972B-A96B899C68BC}"/>
    <cellStyle name="Note 3 4 6 3" xfId="11195" xr:uid="{56CE4F10-E7AF-4A7D-9522-D3C791EB4D13}"/>
    <cellStyle name="Note 3 4 7" xfId="2758" xr:uid="{00000000-0005-0000-0000-0000E6210000}"/>
    <cellStyle name="Note 3 4 8" xfId="2839" xr:uid="{00000000-0005-0000-0000-0000E7210000}"/>
    <cellStyle name="Note 3 4 8 2" xfId="7064" xr:uid="{00000000-0005-0000-0000-0000E8210000}"/>
    <cellStyle name="Note 3 4 8 2 2" xfId="15493" xr:uid="{602E8FF7-D135-4824-A0C0-E97825E7DA21}"/>
    <cellStyle name="Note 3 4 8 3" xfId="11275" xr:uid="{B23D519E-E156-4AA5-8DF9-33AD1C449A75}"/>
    <cellStyle name="Note 3 4 9" xfId="4919" xr:uid="{00000000-0005-0000-0000-0000E9210000}"/>
    <cellStyle name="Note 3 4 9 2" xfId="13348" xr:uid="{E95AD5D7-8A67-4349-8A85-4B4E4F026F98}"/>
    <cellStyle name="Note 3 5" xfId="562" xr:uid="{00000000-0005-0000-0000-0000EA210000}"/>
    <cellStyle name="Note 3 5 10" xfId="9131" xr:uid="{71D227FC-DCA7-486C-A13F-31A0651104F2}"/>
    <cellStyle name="Note 3 5 2" xfId="1022" xr:uid="{00000000-0005-0000-0000-0000EB210000}"/>
    <cellStyle name="Note 3 5 2 2" xfId="3254" xr:uid="{00000000-0005-0000-0000-0000EC210000}"/>
    <cellStyle name="Note 3 5 2 2 2" xfId="7478" xr:uid="{00000000-0005-0000-0000-0000ED210000}"/>
    <cellStyle name="Note 3 5 2 2 2 2" xfId="15907" xr:uid="{02E33E87-3E1F-46EA-BF2D-D4AA8A2B6028}"/>
    <cellStyle name="Note 3 5 2 2 3" xfId="11689" xr:uid="{C810EA92-B14F-4B50-8760-DE241A4ACA44}"/>
    <cellStyle name="Note 3 5 2 3" xfId="5333" xr:uid="{00000000-0005-0000-0000-0000EE210000}"/>
    <cellStyle name="Note 3 5 2 3 2" xfId="13762" xr:uid="{9D01A9D3-996B-4A99-8F9C-B843702DA9C6}"/>
    <cellStyle name="Note 3 5 2 4" xfId="9544" xr:uid="{2A5D52FD-7093-485D-9158-3531230798BE}"/>
    <cellStyle name="Note 3 5 3" xfId="1437" xr:uid="{00000000-0005-0000-0000-0000EF210000}"/>
    <cellStyle name="Note 3 5 3 2" xfId="3667" xr:uid="{00000000-0005-0000-0000-0000F0210000}"/>
    <cellStyle name="Note 3 5 3 2 2" xfId="7891" xr:uid="{00000000-0005-0000-0000-0000F1210000}"/>
    <cellStyle name="Note 3 5 3 2 2 2" xfId="16320" xr:uid="{4F2A1C5A-0A15-433D-9626-F325656F5BF8}"/>
    <cellStyle name="Note 3 5 3 2 3" xfId="12102" xr:uid="{3B232D63-7D31-4B30-BA30-D381817035FA}"/>
    <cellStyle name="Note 3 5 3 3" xfId="5746" xr:uid="{00000000-0005-0000-0000-0000F2210000}"/>
    <cellStyle name="Note 3 5 3 3 2" xfId="14175" xr:uid="{5440B2D9-FEA4-435B-A3B4-70FEB141EBAB}"/>
    <cellStyle name="Note 3 5 3 4" xfId="9957" xr:uid="{61D2586F-5F96-47EF-86D8-5F9F5586A266}"/>
    <cellStyle name="Note 3 5 4" xfId="1851" xr:uid="{00000000-0005-0000-0000-0000F3210000}"/>
    <cellStyle name="Note 3 5 4 2" xfId="4080" xr:uid="{00000000-0005-0000-0000-0000F4210000}"/>
    <cellStyle name="Note 3 5 4 2 2" xfId="8304" xr:uid="{00000000-0005-0000-0000-0000F5210000}"/>
    <cellStyle name="Note 3 5 4 2 2 2" xfId="16733" xr:uid="{338850CB-3BBA-4FBB-BDFF-4B103679CE45}"/>
    <cellStyle name="Note 3 5 4 2 3" xfId="12515" xr:uid="{D949EEBA-38B3-4FA7-B34C-15A4628A0544}"/>
    <cellStyle name="Note 3 5 4 3" xfId="6159" xr:uid="{00000000-0005-0000-0000-0000F6210000}"/>
    <cellStyle name="Note 3 5 4 3 2" xfId="14588" xr:uid="{50D98D8A-F072-4469-A5DE-70130A4D9F9E}"/>
    <cellStyle name="Note 3 5 4 4" xfId="10370" xr:uid="{5D82185B-93FD-4821-90FB-4C0A475A30B2}"/>
    <cellStyle name="Note 3 5 5" xfId="2264" xr:uid="{00000000-0005-0000-0000-0000F7210000}"/>
    <cellStyle name="Note 3 5 5 2" xfId="4493" xr:uid="{00000000-0005-0000-0000-0000F8210000}"/>
    <cellStyle name="Note 3 5 5 2 2" xfId="8717" xr:uid="{00000000-0005-0000-0000-0000F9210000}"/>
    <cellStyle name="Note 3 5 5 2 2 2" xfId="17146" xr:uid="{4D658A3F-35E6-4E41-A9A6-7E2BD484E9FA}"/>
    <cellStyle name="Note 3 5 5 2 3" xfId="12928" xr:uid="{F039D5F0-7C8A-4D18-BD29-B7F56E96450C}"/>
    <cellStyle name="Note 3 5 5 3" xfId="6572" xr:uid="{00000000-0005-0000-0000-0000FA210000}"/>
    <cellStyle name="Note 3 5 5 3 2" xfId="15001" xr:uid="{83344007-0F7A-47AA-B130-96BEBE1A21A0}"/>
    <cellStyle name="Note 3 5 5 4" xfId="10783" xr:uid="{ABF3FC92-CD7C-4C1C-8083-476D5C8C235B}"/>
    <cellStyle name="Note 3 5 6" xfId="2700" xr:uid="{00000000-0005-0000-0000-0000FB210000}"/>
    <cellStyle name="Note 3 5 6 2" xfId="6985" xr:uid="{00000000-0005-0000-0000-0000FC210000}"/>
    <cellStyle name="Note 3 5 6 2 2" xfId="15414" xr:uid="{086579E1-245F-456F-9B23-AF18BAA36420}"/>
    <cellStyle name="Note 3 5 6 3" xfId="11196" xr:uid="{1E8BA432-AA5E-4C9D-9A12-1B8883CF1FE7}"/>
    <cellStyle name="Note 3 5 7" xfId="2759" xr:uid="{00000000-0005-0000-0000-0000FD210000}"/>
    <cellStyle name="Note 3 5 8" xfId="2840" xr:uid="{00000000-0005-0000-0000-0000FE210000}"/>
    <cellStyle name="Note 3 5 8 2" xfId="7065" xr:uid="{00000000-0005-0000-0000-0000FF210000}"/>
    <cellStyle name="Note 3 5 8 2 2" xfId="15494" xr:uid="{08C22E30-A98F-4B5F-A913-853FF1FBF4F8}"/>
    <cellStyle name="Note 3 5 8 3" xfId="11276" xr:uid="{9B899AE2-B0FE-4BC0-B03C-B6C8BA67C84E}"/>
    <cellStyle name="Note 3 5 9" xfId="4920" xr:uid="{00000000-0005-0000-0000-000000220000}"/>
    <cellStyle name="Note 3 5 9 2" xfId="13349" xr:uid="{B84CA71C-D099-4B8E-8B05-5BAF18CD1548}"/>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3 2" xfId="12932" xr:uid="{A67EBB36-7D6B-4530-B7C3-C1684A653394}"/>
    <cellStyle name="Percent 4" xfId="4503" xr:uid="{00000000-0005-0000-0000-000006220000}"/>
    <cellStyle name="Percent 4 2" xfId="12935" xr:uid="{9921A2BA-8E65-440C-B157-284C7B5678E3}"/>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70" t="s">
        <v>582</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 thickTop="1"/>
    <row r="4" spans="1:38" s="8" customFormat="1" ht="13">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2" t="s">
        <v>1389</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ht="13">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ht="13">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72" t="s">
        <v>1393</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ht="13">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ht="13">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15" customHeight="1">
      <c r="A14" s="327"/>
      <c r="B14" s="325"/>
      <c r="C14" s="326"/>
      <c r="E14" s="1858" t="s">
        <v>2169</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6"/>
    </row>
    <row r="15" spans="1:38" s="717" customFormat="1" ht="13.15"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6"/>
    </row>
    <row r="16" spans="1:38" s="717" customFormat="1" ht="13">
      <c r="A16" s="327"/>
      <c r="B16" s="325"/>
      <c r="C16" s="326"/>
      <c r="D16" s="746"/>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58" t="s">
        <v>1521</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ht="13">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7" customFormat="1" ht="13">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7" customFormat="1" ht="13.15"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7" customFormat="1" ht="13">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7" customFormat="1" ht="13">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ht="13">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7" customFormat="1" ht="13">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7" customFormat="1" ht="13">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7" customFormat="1" ht="11.9"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7" customFormat="1" ht="13.15" customHeight="1">
      <c r="A28" s="327"/>
      <c r="B28" s="325"/>
      <c r="C28" s="326"/>
      <c r="E28" s="1858" t="s">
        <v>2170</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7" customFormat="1" ht="13.15"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7" customFormat="1" ht="13">
      <c r="A30" s="327"/>
      <c r="B30" s="325"/>
      <c r="C30" s="326"/>
      <c r="D30" s="746"/>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0" t="s">
        <v>1394</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7" customFormat="1" ht="13">
      <c r="A33" s="327"/>
      <c r="B33" s="325"/>
      <c r="C33" s="326"/>
      <c r="D33" s="746"/>
      <c r="E33" s="1859" t="s">
        <v>2409</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ht="13">
      <c r="A34" s="149"/>
      <c r="C34" s="5"/>
    </row>
    <row r="35" spans="1:38">
      <c r="A35" s="149"/>
      <c r="D35" s="1873" t="s">
        <v>2410</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ht="13">
      <c r="A37" s="149"/>
      <c r="D37" s="250"/>
      <c r="E37" s="1866" t="s">
        <v>1093</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ht="13">
      <c r="A38" s="149"/>
      <c r="D38" s="250"/>
      <c r="E38" s="1866" t="s">
        <v>1392</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15" customHeight="1">
      <c r="A42" s="149"/>
      <c r="B42"/>
      <c r="C42" s="5"/>
      <c r="D42" s="149"/>
      <c r="E42" s="149" t="s">
        <v>689</v>
      </c>
      <c r="F42" s="1858" t="s">
        <v>1359</v>
      </c>
    </row>
    <row r="43" spans="1:38" s="1858" customFormat="1" ht="13.15" customHeight="1">
      <c r="A43" s="149"/>
      <c r="B43" s="717"/>
      <c r="C43" s="5"/>
      <c r="D43" s="149"/>
      <c r="E43" s="149"/>
    </row>
    <row r="44" spans="1:38" ht="13">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65" t="s">
        <v>1473</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ht="13">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15" customHeight="1">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ht="13">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359</v>
      </c>
      <c r="F50" s="1858" t="s">
        <v>1474</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ht="13">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ht="13">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3" t="s">
        <v>1395</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63" t="s">
        <v>609</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64" t="s">
        <v>1475</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ht="13">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ht="13">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724</v>
      </c>
      <c r="G66" s="1858" t="s">
        <v>1361</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ht="13">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ht="13">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15" customHeight="1">
      <c r="A69" s="149"/>
      <c r="C69" s="5"/>
      <c r="D69" s="149"/>
      <c r="E69" s="149"/>
      <c r="F69" s="9" t="s">
        <v>541</v>
      </c>
      <c r="G69" s="1858" t="s">
        <v>1362</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ht="13">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ht="13">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724</v>
      </c>
      <c r="G72" s="1858" t="s">
        <v>1363</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ht="13">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ht="13">
      <c r="A74" s="149"/>
      <c r="C74" s="5"/>
      <c r="D74" s="149"/>
      <c r="E74" s="149"/>
      <c r="F74" s="249" t="s">
        <v>541</v>
      </c>
      <c r="G74" s="1858" t="s">
        <v>1364</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ht="13">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ht="13">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58" t="s">
        <v>1365</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ht="13">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7" customFormat="1" ht="13">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ht="13">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58" t="s">
        <v>1366</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ht="13">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ht="13">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ht="13">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61" t="s">
        <v>1367</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ht="13">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ht="13">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ht="13">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58" t="s">
        <v>1368</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ht="13">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ht="13">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58" t="s">
        <v>1369</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ht="13">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ht="13">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ht="13">
      <c r="A100" s="149"/>
      <c r="C100" s="2"/>
      <c r="D100" s="491"/>
      <c r="E100" s="1862" t="s">
        <v>1370</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ht="13">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1388</v>
      </c>
      <c r="F106" s="5"/>
      <c r="G106" s="5"/>
      <c r="H106" s="5"/>
      <c r="I106" s="5"/>
      <c r="J106" s="5"/>
      <c r="K106" s="5"/>
      <c r="L106" s="5"/>
      <c r="M106" s="5"/>
    </row>
    <row r="107" spans="1:38" ht="13">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
      <c r="F119" s="149" t="s">
        <v>1122</v>
      </c>
      <c r="G119" s="149"/>
    </row>
    <row r="120" spans="1:38" ht="13">
      <c r="F120" s="153" t="s">
        <v>1387</v>
      </c>
      <c r="G120" s="153"/>
    </row>
    <row r="121" spans="1:38" ht="13">
      <c r="G121" s="153"/>
    </row>
    <row r="122" spans="1:38">
      <c r="E122" s="149" t="s">
        <v>820</v>
      </c>
      <c r="F122" s="152" t="s">
        <v>396</v>
      </c>
    </row>
    <row r="123" spans="1:38">
      <c r="E123" s="149"/>
      <c r="F123" s="149" t="s">
        <v>1113</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998</v>
      </c>
      <c r="F127" s="149"/>
    </row>
    <row r="128" spans="1:38"/>
    <row r="129" spans="4:37" ht="13">
      <c r="D129" s="5" t="s">
        <v>351</v>
      </c>
      <c r="E129" s="5" t="s">
        <v>611</v>
      </c>
    </row>
    <row r="130" spans="4:37">
      <c r="E130" s="149" t="s">
        <v>998</v>
      </c>
      <c r="F130" s="149"/>
    </row>
    <row r="131" spans="4:37"/>
    <row r="132" spans="4:37" ht="13">
      <c r="D132" s="5" t="s">
        <v>608</v>
      </c>
      <c r="E132" s="5" t="s">
        <v>764</v>
      </c>
      <c r="G132" s="5"/>
      <c r="H132" s="5"/>
      <c r="I132" s="5"/>
      <c r="J132" s="5"/>
      <c r="K132" s="5"/>
      <c r="L132" s="5"/>
      <c r="M132" s="5"/>
      <c r="N132" s="5"/>
    </row>
    <row r="133" spans="4:37" s="717" customFormat="1" ht="13">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546</v>
      </c>
      <c r="E137" s="5" t="s">
        <v>549</v>
      </c>
      <c r="F137" s="5"/>
    </row>
    <row r="138" spans="4:37">
      <c r="E138" s="883" t="s">
        <v>1422</v>
      </c>
      <c r="F138" s="149"/>
    </row>
    <row r="139" spans="4:37">
      <c r="F139" s="149"/>
    </row>
    <row r="140" spans="4:37" ht="13">
      <c r="D140" s="5" t="s">
        <v>311</v>
      </c>
      <c r="E140" s="5" t="s">
        <v>977</v>
      </c>
      <c r="F140" s="5"/>
      <c r="G140" s="5"/>
      <c r="H140" s="5"/>
    </row>
    <row r="141" spans="4:37">
      <c r="E141" t="s">
        <v>117</v>
      </c>
      <c r="F141" t="s">
        <v>55</v>
      </c>
    </row>
    <row r="142" spans="4:37">
      <c r="E142" t="s">
        <v>118</v>
      </c>
      <c r="F142" t="s">
        <v>498</v>
      </c>
    </row>
    <row r="143" spans="4:37"/>
    <row r="144" spans="4:37" ht="13">
      <c r="D144" s="5" t="s">
        <v>450</v>
      </c>
      <c r="E144" s="5" t="s">
        <v>1000</v>
      </c>
    </row>
    <row r="145" spans="3:7">
      <c r="E145" s="327" t="s">
        <v>1001</v>
      </c>
      <c r="F145" s="327"/>
    </row>
    <row r="146" spans="3:7"/>
    <row r="147" spans="3:7" ht="13">
      <c r="C147" s="5" t="s">
        <v>6</v>
      </c>
      <c r="G147" s="5" t="s">
        <v>398</v>
      </c>
    </row>
    <row r="148" spans="3:7" ht="13">
      <c r="D148" s="183" t="s">
        <v>213</v>
      </c>
      <c r="E148" s="183" t="s">
        <v>140</v>
      </c>
    </row>
    <row r="149" spans="3:7">
      <c r="D149" s="2"/>
      <c r="E149" t="s">
        <v>854</v>
      </c>
    </row>
    <row r="150" spans="3:7">
      <c r="D150" s="2"/>
      <c r="E150" s="2"/>
    </row>
    <row r="151" spans="3:7" ht="13">
      <c r="D151" s="183" t="s">
        <v>351</v>
      </c>
      <c r="E151" s="183" t="s">
        <v>556</v>
      </c>
      <c r="F151" s="5"/>
    </row>
    <row r="152" spans="3:7">
      <c r="D152" s="2"/>
      <c r="E152" s="149" t="s">
        <v>1002</v>
      </c>
      <c r="F152" s="149"/>
    </row>
    <row r="153" spans="3:7">
      <c r="D153" s="2"/>
      <c r="E153" s="2"/>
    </row>
    <row r="154" spans="3:7" ht="13">
      <c r="D154" s="183" t="s">
        <v>608</v>
      </c>
      <c r="E154" s="183" t="s">
        <v>585</v>
      </c>
    </row>
    <row r="155" spans="3:7">
      <c r="D155" s="2"/>
      <c r="E155" s="149" t="s">
        <v>1003</v>
      </c>
    </row>
    <row r="156" spans="3:7">
      <c r="D156" s="2"/>
      <c r="E156" s="149" t="s">
        <v>999</v>
      </c>
      <c r="G156" s="149"/>
    </row>
    <row r="157" spans="3:7">
      <c r="D157" s="2"/>
      <c r="E157" s="2"/>
    </row>
    <row r="158" spans="3:7" ht="13">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
      <c r="D163" s="183" t="s">
        <v>311</v>
      </c>
      <c r="E163" s="183" t="s">
        <v>399</v>
      </c>
    </row>
    <row r="164" spans="3:20">
      <c r="D164" s="2"/>
      <c r="E164" s="149" t="s">
        <v>1006</v>
      </c>
      <c r="F164" s="149"/>
    </row>
    <row r="165" spans="3:20">
      <c r="D165" s="2"/>
      <c r="E165" s="2"/>
    </row>
    <row r="166" spans="3:20" ht="13">
      <c r="D166" s="183" t="s">
        <v>450</v>
      </c>
      <c r="E166" s="183" t="s">
        <v>177</v>
      </c>
    </row>
    <row r="167" spans="3:20">
      <c r="D167" s="2"/>
      <c r="E167" s="149" t="s">
        <v>1008</v>
      </c>
    </row>
    <row r="168" spans="3:20">
      <c r="D168" s="2"/>
      <c r="E168" s="149" t="s">
        <v>1007</v>
      </c>
    </row>
    <row r="169" spans="3:20">
      <c r="D169" s="2"/>
      <c r="E169" s="2"/>
    </row>
    <row r="170" spans="3:20" ht="13">
      <c r="D170" s="183" t="s">
        <v>589</v>
      </c>
      <c r="E170" s="183" t="s">
        <v>656</v>
      </c>
    </row>
    <row r="171" spans="3:20">
      <c r="D171" s="2"/>
      <c r="E171" s="2" t="s">
        <v>117</v>
      </c>
      <c r="F171" t="s">
        <v>766</v>
      </c>
    </row>
    <row r="172" spans="3:20">
      <c r="E172" s="2" t="s">
        <v>118</v>
      </c>
      <c r="F172" t="s">
        <v>305</v>
      </c>
    </row>
    <row r="173" spans="3:20">
      <c r="F173" s="149"/>
    </row>
    <row r="174" spans="3:20" ht="13">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611</v>
      </c>
    </row>
    <row r="178" spans="2:19" ht="13">
      <c r="D178" s="5" t="s">
        <v>213</v>
      </c>
      <c r="E178" s="5" t="s">
        <v>306</v>
      </c>
      <c r="G178" s="149"/>
      <c r="H178" s="149"/>
      <c r="I178" s="149"/>
      <c r="J178" s="149"/>
      <c r="K178" s="149"/>
      <c r="L178" s="149"/>
      <c r="M178" s="149"/>
      <c r="N178" s="149"/>
    </row>
    <row r="179" spans="2:19">
      <c r="E179" t="s">
        <v>117</v>
      </c>
      <c r="F179" s="149" t="s">
        <v>1009</v>
      </c>
    </row>
    <row r="180" spans="2:19" ht="13">
      <c r="F180" s="184" t="s">
        <v>1339</v>
      </c>
      <c r="I180" s="184"/>
    </row>
    <row r="181" spans="2:19" ht="13">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
      <c r="D185" s="5" t="s">
        <v>351</v>
      </c>
      <c r="E185" s="50" t="s">
        <v>1114</v>
      </c>
    </row>
    <row r="186" spans="2:19">
      <c r="B186" s="149"/>
      <c r="C186" s="149"/>
      <c r="E186" s="149" t="s">
        <v>749</v>
      </c>
      <c r="F186" s="149"/>
      <c r="I186" s="149"/>
    </row>
    <row r="187" spans="2:19" ht="13">
      <c r="B187" s="149"/>
      <c r="C187" s="149"/>
      <c r="E187" s="149" t="s">
        <v>1112</v>
      </c>
      <c r="F187" s="184"/>
      <c r="G187" s="149"/>
      <c r="I187" s="184"/>
    </row>
    <row r="188" spans="2:19" ht="13">
      <c r="B188" s="149"/>
      <c r="C188" s="149"/>
      <c r="F188" s="184"/>
      <c r="G188" s="149"/>
      <c r="I188" s="184"/>
    </row>
    <row r="189" spans="2:19" ht="13">
      <c r="B189" s="149"/>
      <c r="C189" s="149"/>
      <c r="D189" s="5" t="s">
        <v>608</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546</v>
      </c>
      <c r="E192" s="5" t="s">
        <v>116</v>
      </c>
    </row>
    <row r="193" spans="2:37" ht="13">
      <c r="B193" s="149"/>
      <c r="C193" s="5"/>
      <c r="E193" t="s">
        <v>117</v>
      </c>
      <c r="F193" s="149" t="s">
        <v>1123</v>
      </c>
      <c r="G193" s="149"/>
      <c r="H193" s="149"/>
      <c r="I193" s="149"/>
    </row>
    <row r="194" spans="2:37" ht="13">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1012</v>
      </c>
      <c r="M202" s="149"/>
      <c r="N202" s="149"/>
      <c r="O202" s="149"/>
      <c r="P202" s="149"/>
      <c r="Q202" s="149"/>
      <c r="R202" s="149"/>
      <c r="S202" s="149"/>
    </row>
    <row r="203" spans="2:37" ht="13">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615</v>
      </c>
      <c r="F206" s="149" t="s">
        <v>1014</v>
      </c>
      <c r="M206" s="149"/>
      <c r="N206" s="149"/>
      <c r="O206" s="149"/>
      <c r="P206" s="149"/>
      <c r="Q206" s="149"/>
      <c r="R206" s="149"/>
      <c r="S206" s="149"/>
    </row>
    <row r="207" spans="2:37" ht="13">
      <c r="B207" s="149"/>
      <c r="C207" s="149"/>
      <c r="D207" s="5"/>
      <c r="F207" t="s">
        <v>689</v>
      </c>
      <c r="G207" s="1858" t="s">
        <v>1371</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ht="13">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ht="13">
      <c r="B209" s="149"/>
      <c r="C209" s="149"/>
      <c r="D209" s="5"/>
      <c r="M209" s="149"/>
      <c r="N209" s="149"/>
      <c r="O209" s="149"/>
      <c r="P209" s="149"/>
      <c r="Q209" s="149"/>
      <c r="R209" s="149"/>
      <c r="S209" s="149"/>
    </row>
    <row r="210" spans="1:38" ht="13">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482</v>
      </c>
      <c r="I225" s="149"/>
      <c r="J225" s="149"/>
      <c r="K225" s="149"/>
      <c r="M225" s="149"/>
      <c r="N225" s="149"/>
      <c r="O225" s="149"/>
      <c r="P225" s="149"/>
      <c r="Q225" s="149"/>
      <c r="R225" s="149"/>
      <c r="S225" s="149"/>
    </row>
    <row r="226" spans="2:19" ht="13">
      <c r="B226" s="5"/>
      <c r="E226" s="149" t="s">
        <v>117</v>
      </c>
      <c r="F226" s="149" t="s">
        <v>756</v>
      </c>
      <c r="G226" s="149"/>
      <c r="I226" s="149"/>
      <c r="J226" s="149"/>
      <c r="K226" s="149"/>
      <c r="L226" s="149"/>
      <c r="M226" s="149"/>
      <c r="N226" s="149"/>
      <c r="O226" s="149"/>
      <c r="P226" s="149"/>
      <c r="Q226" s="149"/>
      <c r="R226" s="149"/>
      <c r="S226" s="149"/>
    </row>
    <row r="227" spans="2:19" ht="13">
      <c r="B227" s="5"/>
      <c r="E227" s="149" t="s">
        <v>118</v>
      </c>
      <c r="F227" s="149" t="s">
        <v>716</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757</v>
      </c>
      <c r="G230" s="149"/>
      <c r="I230" s="149"/>
      <c r="J230" s="149"/>
      <c r="K230" s="149"/>
      <c r="L230" s="149"/>
      <c r="M230" s="149"/>
      <c r="N230" s="149"/>
      <c r="O230" s="149"/>
      <c r="P230" s="149"/>
      <c r="Q230" s="149"/>
      <c r="R230" s="149"/>
      <c r="S230" s="149"/>
    </row>
    <row r="231" spans="2:19" ht="13">
      <c r="B231" s="5"/>
      <c r="E231" s="149"/>
      <c r="F231" s="149" t="s">
        <v>758</v>
      </c>
      <c r="G231" s="149"/>
      <c r="H231" s="149"/>
      <c r="I231" s="149"/>
      <c r="J231" s="149"/>
      <c r="K231" s="149"/>
      <c r="L231" s="149"/>
      <c r="M231" s="149"/>
      <c r="N231" s="149"/>
      <c r="O231" s="149"/>
      <c r="P231" s="149"/>
      <c r="Q231" s="149"/>
      <c r="R231" s="149"/>
      <c r="S231" s="149"/>
    </row>
    <row r="232" spans="2:19" ht="13">
      <c r="B232" s="5"/>
      <c r="D232" s="149"/>
      <c r="E232" s="149" t="s">
        <v>118</v>
      </c>
      <c r="F232" s="149" t="s">
        <v>716</v>
      </c>
      <c r="G232" s="149"/>
      <c r="I232" s="149"/>
      <c r="J232" s="149"/>
      <c r="K232" s="149"/>
      <c r="L232" s="149"/>
      <c r="M232" s="149"/>
      <c r="N232" s="149"/>
      <c r="O232" s="149"/>
      <c r="P232" s="149"/>
      <c r="Q232" s="149"/>
      <c r="R232" s="149"/>
      <c r="S232" s="149"/>
    </row>
    <row r="233" spans="2:19" ht="13">
      <c r="B233" s="5"/>
      <c r="E233" s="149" t="s">
        <v>124</v>
      </c>
      <c r="F233" s="152" t="s">
        <v>1029</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689</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1340</v>
      </c>
      <c r="G253" s="149"/>
      <c r="I253" s="184"/>
      <c r="J253" s="149"/>
      <c r="K253" s="149"/>
      <c r="L253" s="149"/>
      <c r="M253" s="149"/>
      <c r="N253" s="149"/>
      <c r="O253" s="149"/>
      <c r="P253" s="149"/>
      <c r="Q253" s="149"/>
      <c r="R253" s="149"/>
      <c r="S253" s="149"/>
      <c r="T253" s="149"/>
      <c r="U253" s="149"/>
    </row>
    <row r="254" spans="2:21" ht="13">
      <c r="B254" s="5"/>
      <c r="C254" s="5"/>
      <c r="E254" s="149" t="s">
        <v>118</v>
      </c>
      <c r="F254" s="149" t="s">
        <v>1015</v>
      </c>
      <c r="I254" s="149"/>
      <c r="J254" s="149"/>
      <c r="K254" s="149"/>
      <c r="L254" s="149"/>
      <c r="M254" s="149"/>
      <c r="N254" s="149"/>
      <c r="O254" s="149"/>
      <c r="P254" s="149"/>
      <c r="Q254" s="149"/>
      <c r="R254" s="149"/>
      <c r="S254" s="149"/>
      <c r="T254" s="149"/>
      <c r="U254" s="149"/>
    </row>
    <row r="255" spans="2:21" ht="13">
      <c r="B255" s="5"/>
      <c r="C255" s="5"/>
      <c r="E255" s="149"/>
      <c r="F255" s="327" t="s">
        <v>689</v>
      </c>
      <c r="G255" s="327" t="s">
        <v>870</v>
      </c>
      <c r="I255" s="6"/>
      <c r="K255" s="155"/>
      <c r="L255" s="155"/>
      <c r="M255" s="155"/>
      <c r="N255" s="155"/>
      <c r="O255" s="155"/>
      <c r="P255" s="1"/>
      <c r="Q255" s="149"/>
      <c r="R255" s="149"/>
      <c r="S255" s="149"/>
      <c r="T255" s="149"/>
      <c r="U255" s="149"/>
    </row>
    <row r="256" spans="2:21" ht="13">
      <c r="B256" s="5"/>
      <c r="C256" s="5"/>
      <c r="E256" s="149"/>
      <c r="F256" s="325"/>
      <c r="G256" s="327" t="s">
        <v>871</v>
      </c>
      <c r="I256" s="6"/>
      <c r="K256" s="155"/>
      <c r="L256" s="155"/>
      <c r="M256" s="155"/>
      <c r="N256" s="155"/>
      <c r="O256" s="155"/>
      <c r="P256" s="155"/>
    </row>
    <row r="257" spans="2:21" ht="13">
      <c r="B257" s="5"/>
      <c r="C257" s="5"/>
      <c r="E257" s="149"/>
      <c r="F257" s="325" t="s">
        <v>358</v>
      </c>
      <c r="G257" s="327" t="s">
        <v>1021</v>
      </c>
      <c r="I257" s="149"/>
      <c r="K257" s="149"/>
      <c r="L257" s="149"/>
      <c r="M257" s="149"/>
      <c r="N257" s="149"/>
      <c r="O257" s="149"/>
      <c r="P257" s="155"/>
      <c r="Q257" s="1"/>
      <c r="R257" s="1"/>
      <c r="S257" s="1"/>
      <c r="T257" s="1"/>
      <c r="U257" s="1"/>
    </row>
    <row r="258" spans="2:21" ht="13">
      <c r="B258" s="5"/>
      <c r="C258" s="5"/>
      <c r="E258" s="149"/>
      <c r="F258" s="325"/>
      <c r="G258" s="327" t="s">
        <v>932</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861</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862</v>
      </c>
      <c r="I264" s="149"/>
      <c r="J264" s="149"/>
      <c r="K264" s="149"/>
      <c r="L264" s="149"/>
      <c r="M264" s="149"/>
      <c r="N264" s="149"/>
      <c r="O264" s="149"/>
      <c r="P264" s="149"/>
      <c r="Q264" s="149"/>
      <c r="R264" s="149"/>
      <c r="S264" s="149"/>
    </row>
    <row r="265" spans="2:21" ht="13">
      <c r="B265" s="5"/>
      <c r="C265" s="5"/>
      <c r="E265" s="149" t="s">
        <v>615</v>
      </c>
      <c r="F265" s="327" t="s">
        <v>872</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1125</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608</v>
      </c>
      <c r="E270" s="5" t="s">
        <v>295</v>
      </c>
      <c r="G270" s="149"/>
    </row>
    <row r="271" spans="2:21" ht="13">
      <c r="B271" s="5"/>
      <c r="C271" s="5"/>
      <c r="E271" s="149" t="s">
        <v>261</v>
      </c>
      <c r="F271" s="149"/>
      <c r="G271" s="149"/>
      <c r="J271" s="149"/>
      <c r="K271" s="149"/>
      <c r="L271" s="149"/>
      <c r="M271" s="149"/>
      <c r="N271" s="149"/>
    </row>
    <row r="272" spans="2:21" ht="13">
      <c r="B272" s="5"/>
      <c r="C272" s="5"/>
      <c r="E272" s="149" t="s">
        <v>1022</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546</v>
      </c>
      <c r="E274" s="5" t="s">
        <v>646</v>
      </c>
      <c r="G274" s="149"/>
      <c r="H274" s="149"/>
      <c r="J274" s="149"/>
      <c r="K274" s="149"/>
      <c r="L274" s="149"/>
      <c r="M274" s="149"/>
      <c r="N274" s="149"/>
      <c r="O274" s="149"/>
      <c r="P274" s="149"/>
      <c r="Q274" s="149"/>
      <c r="R274" s="149"/>
      <c r="S274" s="149"/>
      <c r="T274" s="149"/>
      <c r="U274" s="149"/>
    </row>
    <row r="275" spans="2:21" ht="13">
      <c r="B275" s="5"/>
      <c r="D275" s="149"/>
      <c r="E275" s="149" t="s">
        <v>1117</v>
      </c>
      <c r="J275" s="149"/>
      <c r="K275" s="149"/>
      <c r="L275" s="149"/>
      <c r="M275" s="149"/>
      <c r="N275" s="149"/>
      <c r="O275" s="149"/>
      <c r="P275" s="149"/>
      <c r="Q275" s="149"/>
      <c r="R275" s="149"/>
      <c r="S275" s="149"/>
      <c r="T275" s="149"/>
      <c r="U275" s="149"/>
    </row>
    <row r="276" spans="2:21" ht="13">
      <c r="B276" s="5"/>
      <c r="D276" s="149"/>
      <c r="E276" s="149" t="s">
        <v>1016</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1023</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1024</v>
      </c>
      <c r="F285" s="184"/>
      <c r="G285" s="149"/>
      <c r="H285" s="184"/>
      <c r="I285" s="184"/>
      <c r="J285" s="149"/>
      <c r="K285" s="149"/>
      <c r="L285" s="149"/>
      <c r="M285" s="149"/>
      <c r="P285" s="149"/>
      <c r="Q285" s="149"/>
      <c r="R285" s="149"/>
      <c r="S285" s="149"/>
    </row>
    <row r="286" spans="2:21" ht="13">
      <c r="B286" s="5"/>
      <c r="D286" s="5"/>
      <c r="E286" s="737" t="s">
        <v>931</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589</v>
      </c>
      <c r="E288" s="5" t="s">
        <v>590</v>
      </c>
      <c r="K288" s="149"/>
      <c r="L288" s="149"/>
      <c r="M288" s="149"/>
      <c r="N288" s="149"/>
    </row>
    <row r="289" spans="2:38" ht="13">
      <c r="B289" s="5"/>
      <c r="D289" s="149"/>
      <c r="E289" s="149" t="s">
        <v>117</v>
      </c>
      <c r="F289" s="149" t="s">
        <v>591</v>
      </c>
      <c r="G289" s="149"/>
      <c r="O289" s="149"/>
      <c r="P289" s="149"/>
      <c r="Q289" s="149"/>
      <c r="R289" s="149"/>
      <c r="S289" s="149"/>
      <c r="T289" s="149"/>
      <c r="U289" s="149"/>
      <c r="V289" s="149"/>
      <c r="W289" s="149"/>
    </row>
    <row r="290" spans="2:38" ht="13">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592</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689</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593</v>
      </c>
      <c r="K295" s="149"/>
      <c r="L295" s="149"/>
      <c r="M295" s="149"/>
      <c r="N295" s="149"/>
      <c r="O295" s="149"/>
      <c r="P295" s="149"/>
      <c r="Q295" s="149"/>
      <c r="R295" s="149"/>
      <c r="S295" s="149"/>
      <c r="T295" s="149"/>
      <c r="U295" s="149"/>
      <c r="V295" s="149"/>
      <c r="W295" s="149"/>
    </row>
    <row r="296" spans="2:38" ht="13">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1025</v>
      </c>
      <c r="F306" s="149"/>
      <c r="K306" s="149"/>
      <c r="L306" s="149"/>
      <c r="M306" s="149"/>
      <c r="N306" s="149"/>
      <c r="O306" s="149"/>
      <c r="P306" s="149"/>
      <c r="Q306" s="149"/>
      <c r="R306" s="149"/>
      <c r="S306" s="149"/>
      <c r="T306" s="149"/>
      <c r="U306" s="149"/>
      <c r="V306" s="149"/>
      <c r="W306" s="149"/>
    </row>
    <row r="307" spans="2:23" ht="13">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648</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856</v>
      </c>
      <c r="F312" s="149"/>
      <c r="G312" s="149"/>
      <c r="I312" s="149"/>
      <c r="K312" s="149"/>
    </row>
    <row r="313" spans="2:23" ht="13">
      <c r="B313" s="5"/>
      <c r="D313" s="5"/>
      <c r="E313" s="149" t="s">
        <v>1026</v>
      </c>
      <c r="F313" s="149"/>
      <c r="G313" s="149"/>
      <c r="I313" s="149"/>
      <c r="K313" s="149"/>
    </row>
    <row r="314" spans="2:23" ht="13">
      <c r="B314" s="5"/>
      <c r="D314" s="5"/>
      <c r="E314" s="149" t="s">
        <v>857</v>
      </c>
      <c r="F314" s="149"/>
      <c r="G314" s="149"/>
      <c r="I314" s="149"/>
      <c r="K314" s="149"/>
    </row>
    <row r="315" spans="2:23" ht="13">
      <c r="B315" s="5"/>
      <c r="D315" s="5"/>
      <c r="G315" s="149"/>
      <c r="I315" s="149"/>
      <c r="K315" s="149"/>
    </row>
    <row r="316" spans="2:23" ht="13">
      <c r="B316" s="5"/>
      <c r="D316" s="5" t="s">
        <v>351</v>
      </c>
      <c r="E316" s="5" t="s">
        <v>791</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608</v>
      </c>
      <c r="E319" s="252" t="s">
        <v>775</v>
      </c>
      <c r="F319" s="22"/>
      <c r="G319" s="149"/>
      <c r="H319" s="149"/>
      <c r="I319" s="149"/>
      <c r="J319" s="149"/>
      <c r="K319" s="149"/>
      <c r="L319" s="149"/>
      <c r="M319" s="149"/>
      <c r="N319" s="149"/>
      <c r="O319" s="149"/>
      <c r="P319" s="149"/>
      <c r="Q319" s="149"/>
      <c r="R319" s="149"/>
      <c r="S319" s="149"/>
    </row>
    <row r="320" spans="2:23" ht="13">
      <c r="B320" s="5"/>
      <c r="E320" t="s">
        <v>772</v>
      </c>
      <c r="I320" s="149"/>
      <c r="J320" s="149"/>
      <c r="K320" s="149"/>
      <c r="L320" s="149"/>
      <c r="M320" s="149"/>
      <c r="N320" s="149"/>
      <c r="O320" s="149"/>
      <c r="P320" s="149"/>
      <c r="Q320" s="149"/>
      <c r="R320" s="149"/>
      <c r="S320" s="149"/>
    </row>
    <row r="321" spans="1:38" ht="13">
      <c r="B321" s="5"/>
      <c r="E321" t="s">
        <v>773</v>
      </c>
      <c r="I321" s="149"/>
      <c r="J321" s="149"/>
      <c r="K321" s="149"/>
      <c r="L321" s="149"/>
      <c r="M321" s="149"/>
      <c r="N321" s="149"/>
      <c r="O321" s="149"/>
      <c r="P321" s="149"/>
      <c r="Q321" s="149"/>
      <c r="R321" s="149"/>
      <c r="S321" s="149"/>
    </row>
    <row r="322" spans="1:38" ht="13">
      <c r="B322" s="5"/>
      <c r="E322" t="s">
        <v>774</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649</v>
      </c>
      <c r="I324" s="149"/>
      <c r="J324" s="149"/>
      <c r="K324" s="149"/>
      <c r="L324" s="149"/>
      <c r="M324" s="149"/>
      <c r="N324" s="149"/>
      <c r="O324" s="149"/>
      <c r="P324" s="149"/>
      <c r="Q324" s="149"/>
      <c r="R324" s="149"/>
      <c r="S324" s="149"/>
    </row>
    <row r="325" spans="1:38" ht="13">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
      <c r="F328" s="184" t="s">
        <v>1342</v>
      </c>
      <c r="I328" s="184"/>
      <c r="J328" s="149"/>
      <c r="K328" s="149"/>
      <c r="L328" s="149"/>
      <c r="M328" s="149"/>
      <c r="N328" s="149"/>
      <c r="O328" s="149"/>
      <c r="P328" s="149"/>
      <c r="Q328" s="149"/>
      <c r="R328" s="149"/>
      <c r="S328" s="149"/>
    </row>
    <row r="329" spans="1:38" ht="13">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779</v>
      </c>
      <c r="J335" s="149"/>
      <c r="K335" s="149"/>
      <c r="L335" s="149"/>
      <c r="M335" s="149"/>
      <c r="N335" s="149"/>
      <c r="O335" s="149"/>
      <c r="P335" s="149"/>
      <c r="Q335" s="149"/>
      <c r="R335" s="149"/>
      <c r="S335" s="149"/>
    </row>
    <row r="336" spans="1:38" ht="13">
      <c r="B336" s="5"/>
      <c r="E336" s="149"/>
      <c r="F336" s="149" t="s">
        <v>780</v>
      </c>
      <c r="J336" s="149"/>
      <c r="K336" s="149"/>
      <c r="L336" s="149"/>
      <c r="M336" s="149"/>
      <c r="N336" s="149"/>
      <c r="O336" s="149"/>
      <c r="P336" s="149"/>
      <c r="Q336" s="149"/>
      <c r="R336" s="149"/>
      <c r="S336" s="149"/>
    </row>
    <row r="337" spans="2:37" ht="13">
      <c r="B337" s="5"/>
      <c r="E337" s="149"/>
      <c r="F337" s="149" t="s">
        <v>781</v>
      </c>
      <c r="I337" s="149"/>
      <c r="J337" s="149"/>
      <c r="K337" s="149"/>
      <c r="L337" s="149"/>
      <c r="M337" s="149"/>
      <c r="N337" s="149"/>
      <c r="O337" s="149"/>
      <c r="P337" s="149"/>
      <c r="Q337" s="149"/>
      <c r="R337" s="149"/>
      <c r="S337" s="149"/>
    </row>
    <row r="338" spans="2:37" ht="13">
      <c r="B338" s="5"/>
      <c r="E338" s="149" t="s">
        <v>118</v>
      </c>
      <c r="F338" s="1858" t="s">
        <v>1346</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ht="13">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ht="13">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452</v>
      </c>
      <c r="G342" s="195" t="s">
        <v>1442</v>
      </c>
      <c r="I342" s="183"/>
      <c r="J342" s="149"/>
      <c r="K342" s="149"/>
      <c r="L342" s="149"/>
      <c r="M342" s="149"/>
      <c r="N342" s="149"/>
      <c r="O342" s="149"/>
      <c r="P342" s="149"/>
      <c r="Q342" s="149"/>
      <c r="R342" s="149"/>
      <c r="S342" s="149"/>
    </row>
    <row r="343" spans="2:37" s="717" customFormat="1" ht="13.15" customHeight="1">
      <c r="B343" s="5"/>
      <c r="E343" s="1863" t="s">
        <v>1449</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ht="13">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ht="13">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ht="13">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ht="13">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ht="13">
      <c r="B348" s="5"/>
      <c r="E348" s="6" t="s">
        <v>117</v>
      </c>
      <c r="F348" s="1858" t="s">
        <v>1451</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7" customFormat="1" ht="13">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7" customFormat="1" ht="13">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7" customFormat="1" ht="13">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7" customFormat="1" ht="13">
      <c r="B352" s="5"/>
      <c r="E352" s="6" t="s">
        <v>118</v>
      </c>
      <c r="F352" s="1858" t="s">
        <v>1450</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7" customFormat="1" ht="13">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7" customFormat="1" ht="13">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783</v>
      </c>
      <c r="I361" s="149"/>
      <c r="J361" s="149"/>
      <c r="K361" s="149"/>
      <c r="L361" s="149"/>
      <c r="M361" s="149"/>
      <c r="N361" s="149"/>
      <c r="O361" s="149"/>
      <c r="P361" s="149"/>
      <c r="Q361" s="149"/>
      <c r="R361" s="149"/>
      <c r="S361" s="149"/>
    </row>
    <row r="362" spans="1:38" ht="13">
      <c r="B362" s="5"/>
      <c r="F362" s="149" t="s">
        <v>784</v>
      </c>
      <c r="I362" s="149"/>
      <c r="J362" s="149"/>
      <c r="K362" s="149"/>
      <c r="L362" s="149"/>
      <c r="M362" s="149"/>
      <c r="N362" s="149"/>
      <c r="O362" s="149"/>
      <c r="P362" s="149"/>
      <c r="Q362" s="149"/>
      <c r="R362" s="149"/>
      <c r="S362" s="149"/>
    </row>
    <row r="363" spans="1:38" ht="13">
      <c r="B363" s="5"/>
      <c r="F363" s="149" t="s">
        <v>934</v>
      </c>
      <c r="G363" s="149"/>
      <c r="K363" s="149"/>
      <c r="L363" s="149"/>
      <c r="M363" s="149"/>
      <c r="N363" s="149"/>
      <c r="O363" s="149"/>
      <c r="P363" s="149"/>
      <c r="Q363" s="149"/>
      <c r="R363" s="149"/>
      <c r="S363" s="149"/>
    </row>
    <row r="364" spans="1:38" ht="13">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785</v>
      </c>
      <c r="I365" s="149"/>
      <c r="J365" s="149"/>
      <c r="K365" s="149"/>
      <c r="L365" s="149"/>
      <c r="M365" s="149"/>
      <c r="N365" s="149"/>
      <c r="O365" s="149"/>
      <c r="P365" s="149"/>
      <c r="Q365" s="149"/>
      <c r="R365" s="149"/>
      <c r="S365" s="149"/>
    </row>
    <row r="366" spans="1:38" ht="13">
      <c r="B366" s="5"/>
      <c r="F366" s="149" t="s">
        <v>786</v>
      </c>
      <c r="J366" s="149"/>
      <c r="K366" s="149"/>
      <c r="L366" s="149"/>
      <c r="M366" s="149"/>
      <c r="N366" s="149"/>
      <c r="O366" s="149"/>
      <c r="P366" s="149"/>
      <c r="Q366" s="149"/>
      <c r="R366" s="149"/>
      <c r="S366" s="149"/>
    </row>
    <row r="367" spans="1:38" s="717" customFormat="1" ht="13">
      <c r="B367" s="5"/>
      <c r="E367" s="1867" t="s">
        <v>1440</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ht="13">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ht="13">
      <c r="A369"/>
      <c r="B369" s="5"/>
      <c r="C369"/>
      <c r="D369"/>
      <c r="E369" s="1868" t="s">
        <v>1489</v>
      </c>
    </row>
    <row r="370" spans="1:38" s="1869"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608</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1344</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60" t="s">
        <v>1501</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7"/>
    </row>
    <row r="389" spans="1:38" s="717" customFormat="1" ht="13">
      <c r="A389" s="677"/>
      <c r="B389" s="183"/>
      <c r="C389" s="677"/>
      <c r="D389" s="677"/>
      <c r="E389" s="678"/>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7"/>
    </row>
    <row r="390" spans="1:38" s="717" customFormat="1" ht="13">
      <c r="A390" s="677"/>
      <c r="B390" s="183"/>
      <c r="C390" s="677"/>
      <c r="D390" s="677"/>
      <c r="E390" s="678"/>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796875" defaultRowHeight="14"/>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30" customHeight="1">
      <c r="A1" s="3262" t="s">
        <v>1878</v>
      </c>
      <c r="B1" s="3262"/>
      <c r="C1" s="3262"/>
      <c r="D1" s="3262"/>
      <c r="E1" s="3262"/>
      <c r="F1" s="3262"/>
      <c r="G1" s="3262"/>
      <c r="H1" s="3262"/>
      <c r="I1" s="3262"/>
    </row>
    <row r="2" spans="1:11">
      <c r="A2" s="1336"/>
      <c r="B2" s="1336"/>
      <c r="E2" s="1337"/>
      <c r="I2" s="1339"/>
      <c r="K2" s="1340"/>
    </row>
    <row r="3" spans="1:11">
      <c r="A3" s="1341" t="s">
        <v>1585</v>
      </c>
      <c r="B3" s="1341"/>
      <c r="C3" s="1334" t="s">
        <v>2181</v>
      </c>
      <c r="E3" s="1826">
        <f>ROUND(Application!AM564+'Basis &amp; Credits'!AB77,0)</f>
        <v>35400000</v>
      </c>
      <c r="F3" s="1342"/>
      <c r="K3" s="1413"/>
    </row>
    <row r="4" spans="1:11" s="1343" customFormat="1" ht="15" customHeight="1">
      <c r="C4" s="1343" t="s">
        <v>1879</v>
      </c>
      <c r="E4" s="1419">
        <f>Application!AD1037</f>
        <v>0.3</v>
      </c>
      <c r="F4" s="1344"/>
      <c r="H4" s="1345"/>
      <c r="K4" s="1632"/>
    </row>
    <row r="5" spans="1:11" s="1346" customFormat="1" ht="15" customHeight="1">
      <c r="A5" s="3263"/>
      <c r="B5" s="3263"/>
      <c r="D5" s="1346" t="s">
        <v>2182</v>
      </c>
      <c r="E5" s="1347">
        <f>IF('CDLAC Points System'!C274="Yes",0.2,0)</f>
        <v>0</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c r="A7" s="1336"/>
      <c r="B7" s="1336"/>
      <c r="C7" s="1334" t="s">
        <v>2185</v>
      </c>
      <c r="E7" s="1417">
        <f>E3-(E3*(E4+(MAX(E5,E6))))</f>
        <v>24780000</v>
      </c>
      <c r="F7" s="1342"/>
      <c r="I7" s="1348"/>
      <c r="K7" s="1634"/>
    </row>
    <row r="8" spans="1:11">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c r="A11" s="1336"/>
      <c r="B11" s="1336"/>
      <c r="C11" s="1360" t="s">
        <v>1886</v>
      </c>
      <c r="D11" s="1360"/>
      <c r="E11" s="1414">
        <f>Application!BN635+Application!BN644+Application!CS658</f>
        <v>90</v>
      </c>
      <c r="G11" s="1361">
        <v>0.9</v>
      </c>
      <c r="H11" s="1362"/>
      <c r="I11" s="1363">
        <f>E11*G11</f>
        <v>81</v>
      </c>
      <c r="J11" s="1354"/>
      <c r="K11" s="1358"/>
    </row>
    <row r="12" spans="1:11">
      <c r="A12" s="1336"/>
      <c r="B12" s="1336"/>
      <c r="C12" s="1354" t="s">
        <v>1887</v>
      </c>
      <c r="D12" s="1354"/>
      <c r="E12" s="1414">
        <f>Application!BS635+Application!BS644+Application!CX658</f>
        <v>34</v>
      </c>
      <c r="G12" s="1361">
        <v>1</v>
      </c>
      <c r="H12" s="1362"/>
      <c r="I12" s="1363">
        <f>E12*G12</f>
        <v>34</v>
      </c>
      <c r="J12" s="1354"/>
    </row>
    <row r="13" spans="1:11">
      <c r="A13" s="1336"/>
      <c r="B13" s="1336"/>
      <c r="C13" s="1354" t="s">
        <v>1888</v>
      </c>
      <c r="D13" s="1354"/>
      <c r="E13" s="1414">
        <f>Application!BX635+Application!BX644+Application!DC658</f>
        <v>24</v>
      </c>
      <c r="G13" s="1361">
        <v>1.25</v>
      </c>
      <c r="H13" s="1362"/>
      <c r="I13" s="1363">
        <f>E13*G13</f>
        <v>30</v>
      </c>
      <c r="J13" s="1354"/>
    </row>
    <row r="14" spans="1:11">
      <c r="A14" s="1336"/>
      <c r="B14" s="1336"/>
      <c r="C14" s="1354" t="s">
        <v>1889</v>
      </c>
      <c r="D14" s="1354"/>
      <c r="E14" s="1414">
        <f>Application!CC635+Application!CC644+Application!DH658</f>
        <v>3</v>
      </c>
      <c r="G14" s="1361">
        <f>1.5+0.25*0</f>
        <v>1.5</v>
      </c>
      <c r="H14" s="1362"/>
      <c r="I14" s="1363">
        <f>IF(E14/E16&lt;=30%,E14*G14,TRUNC(0.3*E16)*G14+(E14-TRUNC(0.3*E16))*G13)</f>
        <v>4.5</v>
      </c>
      <c r="J14" s="1354"/>
    </row>
    <row r="15" spans="1:11">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151</v>
      </c>
      <c r="G16" s="1337"/>
      <c r="I16" s="1418">
        <f>SUM(I11:I15)</f>
        <v>149.5</v>
      </c>
    </row>
    <row r="17" spans="1:9">
      <c r="A17" s="1336"/>
      <c r="B17" s="1336"/>
      <c r="E17" s="1337"/>
      <c r="I17" s="1365"/>
    </row>
    <row r="18" spans="1:9">
      <c r="A18" s="1341" t="s">
        <v>1590</v>
      </c>
      <c r="B18" s="1341"/>
      <c r="C18" s="1366" t="s">
        <v>1891</v>
      </c>
      <c r="D18" s="1338"/>
      <c r="E18" s="1367">
        <f>E7/I16</f>
        <v>165752.508361204</v>
      </c>
      <c r="F18" s="1368"/>
      <c r="G18" s="1369"/>
      <c r="H18" s="1370"/>
      <c r="I18" s="1365"/>
    </row>
    <row r="21" spans="1:9" ht="14.25" customHeight="1">
      <c r="A21" s="3264" t="s">
        <v>2180</v>
      </c>
      <c r="B21" s="3264"/>
      <c r="C21" s="3264"/>
      <c r="D21" s="3264"/>
      <c r="E21" s="3264"/>
      <c r="F21" s="3264"/>
      <c r="G21" s="3264"/>
      <c r="H21" s="3264"/>
      <c r="I21" s="3264"/>
    </row>
    <row r="22" spans="1:9">
      <c r="A22" s="3264"/>
      <c r="B22" s="3264"/>
      <c r="C22" s="3264"/>
      <c r="D22" s="3264"/>
      <c r="E22" s="3264"/>
      <c r="F22" s="3264"/>
      <c r="G22" s="3264"/>
      <c r="H22" s="3264"/>
      <c r="I22" s="3264"/>
    </row>
    <row r="23" spans="1:9">
      <c r="A23" s="3264"/>
      <c r="B23" s="3264"/>
      <c r="C23" s="3264"/>
      <c r="D23" s="3264"/>
      <c r="E23" s="3264"/>
      <c r="F23" s="3264"/>
      <c r="G23" s="3264"/>
      <c r="H23" s="3264"/>
      <c r="I23" s="3264"/>
    </row>
    <row r="24" spans="1:9">
      <c r="A24" s="3264"/>
      <c r="B24" s="3264"/>
      <c r="C24" s="3264"/>
      <c r="D24" s="3264"/>
      <c r="E24" s="3264"/>
      <c r="F24" s="3264"/>
      <c r="G24" s="3264"/>
      <c r="H24" s="3264"/>
      <c r="I24" s="3264"/>
    </row>
    <row r="26" spans="1:9" ht="20.149999999999999"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1" zoomScaleNormal="100" zoomScaleSheetLayoutView="100" workbookViewId="0">
      <selection activeCell="AB57" sqref="AB57:AF57"/>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75" customHeight="1">
      <c r="A1" s="3307" t="s">
        <v>1522</v>
      </c>
      <c r="B1" s="3307"/>
      <c r="C1" s="3307"/>
      <c r="D1" s="3307"/>
      <c r="E1" s="3307"/>
      <c r="F1" s="3307"/>
      <c r="G1" s="3307"/>
      <c r="H1" s="3307"/>
      <c r="I1" s="3307"/>
      <c r="J1" s="3307"/>
      <c r="K1" s="3307"/>
      <c r="L1" s="3307"/>
      <c r="M1" s="3307"/>
      <c r="N1" s="3307"/>
      <c r="O1" s="3307"/>
      <c r="P1" s="3307"/>
      <c r="Q1" s="3307"/>
      <c r="R1" s="3307"/>
      <c r="S1" s="3307"/>
      <c r="T1" s="3307"/>
      <c r="U1" s="3307"/>
      <c r="V1" s="3307"/>
      <c r="W1" s="3307"/>
      <c r="X1" s="3307"/>
      <c r="Y1" s="3307"/>
      <c r="Z1" s="3307"/>
      <c r="AA1" s="3307"/>
      <c r="AB1" s="3307"/>
      <c r="AC1" s="3307"/>
      <c r="AD1" s="3307"/>
      <c r="AE1" s="3307"/>
      <c r="AF1" s="3307"/>
      <c r="AG1" s="3307"/>
      <c r="AH1" s="3307"/>
      <c r="AI1" s="3307"/>
      <c r="AJ1" s="3307"/>
      <c r="AK1" s="3307"/>
      <c r="AL1" s="3307"/>
      <c r="AM1" s="3307"/>
      <c r="AN1" s="330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308"/>
      <c r="B2" s="3308"/>
      <c r="C2" s="3308"/>
      <c r="D2" s="3308"/>
      <c r="E2" s="3308"/>
      <c r="F2" s="3308"/>
      <c r="G2" s="3308"/>
      <c r="H2" s="3308"/>
      <c r="I2" s="3308"/>
      <c r="J2" s="3308"/>
      <c r="K2" s="3308"/>
      <c r="L2" s="3308"/>
      <c r="M2" s="3308"/>
      <c r="N2" s="3308"/>
      <c r="O2" s="3308"/>
      <c r="P2" s="3308"/>
      <c r="Q2" s="3308"/>
      <c r="R2" s="3308"/>
      <c r="S2" s="3308"/>
      <c r="T2" s="3308"/>
      <c r="U2" s="3308"/>
      <c r="V2" s="3308"/>
      <c r="W2" s="3308"/>
      <c r="X2" s="3308"/>
      <c r="Y2" s="3308"/>
      <c r="Z2" s="3308"/>
      <c r="AA2" s="3308"/>
      <c r="AB2" s="3308"/>
      <c r="AC2" s="3308"/>
      <c r="AD2" s="3308"/>
      <c r="AE2" s="3308"/>
      <c r="AF2" s="3308"/>
      <c r="AG2" s="3308"/>
      <c r="AH2" s="3308"/>
      <c r="AI2" s="3308"/>
      <c r="AJ2" s="3308"/>
      <c r="AK2" s="3308"/>
      <c r="AL2" s="3308"/>
      <c r="AM2" s="3308"/>
      <c r="AN2" s="330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09" t="str">
        <f xml:space="preserve"> IF(T25=100%,'Sources and Basis Breakdown'!G2,'Sources and Basis Breakdown'!F2)</f>
        <v>30% PVC for New Const/
Rehabilitation
DDA/QCT
Building(s)</v>
      </c>
      <c r="U7" s="3309"/>
      <c r="V7" s="3309"/>
      <c r="W7" s="3309"/>
      <c r="X7" s="3309"/>
      <c r="Y7" s="3309" t="str">
        <f>IF(T25=100%," ",'Sources and Basis Breakdown'!G2)</f>
        <v>30% PVC for New Const/
Rehabilitation
NON-DDA/
NON-QCT Building(s)</v>
      </c>
      <c r="Z7" s="3309"/>
      <c r="AA7" s="3309"/>
      <c r="AB7" s="3309"/>
      <c r="AC7" s="3309"/>
      <c r="AD7" s="3309" t="str">
        <f xml:space="preserve"> IF(T25=100%, 'Sources and Basis Breakdown'!J2,'Sources and Basis Breakdown'!I2)</f>
        <v>30% PVC for Acquisition
DDA/QCT Building(s)</v>
      </c>
      <c r="AE7" s="3309"/>
      <c r="AF7" s="3309"/>
      <c r="AG7" s="3309"/>
      <c r="AH7" s="3309"/>
      <c r="AI7" s="3309" t="str">
        <f>IF(T25=100%," ",'Sources and Basis Breakdown'!J2)</f>
        <v>30% PVC for Acquisition
NON-DDA/
NON-QCT Building(s)</v>
      </c>
      <c r="AJ7" s="3309"/>
      <c r="AK7" s="3309"/>
      <c r="AL7" s="3309"/>
      <c r="AM7" s="3309"/>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9"/>
      <c r="U8" s="3309"/>
      <c r="V8" s="3309"/>
      <c r="W8" s="3309"/>
      <c r="X8" s="3309"/>
      <c r="Y8" s="3309"/>
      <c r="Z8" s="3309"/>
      <c r="AA8" s="3309"/>
      <c r="AB8" s="3309"/>
      <c r="AC8" s="3309"/>
      <c r="AD8" s="3309"/>
      <c r="AE8" s="3309"/>
      <c r="AF8" s="3309"/>
      <c r="AG8" s="3309"/>
      <c r="AH8" s="3309"/>
      <c r="AI8" s="3309"/>
      <c r="AJ8" s="3309"/>
      <c r="AK8" s="3309"/>
      <c r="AL8" s="3309"/>
      <c r="AM8" s="3309"/>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309"/>
      <c r="U9" s="3309"/>
      <c r="V9" s="3309"/>
      <c r="W9" s="3309"/>
      <c r="X9" s="3309"/>
      <c r="Y9" s="3309"/>
      <c r="Z9" s="3309"/>
      <c r="AA9" s="3309"/>
      <c r="AB9" s="3309"/>
      <c r="AC9" s="3309"/>
      <c r="AD9" s="3309"/>
      <c r="AE9" s="3309"/>
      <c r="AF9" s="3309"/>
      <c r="AG9" s="3309"/>
      <c r="AH9" s="3309"/>
      <c r="AI9" s="3309"/>
      <c r="AJ9" s="3309"/>
      <c r="AK9" s="3309"/>
      <c r="AL9" s="3309"/>
      <c r="AM9" s="3309"/>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09"/>
      <c r="U10" s="3309"/>
      <c r="V10" s="3309"/>
      <c r="W10" s="3309"/>
      <c r="X10" s="3309"/>
      <c r="Y10" s="3309"/>
      <c r="Z10" s="3309"/>
      <c r="AA10" s="3309"/>
      <c r="AB10" s="3309"/>
      <c r="AC10" s="3309"/>
      <c r="AD10" s="3309"/>
      <c r="AE10" s="3309"/>
      <c r="AF10" s="3309"/>
      <c r="AG10" s="3309"/>
      <c r="AH10" s="3309"/>
      <c r="AI10" s="3309"/>
      <c r="AJ10" s="3309"/>
      <c r="AK10" s="3309"/>
      <c r="AL10" s="3309"/>
      <c r="AM10" s="3309"/>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77" t="s">
        <v>393</v>
      </c>
      <c r="C11" s="3278"/>
      <c r="D11" s="3278"/>
      <c r="E11" s="3278"/>
      <c r="F11" s="3278"/>
      <c r="G11" s="3278"/>
      <c r="H11" s="3278"/>
      <c r="I11" s="3278"/>
      <c r="J11" s="3278"/>
      <c r="K11" s="3278"/>
      <c r="L11" s="3278"/>
      <c r="M11" s="3278"/>
      <c r="N11" s="3278"/>
      <c r="O11" s="3278"/>
      <c r="P11" s="3278"/>
      <c r="Q11" s="3278"/>
      <c r="R11" s="3278"/>
      <c r="S11" s="3279"/>
      <c r="T11" s="3310">
        <f>IF('Sources and Basis Breakdown'!F107=0,'Sources and Basis Breakdown'!E107,'Sources and Basis Breakdown'!F107)</f>
        <v>64730731</v>
      </c>
      <c r="U11" s="3311"/>
      <c r="V11" s="3311"/>
      <c r="W11" s="3311"/>
      <c r="X11" s="3311"/>
      <c r="Y11" s="3310">
        <f>IF(Y7=" ",0,IF('Sources and Basis Breakdown'!G107+'Sources and Basis Breakdown'!F107='Sources and Basis Breakdown'!E107,'Sources and Basis Breakdown'!G107,0))</f>
        <v>0</v>
      </c>
      <c r="Z11" s="3311"/>
      <c r="AA11" s="3311"/>
      <c r="AB11" s="3311"/>
      <c r="AC11" s="3311"/>
      <c r="AD11" s="3311">
        <f>IF('Sources and Basis Breakdown'!I107=0,'Sources and Basis Breakdown'!H107,'Sources and Basis Breakdown'!I107)</f>
        <v>0</v>
      </c>
      <c r="AE11" s="3311"/>
      <c r="AF11" s="3311"/>
      <c r="AG11" s="3311"/>
      <c r="AH11" s="3311"/>
      <c r="AI11" s="3311">
        <f>IF(Y7=" ",0,IF('Sources and Basis Breakdown'!I107+'Sources and Basis Breakdown'!J107='Sources and Basis Breakdown'!H107,'Sources and Basis Breakdown'!J107,0))</f>
        <v>0</v>
      </c>
      <c r="AJ11" s="3311"/>
      <c r="AK11" s="3311"/>
      <c r="AL11" s="3311"/>
      <c r="AM11" s="3311"/>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02" t="s">
        <v>529</v>
      </c>
      <c r="C12" s="3303"/>
      <c r="D12" s="3303"/>
      <c r="E12" s="3303"/>
      <c r="F12" s="3303"/>
      <c r="G12" s="3303"/>
      <c r="H12" s="3303"/>
      <c r="I12" s="3303"/>
      <c r="J12" s="3303"/>
      <c r="K12" s="3303"/>
      <c r="L12" s="3303"/>
      <c r="M12" s="3303"/>
      <c r="N12" s="3303"/>
      <c r="O12" s="3303"/>
      <c r="P12" s="3303"/>
      <c r="Q12" s="3303"/>
      <c r="R12" s="3303"/>
      <c r="S12" s="3304"/>
      <c r="T12" s="3265"/>
      <c r="U12" s="3266"/>
      <c r="V12" s="3266"/>
      <c r="W12" s="3266"/>
      <c r="X12" s="3267"/>
      <c r="Y12" s="3265"/>
      <c r="Z12" s="3266"/>
      <c r="AA12" s="3266"/>
      <c r="AB12" s="3266"/>
      <c r="AC12" s="3267"/>
      <c r="AD12" s="3265"/>
      <c r="AE12" s="3266"/>
      <c r="AF12" s="3266"/>
      <c r="AG12" s="3266"/>
      <c r="AH12" s="3267"/>
      <c r="AI12" s="3265"/>
      <c r="AJ12" s="3266"/>
      <c r="AK12" s="3266"/>
      <c r="AL12" s="3266"/>
      <c r="AM12" s="3267"/>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305" t="s">
        <v>530</v>
      </c>
      <c r="D13" s="3305"/>
      <c r="E13" s="3305"/>
      <c r="F13" s="3305"/>
      <c r="G13" s="3305"/>
      <c r="H13" s="3305"/>
      <c r="I13" s="3305"/>
      <c r="J13" s="3305"/>
      <c r="K13" s="3305"/>
      <c r="L13" s="3305"/>
      <c r="M13" s="3305"/>
      <c r="N13" s="3305"/>
      <c r="O13" s="3305"/>
      <c r="P13" s="3305"/>
      <c r="Q13" s="3305"/>
      <c r="R13" s="3305"/>
      <c r="S13" s="3306"/>
      <c r="T13" s="3312"/>
      <c r="U13" s="3313"/>
      <c r="V13" s="3313"/>
      <c r="W13" s="3313"/>
      <c r="X13" s="3313"/>
      <c r="Y13" s="3312"/>
      <c r="Z13" s="3313"/>
      <c r="AA13" s="3313"/>
      <c r="AB13" s="3313"/>
      <c r="AC13" s="3313"/>
      <c r="AD13" s="3313"/>
      <c r="AE13" s="3313"/>
      <c r="AF13" s="3313"/>
      <c r="AG13" s="3313"/>
      <c r="AH13" s="3313"/>
      <c r="AI13" s="3313"/>
      <c r="AJ13" s="3313"/>
      <c r="AK13" s="3313"/>
      <c r="AL13" s="3313"/>
      <c r="AM13" s="3313"/>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305" t="s">
        <v>531</v>
      </c>
      <c r="D14" s="3305"/>
      <c r="E14" s="3305"/>
      <c r="F14" s="3305"/>
      <c r="G14" s="3305"/>
      <c r="H14" s="3305"/>
      <c r="I14" s="3305"/>
      <c r="J14" s="3305"/>
      <c r="K14" s="3305"/>
      <c r="L14" s="3305"/>
      <c r="M14" s="3305"/>
      <c r="N14" s="3305"/>
      <c r="O14" s="3305"/>
      <c r="P14" s="3305"/>
      <c r="Q14" s="3305"/>
      <c r="R14" s="3305"/>
      <c r="S14" s="3306"/>
      <c r="T14" s="3268"/>
      <c r="U14" s="3269"/>
      <c r="V14" s="3269"/>
      <c r="W14" s="3269"/>
      <c r="X14" s="3269"/>
      <c r="Y14" s="3268"/>
      <c r="Z14" s="3269"/>
      <c r="AA14" s="3269"/>
      <c r="AB14" s="3269"/>
      <c r="AC14" s="3269"/>
      <c r="AD14" s="3269"/>
      <c r="AE14" s="3269"/>
      <c r="AF14" s="3269"/>
      <c r="AG14" s="3269"/>
      <c r="AH14" s="3269"/>
      <c r="AI14" s="3269"/>
      <c r="AJ14" s="3269"/>
      <c r="AK14" s="3269"/>
      <c r="AL14" s="3269"/>
      <c r="AM14" s="3269"/>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305" t="s">
        <v>532</v>
      </c>
      <c r="D15" s="3305"/>
      <c r="E15" s="3305"/>
      <c r="F15" s="3305"/>
      <c r="G15" s="3305"/>
      <c r="H15" s="3305"/>
      <c r="I15" s="3305"/>
      <c r="J15" s="3305"/>
      <c r="K15" s="3305"/>
      <c r="L15" s="3305"/>
      <c r="M15" s="3305"/>
      <c r="N15" s="3305"/>
      <c r="O15" s="3305"/>
      <c r="P15" s="3305"/>
      <c r="Q15" s="3305"/>
      <c r="R15" s="3305"/>
      <c r="S15" s="3306"/>
      <c r="T15" s="3268"/>
      <c r="U15" s="3269"/>
      <c r="V15" s="3269"/>
      <c r="W15" s="3269"/>
      <c r="X15" s="3269"/>
      <c r="Y15" s="3268"/>
      <c r="Z15" s="3269"/>
      <c r="AA15" s="3269"/>
      <c r="AB15" s="3269"/>
      <c r="AC15" s="3269"/>
      <c r="AD15" s="3269"/>
      <c r="AE15" s="3269"/>
      <c r="AF15" s="3269"/>
      <c r="AG15" s="3269"/>
      <c r="AH15" s="3269"/>
      <c r="AI15" s="3269"/>
      <c r="AJ15" s="3269"/>
      <c r="AK15" s="3269"/>
      <c r="AL15" s="3269"/>
      <c r="AM15" s="3269"/>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305" t="s">
        <v>863</v>
      </c>
      <c r="D16" s="3305"/>
      <c r="E16" s="3305"/>
      <c r="F16" s="3305"/>
      <c r="G16" s="3305"/>
      <c r="H16" s="3305"/>
      <c r="I16" s="3305"/>
      <c r="J16" s="3305"/>
      <c r="K16" s="3305"/>
      <c r="L16" s="3305"/>
      <c r="M16" s="3305"/>
      <c r="N16" s="3305"/>
      <c r="O16" s="3305"/>
      <c r="P16" s="3305"/>
      <c r="Q16" s="3305"/>
      <c r="R16" s="3305"/>
      <c r="S16" s="3306"/>
      <c r="T16" s="3268"/>
      <c r="U16" s="3269"/>
      <c r="V16" s="3269"/>
      <c r="W16" s="3269"/>
      <c r="X16" s="3269"/>
      <c r="Y16" s="3268"/>
      <c r="Z16" s="3269"/>
      <c r="AA16" s="3269"/>
      <c r="AB16" s="3269"/>
      <c r="AC16" s="3269"/>
      <c r="AD16" s="3269"/>
      <c r="AE16" s="3269"/>
      <c r="AF16" s="3269"/>
      <c r="AG16" s="3269"/>
      <c r="AH16" s="3269"/>
      <c r="AI16" s="3269"/>
      <c r="AJ16" s="3269"/>
      <c r="AK16" s="3269"/>
      <c r="AL16" s="3269"/>
      <c r="AM16" s="3269"/>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305" t="s">
        <v>533</v>
      </c>
      <c r="D17" s="3305"/>
      <c r="E17" s="3305"/>
      <c r="F17" s="3305"/>
      <c r="G17" s="3305"/>
      <c r="H17" s="3305"/>
      <c r="I17" s="3305"/>
      <c r="J17" s="3305"/>
      <c r="K17" s="3305"/>
      <c r="L17" s="3305"/>
      <c r="M17" s="3305"/>
      <c r="N17" s="3305"/>
      <c r="O17" s="3305"/>
      <c r="P17" s="3305"/>
      <c r="Q17" s="3305"/>
      <c r="R17" s="3305"/>
      <c r="S17" s="3306"/>
      <c r="T17" s="3268"/>
      <c r="U17" s="3269"/>
      <c r="V17" s="3269"/>
      <c r="W17" s="3269"/>
      <c r="X17" s="3269"/>
      <c r="Y17" s="3268"/>
      <c r="Z17" s="3269"/>
      <c r="AA17" s="3269"/>
      <c r="AB17" s="3269"/>
      <c r="AC17" s="3269"/>
      <c r="AD17" s="3269"/>
      <c r="AE17" s="3269"/>
      <c r="AF17" s="3269"/>
      <c r="AG17" s="3269"/>
      <c r="AH17" s="3269"/>
      <c r="AI17" s="3269"/>
      <c r="AJ17" s="3269"/>
      <c r="AK17" s="3269"/>
      <c r="AL17" s="3269"/>
      <c r="AM17" s="3269"/>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300" t="s">
        <v>1038</v>
      </c>
      <c r="D18" s="3300"/>
      <c r="E18" s="3300"/>
      <c r="F18" s="3300"/>
      <c r="G18" s="3300"/>
      <c r="H18" s="3300"/>
      <c r="I18" s="3300"/>
      <c r="J18" s="3300"/>
      <c r="K18" s="3300"/>
      <c r="L18" s="3300"/>
      <c r="M18" s="3300"/>
      <c r="N18" s="3300"/>
      <c r="O18" s="3300"/>
      <c r="P18" s="3300"/>
      <c r="Q18" s="3300"/>
      <c r="R18" s="3300"/>
      <c r="S18" s="3301"/>
      <c r="T18" s="3268"/>
      <c r="U18" s="3269"/>
      <c r="V18" s="3269"/>
      <c r="W18" s="3269"/>
      <c r="X18" s="3269"/>
      <c r="Y18" s="3268"/>
      <c r="Z18" s="3269"/>
      <c r="AA18" s="3269"/>
      <c r="AB18" s="3269"/>
      <c r="AC18" s="3269"/>
      <c r="AD18" s="3269"/>
      <c r="AE18" s="3269"/>
      <c r="AF18" s="3269"/>
      <c r="AG18" s="3269"/>
      <c r="AH18" s="3269"/>
      <c r="AI18" s="3269"/>
      <c r="AJ18" s="3269"/>
      <c r="AK18" s="3269"/>
      <c r="AL18" s="3269"/>
      <c r="AM18" s="3269"/>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300" t="s">
        <v>1038</v>
      </c>
      <c r="D19" s="3300"/>
      <c r="E19" s="3300"/>
      <c r="F19" s="3300"/>
      <c r="G19" s="3300"/>
      <c r="H19" s="3300"/>
      <c r="I19" s="3300"/>
      <c r="J19" s="3300"/>
      <c r="K19" s="3300"/>
      <c r="L19" s="3300"/>
      <c r="M19" s="3300"/>
      <c r="N19" s="3300"/>
      <c r="O19" s="3300"/>
      <c r="P19" s="3300"/>
      <c r="Q19" s="3300"/>
      <c r="R19" s="3300"/>
      <c r="S19" s="3301"/>
      <c r="T19" s="3268"/>
      <c r="U19" s="3269"/>
      <c r="V19" s="3269"/>
      <c r="W19" s="3269"/>
      <c r="X19" s="3269"/>
      <c r="Y19" s="3268"/>
      <c r="Z19" s="3269"/>
      <c r="AA19" s="3269"/>
      <c r="AB19" s="3269"/>
      <c r="AC19" s="3269"/>
      <c r="AD19" s="3269"/>
      <c r="AE19" s="3269"/>
      <c r="AF19" s="3269"/>
      <c r="AG19" s="3269"/>
      <c r="AH19" s="3269"/>
      <c r="AI19" s="3269"/>
      <c r="AJ19" s="3269"/>
      <c r="AK19" s="3269"/>
      <c r="AL19" s="3269"/>
      <c r="AM19" s="3269"/>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77" t="s">
        <v>534</v>
      </c>
      <c r="C20" s="3278"/>
      <c r="D20" s="3278"/>
      <c r="E20" s="3278"/>
      <c r="F20" s="3278"/>
      <c r="G20" s="3278"/>
      <c r="H20" s="3278"/>
      <c r="I20" s="3278"/>
      <c r="J20" s="3278"/>
      <c r="K20" s="3278"/>
      <c r="L20" s="3278"/>
      <c r="M20" s="3278"/>
      <c r="N20" s="3278"/>
      <c r="O20" s="3278"/>
      <c r="P20" s="3278"/>
      <c r="Q20" s="3278"/>
      <c r="R20" s="3278"/>
      <c r="S20" s="3279"/>
      <c r="T20" s="3270">
        <f>SUM(T13:X19)</f>
        <v>0</v>
      </c>
      <c r="U20" s="3271"/>
      <c r="V20" s="3271"/>
      <c r="W20" s="3271"/>
      <c r="X20" s="3271"/>
      <c r="Y20" s="3270">
        <f>SUM(Y13:AC19)</f>
        <v>0</v>
      </c>
      <c r="Z20" s="3271"/>
      <c r="AA20" s="3271"/>
      <c r="AB20" s="3271"/>
      <c r="AC20" s="3271"/>
      <c r="AD20" s="3272">
        <f>SUM(AD13:AH19)</f>
        <v>0</v>
      </c>
      <c r="AE20" s="3273"/>
      <c r="AF20" s="3273"/>
      <c r="AG20" s="3273"/>
      <c r="AH20" s="3270"/>
      <c r="AI20" s="3272">
        <f>SUM(AI13:AM19)</f>
        <v>0</v>
      </c>
      <c r="AJ20" s="3273"/>
      <c r="AK20" s="3273"/>
      <c r="AL20" s="3273"/>
      <c r="AM20" s="3270"/>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77" t="s">
        <v>1494</v>
      </c>
      <c r="C21" s="3278"/>
      <c r="D21" s="3278"/>
      <c r="E21" s="3278"/>
      <c r="F21" s="3278"/>
      <c r="G21" s="3278"/>
      <c r="H21" s="3278"/>
      <c r="I21" s="3278"/>
      <c r="J21" s="3278"/>
      <c r="K21" s="3278"/>
      <c r="L21" s="3278"/>
      <c r="M21" s="3278"/>
      <c r="N21" s="3278"/>
      <c r="O21" s="3278"/>
      <c r="P21" s="3278"/>
      <c r="Q21" s="3278"/>
      <c r="R21" s="3278"/>
      <c r="S21" s="3279"/>
      <c r="T21" s="3268"/>
      <c r="U21" s="3269"/>
      <c r="V21" s="3269"/>
      <c r="W21" s="3269"/>
      <c r="X21" s="3269"/>
      <c r="Y21" s="3268"/>
      <c r="Z21" s="3269"/>
      <c r="AA21" s="3269"/>
      <c r="AB21" s="3269"/>
      <c r="AC21" s="3269"/>
      <c r="AD21" s="3265"/>
      <c r="AE21" s="3266"/>
      <c r="AF21" s="3266"/>
      <c r="AG21" s="3266"/>
      <c r="AH21" s="3267"/>
      <c r="AI21" s="3265"/>
      <c r="AJ21" s="3266"/>
      <c r="AK21" s="3266"/>
      <c r="AL21" s="3266"/>
      <c r="AM21" s="3267"/>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77" t="s">
        <v>535</v>
      </c>
      <c r="C22" s="3278"/>
      <c r="D22" s="3278"/>
      <c r="E22" s="3278"/>
      <c r="F22" s="3278"/>
      <c r="G22" s="3278"/>
      <c r="H22" s="3278"/>
      <c r="I22" s="3278"/>
      <c r="J22" s="3278"/>
      <c r="K22" s="3278"/>
      <c r="L22" s="3278"/>
      <c r="M22" s="3278"/>
      <c r="N22" s="3278"/>
      <c r="O22" s="3278"/>
      <c r="P22" s="3278"/>
      <c r="Q22" s="3278"/>
      <c r="R22" s="3278"/>
      <c r="S22" s="3279"/>
      <c r="T22" s="3314">
        <f>(T20+T21)*-1</f>
        <v>0</v>
      </c>
      <c r="U22" s="3315"/>
      <c r="V22" s="3315"/>
      <c r="W22" s="3315"/>
      <c r="X22" s="3315"/>
      <c r="Y22" s="3314">
        <f>(Y20+Y21)*-1</f>
        <v>0</v>
      </c>
      <c r="Z22" s="3315"/>
      <c r="AA22" s="3315"/>
      <c r="AB22" s="3315"/>
      <c r="AC22" s="3315"/>
      <c r="AD22" s="3316">
        <f>(AD20)*-1</f>
        <v>0</v>
      </c>
      <c r="AE22" s="3317"/>
      <c r="AF22" s="3317"/>
      <c r="AG22" s="3317"/>
      <c r="AH22" s="3314"/>
      <c r="AI22" s="3316">
        <f>(AI20)*-1</f>
        <v>0</v>
      </c>
      <c r="AJ22" s="3317"/>
      <c r="AK22" s="3317"/>
      <c r="AL22" s="3317"/>
      <c r="AM22" s="3314"/>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280" t="s">
        <v>536</v>
      </c>
      <c r="C23" s="3281"/>
      <c r="D23" s="3281"/>
      <c r="E23" s="3281"/>
      <c r="F23" s="3281"/>
      <c r="G23" s="3281"/>
      <c r="H23" s="3281"/>
      <c r="I23" s="3281"/>
      <c r="J23" s="3281"/>
      <c r="K23" s="3281"/>
      <c r="L23" s="3281"/>
      <c r="M23" s="3281"/>
      <c r="N23" s="3281"/>
      <c r="O23" s="3281"/>
      <c r="P23" s="3281"/>
      <c r="Q23" s="3281"/>
      <c r="R23" s="3281"/>
      <c r="S23" s="3282"/>
      <c r="T23" s="3270">
        <f>T11+T22</f>
        <v>64730731</v>
      </c>
      <c r="U23" s="3271"/>
      <c r="V23" s="3271"/>
      <c r="W23" s="3271"/>
      <c r="X23" s="3271"/>
      <c r="Y23" s="3270">
        <f>Y11+Y22</f>
        <v>0</v>
      </c>
      <c r="Z23" s="3271"/>
      <c r="AA23" s="3271"/>
      <c r="AB23" s="3271"/>
      <c r="AC23" s="3271"/>
      <c r="AD23" s="3270">
        <f>AD11+AD22</f>
        <v>0</v>
      </c>
      <c r="AE23" s="3271"/>
      <c r="AF23" s="3271"/>
      <c r="AG23" s="3271"/>
      <c r="AH23" s="3271"/>
      <c r="AI23" s="3270">
        <f>AI11+AI22</f>
        <v>0</v>
      </c>
      <c r="AJ23" s="3271"/>
      <c r="AK23" s="3271"/>
      <c r="AL23" s="3271"/>
      <c r="AM23" s="3271"/>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77" t="s">
        <v>1039</v>
      </c>
      <c r="C24" s="3278"/>
      <c r="D24" s="3278"/>
      <c r="E24" s="3278"/>
      <c r="F24" s="3278"/>
      <c r="G24" s="3278"/>
      <c r="H24" s="3278"/>
      <c r="I24" s="3278"/>
      <c r="J24" s="3278"/>
      <c r="K24" s="3278"/>
      <c r="L24" s="3278"/>
      <c r="M24" s="3278"/>
      <c r="N24" s="3278"/>
      <c r="O24" s="3278"/>
      <c r="P24" s="3278"/>
      <c r="Q24" s="3278"/>
      <c r="R24" s="3278"/>
      <c r="S24" s="3279"/>
      <c r="T24" s="3272">
        <f>Application!AJ1032</f>
        <v>146009771.19999999</v>
      </c>
      <c r="U24" s="3273"/>
      <c r="V24" s="3273"/>
      <c r="W24" s="3273"/>
      <c r="X24" s="3273"/>
      <c r="Y24" s="3273"/>
      <c r="Z24" s="3273"/>
      <c r="AA24" s="3273"/>
      <c r="AB24" s="3273"/>
      <c r="AC24" s="3273"/>
      <c r="AD24" s="3273"/>
      <c r="AE24" s="3273"/>
      <c r="AF24" s="3273"/>
      <c r="AG24" s="3273"/>
      <c r="AH24" s="3273"/>
      <c r="AI24" s="3273"/>
      <c r="AJ24" s="3273"/>
      <c r="AK24" s="3273"/>
      <c r="AL24" s="3273"/>
      <c r="AM24" s="3270"/>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284" t="s">
        <v>1495</v>
      </c>
      <c r="C25" s="3285"/>
      <c r="D25" s="3285"/>
      <c r="E25" s="3285"/>
      <c r="F25" s="3285"/>
      <c r="G25" s="3285"/>
      <c r="H25" s="3285"/>
      <c r="I25" s="3285"/>
      <c r="J25" s="3285"/>
      <c r="K25" s="3285"/>
      <c r="L25" s="3285"/>
      <c r="M25" s="3285"/>
      <c r="N25" s="3285"/>
      <c r="O25" s="3285"/>
      <c r="P25" s="3285"/>
      <c r="Q25" s="3285"/>
      <c r="R25" s="3285"/>
      <c r="S25" s="3286"/>
      <c r="T25" s="3318">
        <f>IF(OR(Application!T195="yes",Application!T194="yes"),1.3,1)</f>
        <v>1.3</v>
      </c>
      <c r="U25" s="3319"/>
      <c r="V25" s="3319"/>
      <c r="W25" s="3319"/>
      <c r="X25" s="3319"/>
      <c r="Y25" s="3318">
        <v>1</v>
      </c>
      <c r="Z25" s="3319"/>
      <c r="AA25" s="3319"/>
      <c r="AB25" s="3319"/>
      <c r="AC25" s="3319"/>
      <c r="AD25" s="3318">
        <v>1</v>
      </c>
      <c r="AE25" s="3319"/>
      <c r="AF25" s="3319"/>
      <c r="AG25" s="3319"/>
      <c r="AH25" s="3320"/>
      <c r="AI25" s="3318">
        <v>1</v>
      </c>
      <c r="AJ25" s="3319"/>
      <c r="AK25" s="3319"/>
      <c r="AL25" s="3319"/>
      <c r="AM25" s="3320"/>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77" t="s">
        <v>537</v>
      </c>
      <c r="C26" s="3278"/>
      <c r="D26" s="3278"/>
      <c r="E26" s="3278"/>
      <c r="F26" s="3278"/>
      <c r="G26" s="3278"/>
      <c r="H26" s="3278"/>
      <c r="I26" s="3278"/>
      <c r="J26" s="3278"/>
      <c r="K26" s="3278"/>
      <c r="L26" s="3278"/>
      <c r="M26" s="3278"/>
      <c r="N26" s="3278"/>
      <c r="O26" s="3278"/>
      <c r="P26" s="3278"/>
      <c r="Q26" s="3278"/>
      <c r="R26" s="3278"/>
      <c r="S26" s="3279"/>
      <c r="T26" s="3321">
        <f>T23*T25</f>
        <v>84149950.299999997</v>
      </c>
      <c r="U26" s="3322"/>
      <c r="V26" s="3322"/>
      <c r="W26" s="3322"/>
      <c r="X26" s="3322"/>
      <c r="Y26" s="3321">
        <f>Y23*Y25</f>
        <v>0</v>
      </c>
      <c r="Z26" s="3322"/>
      <c r="AA26" s="3322"/>
      <c r="AB26" s="3322"/>
      <c r="AC26" s="3322"/>
      <c r="AD26" s="3321">
        <f>AD23*AD25</f>
        <v>0</v>
      </c>
      <c r="AE26" s="3322"/>
      <c r="AF26" s="3322"/>
      <c r="AG26" s="3322"/>
      <c r="AH26" s="3322"/>
      <c r="AI26" s="3321">
        <f>AI23*AI25</f>
        <v>0</v>
      </c>
      <c r="AJ26" s="3322"/>
      <c r="AK26" s="3322"/>
      <c r="AL26" s="3322"/>
      <c r="AM26" s="3322"/>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287" t="s">
        <v>447</v>
      </c>
      <c r="C27" s="3288"/>
      <c r="D27" s="3288"/>
      <c r="E27" s="3288"/>
      <c r="F27" s="3288"/>
      <c r="G27" s="3288"/>
      <c r="H27" s="3288"/>
      <c r="I27" s="3288"/>
      <c r="J27" s="3288"/>
      <c r="K27" s="3288"/>
      <c r="L27" s="3288"/>
      <c r="M27" s="3288"/>
      <c r="N27" s="3288"/>
      <c r="O27" s="3288"/>
      <c r="P27" s="3288"/>
      <c r="Q27" s="3288"/>
      <c r="R27" s="3288"/>
      <c r="S27" s="3289"/>
      <c r="T27" s="3298">
        <f>Application!$AG$444</f>
        <v>1</v>
      </c>
      <c r="U27" s="3299"/>
      <c r="V27" s="3299"/>
      <c r="W27" s="3299"/>
      <c r="X27" s="3299"/>
      <c r="Y27" s="3298">
        <f>Application!$AG$444</f>
        <v>1</v>
      </c>
      <c r="Z27" s="3299"/>
      <c r="AA27" s="3299"/>
      <c r="AB27" s="3299"/>
      <c r="AC27" s="3299"/>
      <c r="AD27" s="3298">
        <f>Application!$AG$444</f>
        <v>1</v>
      </c>
      <c r="AE27" s="3299"/>
      <c r="AF27" s="3299"/>
      <c r="AG27" s="3299"/>
      <c r="AH27" s="3299"/>
      <c r="AI27" s="3298">
        <f>Application!$AG$444</f>
        <v>1</v>
      </c>
      <c r="AJ27" s="3299"/>
      <c r="AK27" s="3299"/>
      <c r="AL27" s="3299"/>
      <c r="AM27" s="3299"/>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7" t="s">
        <v>538</v>
      </c>
      <c r="C28" s="3278"/>
      <c r="D28" s="3278"/>
      <c r="E28" s="3278"/>
      <c r="F28" s="3278"/>
      <c r="G28" s="3278"/>
      <c r="H28" s="3278"/>
      <c r="I28" s="3278"/>
      <c r="J28" s="3278"/>
      <c r="K28" s="3278"/>
      <c r="L28" s="3278"/>
      <c r="M28" s="3278"/>
      <c r="N28" s="3278"/>
      <c r="O28" s="3278"/>
      <c r="P28" s="3278"/>
      <c r="Q28" s="3278"/>
      <c r="R28" s="3278"/>
      <c r="S28" s="3279"/>
      <c r="T28" s="3290">
        <f>IF(ISERROR((T26*T27)),0,(T26*T27))</f>
        <v>84149950.299999997</v>
      </c>
      <c r="U28" s="3291"/>
      <c r="V28" s="3291"/>
      <c r="W28" s="3291"/>
      <c r="X28" s="3291"/>
      <c r="Y28" s="3290">
        <f>IF(ISERROR((Y26*Y27)),0,(Y26*Y27))</f>
        <v>0</v>
      </c>
      <c r="Z28" s="3291"/>
      <c r="AA28" s="3291"/>
      <c r="AB28" s="3291"/>
      <c r="AC28" s="3291"/>
      <c r="AD28" s="3290">
        <f>IF(ISERROR((AD26*AD27)),0,(AD26*AD27))</f>
        <v>0</v>
      </c>
      <c r="AE28" s="3291"/>
      <c r="AF28" s="3291"/>
      <c r="AG28" s="3291"/>
      <c r="AH28" s="3291"/>
      <c r="AI28" s="3290">
        <f>IF(ISERROR((AI26*AI27)),0,(AI26*AI27))</f>
        <v>0</v>
      </c>
      <c r="AJ28" s="3291"/>
      <c r="AK28" s="3291"/>
      <c r="AL28" s="3291"/>
      <c r="AM28" s="3291"/>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77" t="s">
        <v>555</v>
      </c>
      <c r="C29" s="3278"/>
      <c r="D29" s="3278"/>
      <c r="E29" s="3278"/>
      <c r="F29" s="3278"/>
      <c r="G29" s="3278"/>
      <c r="H29" s="3278"/>
      <c r="I29" s="3278"/>
      <c r="J29" s="3278"/>
      <c r="K29" s="3278"/>
      <c r="L29" s="3278"/>
      <c r="M29" s="3278"/>
      <c r="N29" s="3278"/>
      <c r="O29" s="3278"/>
      <c r="P29" s="3278"/>
      <c r="Q29" s="3278"/>
      <c r="R29" s="3278"/>
      <c r="S29" s="3279"/>
      <c r="T29" s="3272">
        <f>T28+Y28+AD28+AI28</f>
        <v>84149950.299999997</v>
      </c>
      <c r="U29" s="3273"/>
      <c r="V29" s="3273"/>
      <c r="W29" s="3273"/>
      <c r="X29" s="3273"/>
      <c r="Y29" s="3273"/>
      <c r="Z29" s="3273"/>
      <c r="AA29" s="3273"/>
      <c r="AB29" s="3273"/>
      <c r="AC29" s="3273"/>
      <c r="AD29" s="3273"/>
      <c r="AE29" s="3273"/>
      <c r="AF29" s="3273"/>
      <c r="AG29" s="3273"/>
      <c r="AH29" s="3273"/>
      <c r="AI29" s="3273"/>
      <c r="AJ29" s="3273"/>
      <c r="AK29" s="3273"/>
      <c r="AL29" s="3273"/>
      <c r="AM29" s="3270"/>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3" t="s">
        <v>1497</v>
      </c>
      <c r="C30" s="3283"/>
      <c r="D30" s="3283"/>
      <c r="E30" s="3283"/>
      <c r="F30" s="3283"/>
      <c r="G30" s="3283"/>
      <c r="H30" s="3283"/>
      <c r="I30" s="3283"/>
      <c r="J30" s="3283"/>
      <c r="K30" s="3283"/>
      <c r="L30" s="3283"/>
      <c r="M30" s="3283"/>
      <c r="N30" s="3283"/>
      <c r="O30" s="3283"/>
      <c r="P30" s="3283"/>
      <c r="Q30" s="3283"/>
      <c r="R30" s="3283"/>
      <c r="S30" s="3283"/>
      <c r="T30" s="3283"/>
      <c r="U30" s="3283"/>
      <c r="V30" s="3283"/>
      <c r="W30" s="3283"/>
      <c r="X30" s="3283"/>
      <c r="Y30" s="3283"/>
      <c r="Z30" s="3283"/>
      <c r="AA30" s="3283"/>
      <c r="AB30" s="3283"/>
      <c r="AC30" s="3283"/>
      <c r="AD30" s="3283"/>
      <c r="AE30" s="3283"/>
      <c r="AF30" s="3283"/>
      <c r="AG30" s="3283"/>
      <c r="AH30" s="3283"/>
      <c r="AI30" s="3283"/>
      <c r="AJ30" s="3283"/>
      <c r="AK30" s="3283"/>
      <c r="AL30" s="3283"/>
      <c r="AM30" s="3283"/>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3" t="s">
        <v>1496</v>
      </c>
      <c r="C31" s="3283"/>
      <c r="D31" s="3283"/>
      <c r="E31" s="3283"/>
      <c r="F31" s="3283"/>
      <c r="G31" s="3283"/>
      <c r="H31" s="3283"/>
      <c r="I31" s="3283"/>
      <c r="J31" s="3283"/>
      <c r="K31" s="3283"/>
      <c r="L31" s="3283"/>
      <c r="M31" s="3283"/>
      <c r="N31" s="3283"/>
      <c r="O31" s="3283"/>
      <c r="P31" s="3283"/>
      <c r="Q31" s="3283"/>
      <c r="R31" s="3283"/>
      <c r="S31" s="3283"/>
      <c r="T31" s="3283"/>
      <c r="U31" s="3283"/>
      <c r="V31" s="3283"/>
      <c r="W31" s="3283"/>
      <c r="X31" s="3283"/>
      <c r="Y31" s="3283"/>
      <c r="Z31" s="3283"/>
      <c r="AA31" s="3283"/>
      <c r="AB31" s="3283"/>
      <c r="AC31" s="3283"/>
      <c r="AD31" s="3283"/>
      <c r="AE31" s="3283"/>
      <c r="AF31" s="3283"/>
      <c r="AG31" s="3283"/>
      <c r="AH31" s="3283"/>
      <c r="AI31" s="3283"/>
      <c r="AJ31" s="3283"/>
      <c r="AK31" s="3283"/>
      <c r="AL31" s="3283"/>
      <c r="AM31" s="3283"/>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9" t="s">
        <v>1345</v>
      </c>
      <c r="Z35" s="3309"/>
      <c r="AA35" s="3309"/>
      <c r="AB35" s="3309"/>
      <c r="AC35" s="3309"/>
      <c r="AD35" s="3335" t="s">
        <v>380</v>
      </c>
      <c r="AE35" s="3335"/>
      <c r="AF35" s="3335"/>
      <c r="AG35" s="3335"/>
      <c r="AH35" s="3335"/>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9"/>
      <c r="Z36" s="3309"/>
      <c r="AA36" s="3309"/>
      <c r="AB36" s="3309"/>
      <c r="AC36" s="3309"/>
      <c r="AD36" s="3335"/>
      <c r="AE36" s="3335"/>
      <c r="AF36" s="3335"/>
      <c r="AG36" s="3335"/>
      <c r="AH36" s="3335"/>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9"/>
      <c r="Z37" s="3309"/>
      <c r="AA37" s="3309"/>
      <c r="AB37" s="3309"/>
      <c r="AC37" s="3309"/>
      <c r="AD37" s="3335"/>
      <c r="AE37" s="3335"/>
      <c r="AF37" s="3335"/>
      <c r="AG37" s="3335"/>
      <c r="AH37" s="3335"/>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7" t="s">
        <v>538</v>
      </c>
      <c r="C38" s="3278"/>
      <c r="D38" s="3278"/>
      <c r="E38" s="3278"/>
      <c r="F38" s="3278"/>
      <c r="G38" s="3278"/>
      <c r="H38" s="3278"/>
      <c r="I38" s="3278"/>
      <c r="J38" s="3278"/>
      <c r="K38" s="3278"/>
      <c r="L38" s="3278"/>
      <c r="M38" s="3278"/>
      <c r="N38" s="3278"/>
      <c r="O38" s="3278"/>
      <c r="P38" s="3278"/>
      <c r="Q38" s="3278"/>
      <c r="R38" s="3278"/>
      <c r="S38" s="3278"/>
      <c r="T38" s="3278"/>
      <c r="U38" s="3278"/>
      <c r="V38" s="3278"/>
      <c r="W38" s="3278"/>
      <c r="X38" s="3279"/>
      <c r="Y38" s="3271">
        <f>IF(T24&gt;=(T23+Y23+AD23+AI23),T28+Y28,0)</f>
        <v>84149950.299999997</v>
      </c>
      <c r="Z38" s="3271"/>
      <c r="AA38" s="3271"/>
      <c r="AB38" s="3271"/>
      <c r="AC38" s="3271"/>
      <c r="AD38" s="3271">
        <f>IF(T24&gt;=(T23+Y23+AD23+AI23),AD28+AI28,0)</f>
        <v>0</v>
      </c>
      <c r="AE38" s="3271"/>
      <c r="AF38" s="3271"/>
      <c r="AG38" s="3271"/>
      <c r="AH38" s="3271"/>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77" t="s">
        <v>2179</v>
      </c>
      <c r="C39" s="3278"/>
      <c r="D39" s="3278"/>
      <c r="E39" s="3278"/>
      <c r="F39" s="3278"/>
      <c r="G39" s="3278"/>
      <c r="H39" s="3278"/>
      <c r="I39" s="3278"/>
      <c r="J39" s="3278"/>
      <c r="K39" s="3278"/>
      <c r="L39" s="3278"/>
      <c r="M39" s="3278"/>
      <c r="N39" s="3278"/>
      <c r="O39" s="3278"/>
      <c r="P39" s="3278"/>
      <c r="Q39" s="3278"/>
      <c r="R39" s="3278"/>
      <c r="S39" s="3278"/>
      <c r="T39" s="3278"/>
      <c r="U39" s="3278"/>
      <c r="V39" s="3278"/>
      <c r="W39" s="3278"/>
      <c r="X39" s="3279"/>
      <c r="Y39" s="3336">
        <v>0.04</v>
      </c>
      <c r="Z39" s="3336"/>
      <c r="AA39" s="3336"/>
      <c r="AB39" s="3336"/>
      <c r="AC39" s="3336"/>
      <c r="AD39" s="3336">
        <v>0.04</v>
      </c>
      <c r="AE39" s="3336"/>
      <c r="AF39" s="3336"/>
      <c r="AG39" s="3336"/>
      <c r="AH39" s="3336"/>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7" t="s">
        <v>676</v>
      </c>
      <c r="C40" s="3278"/>
      <c r="D40" s="3278"/>
      <c r="E40" s="3278"/>
      <c r="F40" s="3278"/>
      <c r="G40" s="3278"/>
      <c r="H40" s="3278"/>
      <c r="I40" s="3278"/>
      <c r="J40" s="3278"/>
      <c r="K40" s="3278"/>
      <c r="L40" s="3278"/>
      <c r="M40" s="3278"/>
      <c r="N40" s="3278"/>
      <c r="O40" s="3278"/>
      <c r="P40" s="3278"/>
      <c r="Q40" s="3278"/>
      <c r="R40" s="3278"/>
      <c r="S40" s="3278"/>
      <c r="T40" s="3278"/>
      <c r="U40" s="3278"/>
      <c r="V40" s="3278"/>
      <c r="W40" s="3278"/>
      <c r="X40" s="3279"/>
      <c r="Y40" s="3271">
        <f>ROUND(Y38*Y39,0)</f>
        <v>3365998</v>
      </c>
      <c r="Z40" s="3271"/>
      <c r="AA40" s="3271"/>
      <c r="AB40" s="3271"/>
      <c r="AC40" s="3271"/>
      <c r="AD40" s="3270">
        <f>ROUND(AD38*AD39,0)</f>
        <v>0</v>
      </c>
      <c r="AE40" s="3271"/>
      <c r="AF40" s="3271"/>
      <c r="AG40" s="3271"/>
      <c r="AH40" s="3271"/>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77" t="s">
        <v>677</v>
      </c>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9"/>
      <c r="Y41" s="3292">
        <f>Y40+AD40</f>
        <v>3365998</v>
      </c>
      <c r="Z41" s="3293"/>
      <c r="AA41" s="3293"/>
      <c r="AB41" s="3293"/>
      <c r="AC41" s="3293"/>
      <c r="AD41" s="3293"/>
      <c r="AE41" s="3293"/>
      <c r="AF41" s="3293"/>
      <c r="AG41" s="3293"/>
      <c r="AH41" s="3294"/>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75" t="s">
        <v>1511</v>
      </c>
      <c r="B44" s="3275"/>
      <c r="C44" s="3275"/>
      <c r="D44" s="3275"/>
      <c r="E44" s="3275"/>
      <c r="F44" s="3275"/>
      <c r="G44" s="3275"/>
      <c r="H44" s="3275"/>
      <c r="I44" s="3275"/>
      <c r="J44" s="3275"/>
      <c r="K44" s="3275"/>
      <c r="L44" s="3275"/>
      <c r="M44" s="3275"/>
      <c r="N44" s="3275"/>
      <c r="O44" s="3275"/>
      <c r="P44" s="3275"/>
      <c r="Q44" s="3275"/>
      <c r="R44" s="3275"/>
      <c r="S44" s="3275"/>
      <c r="T44" s="3275"/>
      <c r="U44" s="3275"/>
      <c r="V44" s="3275"/>
      <c r="W44" s="3275"/>
      <c r="X44" s="3275"/>
      <c r="Y44" s="3275"/>
      <c r="Z44" s="3275"/>
      <c r="AA44" s="3275"/>
      <c r="AB44" s="3275"/>
      <c r="AC44" s="3275"/>
      <c r="AD44" s="3275"/>
      <c r="AE44" s="3275"/>
      <c r="AF44" s="3275"/>
      <c r="AG44" s="3275"/>
      <c r="AH44" s="3275"/>
      <c r="AI44" s="3275"/>
      <c r="AJ44" s="3275"/>
      <c r="AK44" s="3275"/>
      <c r="AL44" s="3275"/>
      <c r="AM44" s="3275"/>
      <c r="AN44" s="3275"/>
      <c r="AO44" s="3275"/>
      <c r="AP44" s="3275"/>
      <c r="AQ44" s="3275"/>
      <c r="AR44" s="3275"/>
      <c r="AS44" s="3275"/>
      <c r="AT44" s="3275"/>
      <c r="AU44" s="3275"/>
      <c r="AV44" s="3275"/>
      <c r="AW44" s="3275"/>
      <c r="AX44" s="3275"/>
      <c r="AY44" s="3275"/>
      <c r="AZ44" s="3275"/>
      <c r="BA44" s="3275"/>
      <c r="BB44" s="3275"/>
      <c r="BC44" s="3275"/>
      <c r="BD44" s="3275"/>
      <c r="BE44" s="3275"/>
      <c r="BF44" s="3275"/>
      <c r="BG44" s="3275"/>
      <c r="BH44" s="3275"/>
      <c r="BI44" s="3275"/>
      <c r="BJ44" s="3275"/>
      <c r="BK44" s="3275"/>
      <c r="BL44" s="3275"/>
      <c r="BM44" s="3275"/>
      <c r="BN44" s="3275"/>
      <c r="BO44" s="3275"/>
      <c r="BP44" s="3275"/>
      <c r="BQ44" s="3275"/>
      <c r="BR44" s="3275"/>
      <c r="BS44" s="3275"/>
      <c r="BT44" s="3275"/>
      <c r="BU44" s="3275"/>
      <c r="BV44" s="3275"/>
      <c r="BW44" s="3275"/>
      <c r="BX44" s="327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5">
        <f>'Sources and Uses Budget'!B105-'Sources and Uses Budget'!B15</f>
        <v>70575229</v>
      </c>
      <c r="AC47" s="3296"/>
      <c r="AD47" s="3296"/>
      <c r="AE47" s="3296"/>
      <c r="AF47" s="3297"/>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5">
        <f>Application!AO649-MIN('Sources and Uses Budget'!B15,Application!AG394)</f>
        <v>41122746</v>
      </c>
      <c r="AC48" s="3296"/>
      <c r="AD48" s="3296"/>
      <c r="AE48" s="3296"/>
      <c r="AF48" s="3297"/>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5">
        <f>AB47-AB48</f>
        <v>29452483</v>
      </c>
      <c r="AC49" s="3296"/>
      <c r="AD49" s="3296"/>
      <c r="AE49" s="3296"/>
      <c r="AF49" s="3297"/>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8">
        <v>0.875</v>
      </c>
      <c r="AC50" s="3329"/>
      <c r="AD50" s="3329"/>
      <c r="AE50" s="3329"/>
      <c r="AF50" s="3330"/>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1" t="s">
        <v>2375</v>
      </c>
      <c r="F51" s="3331"/>
      <c r="G51" s="3331"/>
      <c r="H51" s="3331"/>
      <c r="I51" s="3331"/>
      <c r="J51" s="3331"/>
      <c r="K51" s="3331"/>
      <c r="L51" s="3331"/>
      <c r="M51" s="3331"/>
      <c r="N51" s="3331"/>
      <c r="O51" s="3331"/>
      <c r="P51" s="3331"/>
      <c r="Q51" s="3331"/>
      <c r="R51" s="3331"/>
      <c r="S51" s="3331"/>
      <c r="T51" s="3331"/>
      <c r="U51" s="3331"/>
      <c r="V51" s="3331"/>
      <c r="W51" s="3331"/>
      <c r="X51" s="3331"/>
      <c r="Y51" s="3331"/>
      <c r="Z51" s="333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1"/>
      <c r="F52" s="3331"/>
      <c r="G52" s="3331"/>
      <c r="H52" s="3331"/>
      <c r="I52" s="3331"/>
      <c r="J52" s="3331"/>
      <c r="K52" s="3331"/>
      <c r="L52" s="3331"/>
      <c r="M52" s="3331"/>
      <c r="N52" s="3331"/>
      <c r="O52" s="3331"/>
      <c r="P52" s="3331"/>
      <c r="Q52" s="3331"/>
      <c r="R52" s="3331"/>
      <c r="S52" s="3331"/>
      <c r="T52" s="3331"/>
      <c r="U52" s="3331"/>
      <c r="V52" s="3331"/>
      <c r="W52" s="3331"/>
      <c r="X52" s="3331"/>
      <c r="Y52" s="3331"/>
      <c r="Z52" s="333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5">
        <f>ROUND(IF(ISERROR((AB49/AB50)),0,(AB49/AB50)),0)</f>
        <v>33659981</v>
      </c>
      <c r="AC54" s="3296"/>
      <c r="AD54" s="3296"/>
      <c r="AE54" s="3296"/>
      <c r="AF54" s="3297"/>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5">
        <f>(AB54/10)</f>
        <v>3365998.1</v>
      </c>
      <c r="AC55" s="3296"/>
      <c r="AD55" s="3296"/>
      <c r="AE55" s="3296"/>
      <c r="AF55" s="3297"/>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2">
        <f>(IF((Y41&lt;AB55),Y41,AB55))</f>
        <v>3365998</v>
      </c>
      <c r="AC56" s="3333"/>
      <c r="AD56" s="3333"/>
      <c r="AE56" s="3333"/>
      <c r="AF56" s="3334"/>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5">
        <f>ROUND((10*AB56*AB50),0)</f>
        <v>29452483</v>
      </c>
      <c r="AC57" s="3296"/>
      <c r="AD57" s="3296"/>
      <c r="AE57" s="3296"/>
      <c r="AF57" s="3297"/>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3">
        <f>AB49-AB57</f>
        <v>0</v>
      </c>
      <c r="AC59" s="3323"/>
      <c r="AD59" s="3323"/>
      <c r="AE59" s="3323"/>
      <c r="AF59" s="3323"/>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75" t="str">
        <f>IF(Application!AP204="yes","Farmworker State Credit", "State Credit" )</f>
        <v>State Credit</v>
      </c>
      <c r="B61" s="3275"/>
      <c r="C61" s="3275"/>
      <c r="D61" s="3275"/>
      <c r="E61" s="3275"/>
      <c r="F61" s="3275"/>
      <c r="G61" s="3275"/>
      <c r="H61" s="3275"/>
      <c r="I61" s="3275"/>
      <c r="J61" s="3275"/>
      <c r="K61" s="3275"/>
      <c r="L61" s="3275"/>
      <c r="M61" s="3275"/>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c r="BO61" s="3275"/>
      <c r="BP61" s="3275"/>
      <c r="BQ61" s="3275"/>
      <c r="BR61" s="3275"/>
      <c r="BS61" s="3275"/>
      <c r="BT61" s="3275"/>
      <c r="BU61" s="3275"/>
      <c r="BV61" s="3275"/>
      <c r="BW61" s="3275"/>
      <c r="BX61" s="327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24" t="s">
        <v>1067</v>
      </c>
      <c r="Z63" s="3324"/>
      <c r="AA63" s="3324"/>
      <c r="AB63" s="3324"/>
      <c r="AC63" s="3324"/>
      <c r="AD63" s="3324" t="s">
        <v>380</v>
      </c>
      <c r="AE63" s="3324"/>
      <c r="AF63" s="3324"/>
      <c r="AG63" s="3324"/>
      <c r="AH63" s="3324"/>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25">
        <f>IF(Application!Z204="(select)",0,((T23*T27)+Y28))</f>
        <v>64730731</v>
      </c>
      <c r="Z64" s="3326"/>
      <c r="AA64" s="3326"/>
      <c r="AB64" s="3326"/>
      <c r="AC64" s="3327"/>
      <c r="AD64" s="3325">
        <f>IF(AND(Application!AP204="yes",Application!M357="yes"),AD28+AI28,0)</f>
        <v>0</v>
      </c>
      <c r="AE64" s="3326"/>
      <c r="AF64" s="3326"/>
      <c r="AG64" s="3326"/>
      <c r="AH64" s="3327"/>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2">
        <f>IF(Application!AP204="yes",0.75,IF(Application!Z203="15% set-aside",0.13,IF(Application!Z203="15% set-aside with qualifying low value rehab",0.95,0.3)))</f>
        <v>0.3</v>
      </c>
      <c r="Z67" s="3342"/>
      <c r="AA67" s="3342"/>
      <c r="AB67" s="3342"/>
      <c r="AC67" s="3342"/>
      <c r="AD67" s="3342">
        <f>IF(Application!AP204="yes",0.75,IF(Application!Z203="15% set-aside with qualifying low value rehab", 0.95,0.13))</f>
        <v>0.13</v>
      </c>
      <c r="AE67" s="3342"/>
      <c r="AF67" s="3342"/>
      <c r="AG67" s="3342"/>
      <c r="AH67" s="3342"/>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43">
        <f>ROUND(Y64*Y67,0)</f>
        <v>19419219</v>
      </c>
      <c r="Z68" s="3344"/>
      <c r="AA68" s="3344"/>
      <c r="AB68" s="3344"/>
      <c r="AC68" s="3344"/>
      <c r="AD68" s="3343" t="str">
        <f>IF(Application!D210="At-Risk",AD64*AD67,"$0")</f>
        <v>$0</v>
      </c>
      <c r="AE68" s="3344"/>
      <c r="AF68" s="3344"/>
      <c r="AG68" s="3344"/>
      <c r="AH68" s="3344"/>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8"/>
      <c r="AC71" s="3329"/>
      <c r="AD71" s="3329"/>
      <c r="AE71" s="3329"/>
      <c r="AF71" s="3330"/>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5" t="s">
        <v>1482</v>
      </c>
      <c r="F72" s="3345"/>
      <c r="G72" s="3345"/>
      <c r="H72" s="3345"/>
      <c r="I72" s="3345"/>
      <c r="J72" s="3345"/>
      <c r="K72" s="3345"/>
      <c r="L72" s="3345"/>
      <c r="M72" s="3345"/>
      <c r="N72" s="3345"/>
      <c r="O72" s="3345"/>
      <c r="P72" s="3345"/>
      <c r="Q72" s="3345"/>
      <c r="R72" s="3345"/>
      <c r="S72" s="3345"/>
      <c r="T72" s="3345"/>
      <c r="U72" s="3345"/>
      <c r="V72" s="3345"/>
      <c r="W72" s="3345"/>
      <c r="X72" s="3345"/>
      <c r="Y72" s="3345"/>
      <c r="Z72" s="3345"/>
      <c r="AA72" s="3345"/>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5"/>
      <c r="F73" s="3345"/>
      <c r="G73" s="3345"/>
      <c r="H73" s="3345"/>
      <c r="I73" s="3345"/>
      <c r="J73" s="3345"/>
      <c r="K73" s="3345"/>
      <c r="L73" s="3345"/>
      <c r="M73" s="3345"/>
      <c r="N73" s="3345"/>
      <c r="O73" s="3345"/>
      <c r="P73" s="3345"/>
      <c r="Q73" s="3345"/>
      <c r="R73" s="3345"/>
      <c r="S73" s="3345"/>
      <c r="T73" s="3345"/>
      <c r="U73" s="3345"/>
      <c r="V73" s="3345"/>
      <c r="W73" s="3345"/>
      <c r="X73" s="3345"/>
      <c r="Y73" s="3345"/>
      <c r="Z73" s="3345"/>
      <c r="AA73" s="3345"/>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5"/>
      <c r="F74" s="3345"/>
      <c r="G74" s="3345"/>
      <c r="H74" s="3345"/>
      <c r="I74" s="3345"/>
      <c r="J74" s="3345"/>
      <c r="K74" s="3345"/>
      <c r="L74" s="3345"/>
      <c r="M74" s="3345"/>
      <c r="N74" s="3345"/>
      <c r="O74" s="3345"/>
      <c r="P74" s="3345"/>
      <c r="Q74" s="3345"/>
      <c r="R74" s="3345"/>
      <c r="S74" s="3345"/>
      <c r="T74" s="3345"/>
      <c r="U74" s="3345"/>
      <c r="V74" s="3345"/>
      <c r="W74" s="3345"/>
      <c r="X74" s="3345"/>
      <c r="Y74" s="3345"/>
      <c r="Z74" s="3345"/>
      <c r="AA74" s="3345"/>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7">
        <f>ROUND(IF(ISERROR((AB59/AB71)),0,(AB59/AB71)),0)</f>
        <v>0</v>
      </c>
      <c r="AC76" s="3337"/>
      <c r="AD76" s="3337"/>
      <c r="AE76" s="3337"/>
      <c r="AF76" s="3337"/>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8">
        <f>IF((Y68+AD68&lt;AB76),Y68+AD68,AB76)</f>
        <v>0</v>
      </c>
      <c r="AC77" s="3339"/>
      <c r="AD77" s="3339"/>
      <c r="AE77" s="3339"/>
      <c r="AF77" s="3340"/>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1">
        <f>AB77*AB71</f>
        <v>0</v>
      </c>
      <c r="AC78" s="3341"/>
      <c r="AD78" s="3341"/>
      <c r="AE78" s="3341"/>
      <c r="AF78" s="3341"/>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3">
        <f>AB49-(AB57+AB78)</f>
        <v>0</v>
      </c>
      <c r="AC80" s="3323"/>
      <c r="AD80" s="3323"/>
      <c r="AE80" s="3323"/>
      <c r="AF80" s="3323"/>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5"/>
      <c r="B83" s="3275"/>
      <c r="C83" s="3275"/>
      <c r="D83" s="3275"/>
      <c r="E83" s="3275"/>
      <c r="F83" s="3275"/>
      <c r="G83" s="3275"/>
      <c r="H83" s="3275"/>
      <c r="I83" s="3275"/>
      <c r="J83" s="3275"/>
      <c r="K83" s="3275"/>
      <c r="L83" s="3275"/>
      <c r="M83" s="3275"/>
      <c r="N83" s="3275"/>
      <c r="O83" s="3275"/>
      <c r="P83" s="3275"/>
      <c r="Q83" s="3275"/>
      <c r="R83" s="3275"/>
      <c r="S83" s="3275"/>
      <c r="T83" s="3275"/>
      <c r="U83" s="3275"/>
      <c r="V83" s="3275"/>
      <c r="W83" s="3275"/>
      <c r="X83" s="3275"/>
      <c r="Y83" s="3275"/>
      <c r="Z83" s="3275"/>
      <c r="AA83" s="3275"/>
      <c r="AB83" s="3275"/>
      <c r="AC83" s="3275"/>
      <c r="AD83" s="3275"/>
      <c r="AE83" s="3275"/>
      <c r="AF83" s="3275"/>
      <c r="AG83" s="3275"/>
      <c r="AH83" s="3275"/>
      <c r="AI83" s="3275"/>
      <c r="AJ83" s="3275"/>
      <c r="AK83" s="3275"/>
      <c r="AL83" s="3275"/>
      <c r="AM83" s="3275"/>
      <c r="AN83" s="3275"/>
      <c r="AO83" s="3275"/>
      <c r="AP83" s="3275"/>
      <c r="AQ83" s="3275"/>
      <c r="AR83" s="3275"/>
      <c r="AS83" s="3275"/>
      <c r="AT83" s="3275"/>
      <c r="AU83" s="3275"/>
      <c r="AV83" s="3275"/>
      <c r="AW83" s="3275"/>
      <c r="AX83" s="3275"/>
      <c r="AY83" s="3275"/>
      <c r="AZ83" s="3275"/>
      <c r="BA83" s="3275"/>
      <c r="BB83" s="3275"/>
      <c r="BC83" s="3275"/>
      <c r="BD83" s="3275"/>
      <c r="BE83" s="3275"/>
      <c r="BF83" s="3275"/>
      <c r="BG83" s="3275"/>
      <c r="BH83" s="3275"/>
      <c r="BI83" s="3275"/>
      <c r="BJ83" s="3275"/>
      <c r="BK83" s="3275"/>
      <c r="BL83" s="3275"/>
      <c r="BM83" s="3275"/>
      <c r="BN83" s="3275"/>
      <c r="BO83" s="3275"/>
      <c r="BP83" s="3275"/>
      <c r="BQ83" s="3275"/>
      <c r="BR83" s="3275"/>
      <c r="BS83" s="3275"/>
      <c r="BT83" s="3275"/>
      <c r="BU83" s="3275"/>
      <c r="BV83" s="3275"/>
      <c r="BW83" s="3275"/>
      <c r="BX83" s="3275"/>
    </row>
    <row r="84" spans="1:98" ht="13" thickTop="1"/>
    <row r="85" spans="1:98" ht="13">
      <c r="A85" s="794"/>
      <c r="C85" s="334"/>
      <c r="Z85" s="619"/>
      <c r="AA85" s="619"/>
      <c r="AB85" s="619"/>
      <c r="AC85" s="619"/>
      <c r="AD85" s="619"/>
      <c r="AE85" s="619"/>
      <c r="AF85" s="619"/>
      <c r="AG85" s="619"/>
      <c r="AH85" s="619"/>
    </row>
    <row r="86" spans="1:98" ht="13">
      <c r="D86" s="334"/>
      <c r="Z86" s="619"/>
      <c r="AA86" s="619"/>
      <c r="AB86" s="3276"/>
      <c r="AC86" s="3276"/>
      <c r="AD86" s="3276"/>
      <c r="AE86" s="3276"/>
      <c r="AF86" s="3276"/>
      <c r="AG86" s="619"/>
      <c r="AH86" s="619"/>
    </row>
    <row r="87" spans="1:98" ht="13.5" thickBot="1">
      <c r="D87" s="334"/>
      <c r="Z87" s="619"/>
      <c r="AA87" s="619"/>
      <c r="AB87" s="3274"/>
      <c r="AC87" s="3274"/>
      <c r="AD87" s="3274"/>
      <c r="AE87" s="3274"/>
      <c r="AF87" s="3274"/>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J24" sqref="J24"/>
    </sheetView>
  </sheetViews>
  <sheetFormatPr defaultColWidth="9" defaultRowHeight="14"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c r="A1" s="3348" t="s">
        <v>1935</v>
      </c>
      <c r="B1" s="3348"/>
      <c r="C1" s="3348"/>
      <c r="D1" s="3348"/>
      <c r="E1" s="3348"/>
      <c r="F1" s="3348"/>
      <c r="G1" s="3348"/>
      <c r="H1" s="3348"/>
      <c r="I1" s="3348"/>
      <c r="J1" s="3348"/>
      <c r="K1" s="3348"/>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8"/>
      <c r="B2" s="3348"/>
      <c r="C2" s="3348"/>
      <c r="D2" s="3348"/>
      <c r="E2" s="3348"/>
      <c r="F2" s="3348"/>
      <c r="G2" s="3348"/>
      <c r="H2" s="3348"/>
      <c r="I2" s="3348"/>
      <c r="J2" s="3348"/>
      <c r="K2" s="3348"/>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9" t="s">
        <v>1936</v>
      </c>
      <c r="D4" s="3349"/>
      <c r="E4" s="3349"/>
      <c r="F4" s="3349"/>
      <c r="G4" s="3349"/>
      <c r="H4" s="3349"/>
      <c r="I4" s="3349"/>
      <c r="J4" s="3349"/>
    </row>
    <row r="5" spans="1:33">
      <c r="C5" s="3349"/>
      <c r="D5" s="3349"/>
      <c r="E5" s="3349"/>
      <c r="F5" s="3349"/>
      <c r="G5" s="3349"/>
      <c r="H5" s="3349"/>
      <c r="I5" s="3349"/>
      <c r="J5" s="3349"/>
    </row>
    <row r="6" spans="1:33">
      <c r="C6" s="1426"/>
      <c r="D6" s="1426"/>
      <c r="E6" s="1426"/>
      <c r="F6" s="1426"/>
      <c r="G6" s="1426"/>
      <c r="H6" s="1426"/>
      <c r="I6" s="1426"/>
      <c r="J6" s="1426"/>
    </row>
    <row r="7" spans="1:33">
      <c r="C7" s="1427" t="s">
        <v>1937</v>
      </c>
      <c r="D7" s="1426"/>
      <c r="E7" s="3350" t="str">
        <f>Application!H16</f>
        <v>Mainline North 701, L.P.</v>
      </c>
      <c r="F7" s="3350"/>
      <c r="G7" s="3350"/>
      <c r="H7" s="1426"/>
      <c r="I7" s="1427" t="s">
        <v>1938</v>
      </c>
      <c r="J7" s="1428">
        <f>Application!AG437+Application!AG439</f>
        <v>150</v>
      </c>
    </row>
    <row r="8" spans="1:33">
      <c r="C8" s="1427" t="s">
        <v>1939</v>
      </c>
      <c r="D8" s="1426"/>
      <c r="E8" s="3350" t="str">
        <f>Application!H18</f>
        <v>Mainline North Apartments</v>
      </c>
      <c r="F8" s="3350"/>
      <c r="G8" s="3350"/>
      <c r="H8" s="1426"/>
      <c r="I8" s="1427" t="s">
        <v>1940</v>
      </c>
      <c r="J8" s="1429">
        <f>Application!CS663</f>
        <v>179</v>
      </c>
    </row>
    <row r="9" spans="1:33" ht="14.25" customHeight="1">
      <c r="C9" s="1427" t="s">
        <v>1941</v>
      </c>
      <c r="D9" s="1426"/>
      <c r="E9" s="3351" t="str">
        <f>Application!D210</f>
        <v>Non-Targeted</v>
      </c>
      <c r="F9" s="3351"/>
      <c r="G9" s="3351"/>
      <c r="H9" s="1426"/>
      <c r="I9" s="1427" t="s">
        <v>1942</v>
      </c>
      <c r="J9" s="1430"/>
      <c r="N9" s="1431"/>
    </row>
    <row r="10" spans="1:33" ht="26.9" customHeight="1">
      <c r="C10" s="3349" t="s">
        <v>1943</v>
      </c>
      <c r="D10" s="3349"/>
      <c r="E10" s="3352" t="str">
        <f>Application!D213</f>
        <v>N/A</v>
      </c>
      <c r="F10" s="3352"/>
      <c r="G10" s="3352"/>
      <c r="H10" s="1426"/>
      <c r="I10" s="1432" t="s">
        <v>1944</v>
      </c>
      <c r="J10" s="1433">
        <f>IF(J9&gt;0,J8-J9,J8)</f>
        <v>179</v>
      </c>
      <c r="N10" s="1431"/>
    </row>
    <row r="11" spans="1:33">
      <c r="C11" s="1434"/>
      <c r="N11" s="1431"/>
    </row>
    <row r="12" spans="1:33" ht="15" customHeight="1">
      <c r="C12" s="3353" t="s">
        <v>1945</v>
      </c>
      <c r="D12" s="3354"/>
      <c r="E12" s="3355"/>
      <c r="F12" s="3346" t="s">
        <v>1946</v>
      </c>
      <c r="G12" s="3346" t="s">
        <v>1947</v>
      </c>
      <c r="H12" s="3359" t="s">
        <v>2161</v>
      </c>
      <c r="I12" s="3346" t="s">
        <v>2160</v>
      </c>
      <c r="J12" s="3346" t="s">
        <v>1948</v>
      </c>
      <c r="N12" s="1431"/>
    </row>
    <row r="13" spans="1:33" ht="68.25" customHeight="1">
      <c r="C13" s="3356"/>
      <c r="D13" s="3357"/>
      <c r="E13" s="3358"/>
      <c r="F13" s="3347"/>
      <c r="G13" s="3347"/>
      <c r="H13" s="3360"/>
      <c r="I13" s="3347"/>
      <c r="J13" s="3347"/>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v>84</v>
      </c>
      <c r="G17" s="1443">
        <v>8000</v>
      </c>
      <c r="H17" s="1442" t="s">
        <v>2221</v>
      </c>
      <c r="I17" s="1442" t="s">
        <v>2637</v>
      </c>
      <c r="J17" s="1442" t="s">
        <v>2638</v>
      </c>
    </row>
    <row r="18" spans="3:10">
      <c r="C18" s="1439" t="s">
        <v>1955</v>
      </c>
      <c r="D18" s="1425" t="s">
        <v>1956</v>
      </c>
      <c r="E18" s="1425"/>
      <c r="F18" s="1440">
        <v>104</v>
      </c>
      <c r="G18" s="1443">
        <v>10000</v>
      </c>
      <c r="H18" s="1442" t="s">
        <v>2221</v>
      </c>
      <c r="I18" s="1442" t="s">
        <v>2637</v>
      </c>
      <c r="J18" s="1442" t="s">
        <v>2638</v>
      </c>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967</v>
      </c>
      <c r="D35" s="1463"/>
      <c r="E35" s="1463"/>
      <c r="F35" s="1464"/>
      <c r="G35" s="1465">
        <f>SUM(G15:G33)</f>
        <v>18000</v>
      </c>
      <c r="H35" s="1466"/>
      <c r="I35" s="1466"/>
      <c r="J35" s="1466"/>
    </row>
    <row r="36" spans="3:10"/>
    <row r="37" spans="3:10" ht="16.5">
      <c r="C37" s="1467" t="s">
        <v>1972</v>
      </c>
    </row>
    <row r="38" spans="3:10" s="1469" customFormat="1" ht="17.25" customHeight="1">
      <c r="C38" s="1468" t="s">
        <v>1973</v>
      </c>
    </row>
    <row r="39" spans="3:10" s="1469" customFormat="1" ht="14.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3" zoomScaleNormal="100" zoomScaleSheetLayoutView="100" workbookViewId="0">
      <selection activeCell="E48" sqref="E48"/>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936</v>
      </c>
      <c r="B1" s="340"/>
    </row>
    <row r="2" spans="1:34"/>
    <row r="3" spans="1:34" ht="15.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2979864</v>
      </c>
      <c r="G4" s="354">
        <f>E4*$C$4</f>
        <v>3054360.5999999996</v>
      </c>
      <c r="I4" s="354">
        <f>G4*$C$4</f>
        <v>3130719.6149999993</v>
      </c>
      <c r="K4" s="354">
        <f>I4*$C$4</f>
        <v>3208987.6053749989</v>
      </c>
      <c r="M4" s="354">
        <f>K4*$C$4</f>
        <v>3289212.2955093738</v>
      </c>
      <c r="O4" s="354">
        <f>M4*$C$4</f>
        <v>3371442.6028971076</v>
      </c>
      <c r="Q4" s="354">
        <f>O4*$C$4</f>
        <v>3455728.6679695351</v>
      </c>
      <c r="S4" s="354">
        <f>Q4*$C$4</f>
        <v>3542121.884668773</v>
      </c>
      <c r="U4" s="354">
        <f>S4*$C$4</f>
        <v>3630674.9317854922</v>
      </c>
      <c r="W4" s="354">
        <f>U4*$C$4</f>
        <v>3721441.8050801293</v>
      </c>
      <c r="Y4" s="354">
        <f>W4*$C$4</f>
        <v>3814477.8502071323</v>
      </c>
      <c r="AA4" s="354">
        <f>Y4*$C$4</f>
        <v>3909839.7964623105</v>
      </c>
      <c r="AC4" s="354">
        <f>AA4*$C$4</f>
        <v>4007585.791373868</v>
      </c>
      <c r="AE4" s="354">
        <f>AC4*$C$4</f>
        <v>4107775.4361582142</v>
      </c>
      <c r="AG4" s="354">
        <f>AE4*$C$4</f>
        <v>4210469.8220621692</v>
      </c>
    </row>
    <row r="5" spans="1:34" s="339" customFormat="1" ht="14">
      <c r="B5" s="339" t="s">
        <v>900</v>
      </c>
      <c r="C5" s="375">
        <f>IF(Application!$D$210="Special Needs",0.1,0.05)</f>
        <v>0.05</v>
      </c>
      <c r="E5" s="356">
        <f>-E4*$C$5</f>
        <v>-148993.20000000001</v>
      </c>
      <c r="F5" s="356"/>
      <c r="G5" s="356">
        <f>-G4*$C$5</f>
        <v>-152718.03</v>
      </c>
      <c r="H5" s="356"/>
      <c r="I5" s="356">
        <f>-I4*$C$5</f>
        <v>-156535.98074999996</v>
      </c>
      <c r="J5" s="356"/>
      <c r="K5" s="356">
        <f>-K4*$C$5</f>
        <v>-160449.38026874996</v>
      </c>
      <c r="L5" s="356"/>
      <c r="M5" s="356">
        <f>-M4*$C$5</f>
        <v>-164460.61477546871</v>
      </c>
      <c r="N5" s="356"/>
      <c r="O5" s="356">
        <f>-O4*$C$5</f>
        <v>-168572.13014485539</v>
      </c>
      <c r="P5" s="356"/>
      <c r="Q5" s="356">
        <f>-Q4*$C$5</f>
        <v>-172786.43339847677</v>
      </c>
      <c r="R5" s="356"/>
      <c r="S5" s="356">
        <f>-S4*$C$5</f>
        <v>-177106.09423343866</v>
      </c>
      <c r="T5" s="356"/>
      <c r="U5" s="356">
        <f>-U4*$C$5</f>
        <v>-181533.74658927461</v>
      </c>
      <c r="V5" s="356"/>
      <c r="W5" s="356">
        <f>-W4*$C$5</f>
        <v>-186072.09025400647</v>
      </c>
      <c r="X5" s="356"/>
      <c r="Y5" s="356">
        <f>-Y4*$C$5</f>
        <v>-190723.89251035661</v>
      </c>
      <c r="Z5" s="356"/>
      <c r="AA5" s="356">
        <f>-AA4*$C$5</f>
        <v>-195491.98982311552</v>
      </c>
      <c r="AB5" s="356"/>
      <c r="AC5" s="356">
        <f>-AC4*$C$5</f>
        <v>-200379.28956869341</v>
      </c>
      <c r="AD5" s="356"/>
      <c r="AE5" s="356">
        <f>-AE4*$C$5</f>
        <v>-205388.77180791073</v>
      </c>
      <c r="AF5" s="356"/>
      <c r="AG5" s="356">
        <f>-AG4*$C$5</f>
        <v>-210523.49110310848</v>
      </c>
    </row>
    <row r="6" spans="1:34" s="339" customFormat="1" ht="14">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296</v>
      </c>
      <c r="C8" s="374">
        <v>1.0249999999999999</v>
      </c>
      <c r="E8" s="357">
        <f>Application!Z815</f>
        <v>53220</v>
      </c>
      <c r="F8" s="357"/>
      <c r="G8" s="357">
        <f>E8*$C$8</f>
        <v>54550.499999999993</v>
      </c>
      <c r="H8" s="357"/>
      <c r="I8" s="357">
        <f>G8*$C$8</f>
        <v>55914.26249999999</v>
      </c>
      <c r="J8" s="357"/>
      <c r="K8" s="357">
        <f>I8*$C$8</f>
        <v>57312.119062499987</v>
      </c>
      <c r="L8" s="357"/>
      <c r="M8" s="357">
        <f>K8*$C$8</f>
        <v>58744.922039062483</v>
      </c>
      <c r="N8" s="357"/>
      <c r="O8" s="357">
        <f>M8*$C$8</f>
        <v>60213.545090039042</v>
      </c>
      <c r="P8" s="357"/>
      <c r="Q8" s="357">
        <f>O8*$C$8</f>
        <v>61718.883717290017</v>
      </c>
      <c r="R8" s="357"/>
      <c r="S8" s="357">
        <f>Q8*$C$8</f>
        <v>63261.85581022226</v>
      </c>
      <c r="T8" s="357"/>
      <c r="U8" s="357">
        <f>S8*$C$8</f>
        <v>64843.402205477811</v>
      </c>
      <c r="V8" s="357"/>
      <c r="W8" s="357">
        <f>U8*$C$8</f>
        <v>66464.487260614755</v>
      </c>
      <c r="X8" s="357"/>
      <c r="Y8" s="357">
        <f>W8*$C$8</f>
        <v>68126.099442130115</v>
      </c>
      <c r="Z8" s="357"/>
      <c r="AA8" s="357">
        <f>Y8*$C$8</f>
        <v>69829.251928183367</v>
      </c>
      <c r="AB8" s="357"/>
      <c r="AC8" s="357">
        <f>AA8*$C$8</f>
        <v>71574.983226387951</v>
      </c>
      <c r="AD8" s="357"/>
      <c r="AE8" s="357">
        <f>AC8*$C$8</f>
        <v>73364.357807047636</v>
      </c>
      <c r="AF8" s="357"/>
      <c r="AG8" s="357">
        <f>AE8*$C$8</f>
        <v>75198.466752223816</v>
      </c>
    </row>
    <row r="9" spans="1:34" s="339" customFormat="1" ht="14">
      <c r="B9" s="339" t="s">
        <v>900</v>
      </c>
      <c r="C9" s="375">
        <f>IF(Application!$D$210="Special Needs",0.1,0.05)</f>
        <v>0.05</v>
      </c>
      <c r="E9" s="373">
        <f>-E8*$C$9</f>
        <v>-2661</v>
      </c>
      <c r="F9" s="356"/>
      <c r="G9" s="373">
        <f>-G8*$C$9</f>
        <v>-2727.5249999999996</v>
      </c>
      <c r="H9" s="356"/>
      <c r="I9" s="373">
        <f>-I8*$C$9</f>
        <v>-2795.7131249999998</v>
      </c>
      <c r="J9" s="356"/>
      <c r="K9" s="373">
        <f>-K8*$C$9</f>
        <v>-2865.6059531249994</v>
      </c>
      <c r="L9" s="356"/>
      <c r="M9" s="373">
        <f>-M8*$C$9</f>
        <v>-2937.2461019531243</v>
      </c>
      <c r="N9" s="356"/>
      <c r="O9" s="373">
        <f>-O8*$C$9</f>
        <v>-3010.6772545019521</v>
      </c>
      <c r="P9" s="356"/>
      <c r="Q9" s="373">
        <f>-Q8*$C$9</f>
        <v>-3085.9441858645009</v>
      </c>
      <c r="R9" s="356"/>
      <c r="S9" s="373">
        <f>-S8*$C$9</f>
        <v>-3163.092790511113</v>
      </c>
      <c r="T9" s="356"/>
      <c r="U9" s="373">
        <f>-U8*$C$9</f>
        <v>-3242.1701102738907</v>
      </c>
      <c r="V9" s="356"/>
      <c r="W9" s="373">
        <f>-W8*$C$9</f>
        <v>-3323.224363030738</v>
      </c>
      <c r="X9" s="356"/>
      <c r="Y9" s="373">
        <f>-Y8*$C$9</f>
        <v>-3406.3049721065058</v>
      </c>
      <c r="Z9" s="356"/>
      <c r="AA9" s="373">
        <f>-AA8*$C$9</f>
        <v>-3491.4625964091683</v>
      </c>
      <c r="AB9" s="356"/>
      <c r="AC9" s="373">
        <f>-AC8*$C$9</f>
        <v>-3578.7491613193979</v>
      </c>
      <c r="AD9" s="356"/>
      <c r="AE9" s="373">
        <f>-AE8*$C$9</f>
        <v>-3668.2178903523818</v>
      </c>
      <c r="AF9" s="356"/>
      <c r="AG9" s="373">
        <f>-AG8*$C$9</f>
        <v>-3759.9233376111911</v>
      </c>
    </row>
    <row r="10" spans="1:34" s="358" customFormat="1" ht="14">
      <c r="A10" s="358" t="s">
        <v>921</v>
      </c>
      <c r="C10" s="349"/>
      <c r="E10" s="358">
        <f>SUM(E4:E9)</f>
        <v>2881429.8</v>
      </c>
      <c r="G10" s="358">
        <f>SUM(G4:G9)</f>
        <v>2953465.5449999999</v>
      </c>
      <c r="I10" s="358">
        <f>SUM(I4:I9)</f>
        <v>3027302.1836249996</v>
      </c>
      <c r="K10" s="358">
        <f>SUM(K4:K9)</f>
        <v>3102984.7382156244</v>
      </c>
      <c r="M10" s="358">
        <f>SUM(M4:M9)</f>
        <v>3180559.3566710148</v>
      </c>
      <c r="O10" s="358">
        <f>SUM(O4:O9)</f>
        <v>3260073.3405877897</v>
      </c>
      <c r="Q10" s="358">
        <f>SUM(Q4:Q9)</f>
        <v>3341575.1741024838</v>
      </c>
      <c r="S10" s="358">
        <f>SUM(S4:S9)</f>
        <v>3425114.5534550454</v>
      </c>
      <c r="U10" s="358">
        <f>SUM(U4:U9)</f>
        <v>3510742.4172914214</v>
      </c>
      <c r="W10" s="358">
        <f>SUM(W4:W9)</f>
        <v>3598510.9777237065</v>
      </c>
      <c r="Y10" s="358">
        <f>SUM(Y4:Y9)</f>
        <v>3688473.7521667993</v>
      </c>
      <c r="AA10" s="358">
        <f>SUM(AA4:AA9)</f>
        <v>3780685.5959709692</v>
      </c>
      <c r="AC10" s="358">
        <f>SUM(AC4:AC9)</f>
        <v>3875202.7358702431</v>
      </c>
      <c r="AE10" s="358">
        <f>SUM(AE4:AE9)</f>
        <v>3972082.8042669985</v>
      </c>
      <c r="AG10" s="358">
        <f>SUM(AG4:AG9)</f>
        <v>4071384.874373673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72150</v>
      </c>
      <c r="G14" s="354">
        <f>E14*$C$13</f>
        <v>74675.25</v>
      </c>
      <c r="I14" s="354">
        <f>G14*$C$13</f>
        <v>77288.883749999994</v>
      </c>
      <c r="K14" s="354">
        <f>I14*$C$13</f>
        <v>79993.994681249984</v>
      </c>
      <c r="M14" s="354">
        <f>K14*$C$13</f>
        <v>82793.784495093729</v>
      </c>
      <c r="O14" s="354">
        <f>M14*$C$13</f>
        <v>85691.566952421999</v>
      </c>
      <c r="Q14" s="354">
        <f>O14*$C$13</f>
        <v>88690.771795756766</v>
      </c>
      <c r="S14" s="354">
        <f>Q14*$C$13</f>
        <v>91794.948808608242</v>
      </c>
      <c r="U14" s="354">
        <f>S14*$C$13</f>
        <v>95007.772016909526</v>
      </c>
      <c r="W14" s="354">
        <f>U14*$C$13</f>
        <v>98333.044037501357</v>
      </c>
      <c r="Y14" s="354">
        <f>W14*$C$13</f>
        <v>101774.70057881389</v>
      </c>
      <c r="AA14" s="354">
        <f>Y14*$C$13</f>
        <v>105336.81509907237</v>
      </c>
      <c r="AC14" s="354">
        <f>AA14*$C$13</f>
        <v>109023.60362753989</v>
      </c>
      <c r="AE14" s="354">
        <f>AC14*$C$13</f>
        <v>112839.42975450378</v>
      </c>
      <c r="AG14" s="354">
        <f>AE14*$C$13</f>
        <v>116788.80979591141</v>
      </c>
    </row>
    <row r="15" spans="1:34" s="339" customFormat="1" ht="14">
      <c r="A15" s="339" t="s">
        <v>354</v>
      </c>
      <c r="C15" s="368"/>
      <c r="E15" s="357">
        <f>Application!W847</f>
        <v>115126</v>
      </c>
      <c r="F15" s="357"/>
      <c r="G15" s="357">
        <f t="shared" ref="G15:AG20" si="0">E15*$C$13</f>
        <v>119155.40999999999</v>
      </c>
      <c r="H15" s="357"/>
      <c r="I15" s="357">
        <f t="shared" si="0"/>
        <v>123325.84934999997</v>
      </c>
      <c r="J15" s="357"/>
      <c r="K15" s="357">
        <f t="shared" si="0"/>
        <v>127642.25407724996</v>
      </c>
      <c r="L15" s="357"/>
      <c r="M15" s="357">
        <f t="shared" si="0"/>
        <v>132109.73296995371</v>
      </c>
      <c r="N15" s="357"/>
      <c r="O15" s="357">
        <f t="shared" si="0"/>
        <v>136733.57362390208</v>
      </c>
      <c r="P15" s="357"/>
      <c r="Q15" s="357">
        <f t="shared" si="0"/>
        <v>141519.24870073865</v>
      </c>
      <c r="R15" s="357"/>
      <c r="S15" s="357">
        <f t="shared" si="0"/>
        <v>146472.42240526449</v>
      </c>
      <c r="T15" s="357"/>
      <c r="U15" s="357">
        <f t="shared" si="0"/>
        <v>151598.95718944873</v>
      </c>
      <c r="V15" s="357"/>
      <c r="W15" s="357">
        <f t="shared" si="0"/>
        <v>156904.92069107943</v>
      </c>
      <c r="X15" s="357"/>
      <c r="Y15" s="357">
        <f t="shared" si="0"/>
        <v>162396.59291526719</v>
      </c>
      <c r="Z15" s="357"/>
      <c r="AA15" s="357">
        <f t="shared" si="0"/>
        <v>168080.47366730153</v>
      </c>
      <c r="AB15" s="357"/>
      <c r="AC15" s="357">
        <f t="shared" si="0"/>
        <v>173963.29024565706</v>
      </c>
      <c r="AD15" s="357"/>
      <c r="AE15" s="357">
        <f t="shared" si="0"/>
        <v>180052.00540425503</v>
      </c>
      <c r="AF15" s="357"/>
      <c r="AG15" s="357">
        <f t="shared" si="0"/>
        <v>186353.82559340395</v>
      </c>
    </row>
    <row r="16" spans="1:34" s="339" customFormat="1" ht="14">
      <c r="A16" s="339" t="s">
        <v>593</v>
      </c>
      <c r="C16" s="368"/>
      <c r="E16" s="357">
        <f>Application!W853</f>
        <v>208380</v>
      </c>
      <c r="F16" s="357"/>
      <c r="G16" s="357">
        <f t="shared" si="0"/>
        <v>215673.3</v>
      </c>
      <c r="H16" s="357"/>
      <c r="I16" s="357">
        <f t="shared" si="0"/>
        <v>223221.86549999996</v>
      </c>
      <c r="J16" s="357"/>
      <c r="K16" s="357">
        <f t="shared" si="0"/>
        <v>231034.63079249993</v>
      </c>
      <c r="L16" s="357"/>
      <c r="M16" s="357">
        <f t="shared" si="0"/>
        <v>239120.84287023739</v>
      </c>
      <c r="N16" s="357"/>
      <c r="O16" s="357">
        <f t="shared" si="0"/>
        <v>247490.07237069568</v>
      </c>
      <c r="P16" s="357"/>
      <c r="Q16" s="357">
        <f t="shared" si="0"/>
        <v>256152.22490366999</v>
      </c>
      <c r="R16" s="357"/>
      <c r="S16" s="357">
        <f t="shared" si="0"/>
        <v>265117.55277529842</v>
      </c>
      <c r="T16" s="357"/>
      <c r="U16" s="357">
        <f t="shared" si="0"/>
        <v>274396.66712243384</v>
      </c>
      <c r="V16" s="357"/>
      <c r="W16" s="357">
        <f t="shared" si="0"/>
        <v>284000.55047171901</v>
      </c>
      <c r="X16" s="357"/>
      <c r="Y16" s="357">
        <f t="shared" si="0"/>
        <v>293940.56973822915</v>
      </c>
      <c r="Z16" s="357"/>
      <c r="AA16" s="357">
        <f t="shared" si="0"/>
        <v>304228.48967906716</v>
      </c>
      <c r="AB16" s="357"/>
      <c r="AC16" s="357">
        <f t="shared" si="0"/>
        <v>314876.48681783449</v>
      </c>
      <c r="AD16" s="357"/>
      <c r="AE16" s="357">
        <f t="shared" si="0"/>
        <v>325897.16385645868</v>
      </c>
      <c r="AF16" s="357"/>
      <c r="AG16" s="357">
        <f t="shared" si="0"/>
        <v>337303.56459143473</v>
      </c>
    </row>
    <row r="17" spans="1:33" s="339" customFormat="1" ht="14">
      <c r="A17" s="339" t="s">
        <v>904</v>
      </c>
      <c r="C17" s="368"/>
      <c r="E17" s="357">
        <f>Application!W860</f>
        <v>280029</v>
      </c>
      <c r="F17" s="357"/>
      <c r="G17" s="357">
        <f t="shared" si="0"/>
        <v>289830.01499999996</v>
      </c>
      <c r="H17" s="357"/>
      <c r="I17" s="357">
        <f t="shared" si="0"/>
        <v>299974.06552499993</v>
      </c>
      <c r="J17" s="357"/>
      <c r="K17" s="357">
        <f t="shared" si="0"/>
        <v>310473.15781837492</v>
      </c>
      <c r="L17" s="357"/>
      <c r="M17" s="357">
        <f t="shared" si="0"/>
        <v>321339.71834201802</v>
      </c>
      <c r="N17" s="357"/>
      <c r="O17" s="357">
        <f t="shared" si="0"/>
        <v>332586.60848398862</v>
      </c>
      <c r="P17" s="357"/>
      <c r="Q17" s="357">
        <f t="shared" si="0"/>
        <v>344227.13978092821</v>
      </c>
      <c r="R17" s="357"/>
      <c r="S17" s="357">
        <f t="shared" si="0"/>
        <v>356275.08967326069</v>
      </c>
      <c r="T17" s="357"/>
      <c r="U17" s="357">
        <f t="shared" si="0"/>
        <v>368744.71781182481</v>
      </c>
      <c r="V17" s="357"/>
      <c r="W17" s="357">
        <f t="shared" si="0"/>
        <v>381650.78293523868</v>
      </c>
      <c r="X17" s="357"/>
      <c r="Y17" s="357">
        <f t="shared" si="0"/>
        <v>395008.56033797201</v>
      </c>
      <c r="Z17" s="357"/>
      <c r="AA17" s="357">
        <f t="shared" si="0"/>
        <v>408833.859949801</v>
      </c>
      <c r="AB17" s="357"/>
      <c r="AC17" s="357">
        <f t="shared" si="0"/>
        <v>423143.045048044</v>
      </c>
      <c r="AD17" s="357"/>
      <c r="AE17" s="357">
        <f t="shared" si="0"/>
        <v>437953.05162472551</v>
      </c>
      <c r="AF17" s="357"/>
      <c r="AG17" s="357">
        <f t="shared" si="0"/>
        <v>453281.40843159088</v>
      </c>
    </row>
    <row r="18" spans="1:33" s="339" customFormat="1" ht="14">
      <c r="A18" s="339" t="s">
        <v>160</v>
      </c>
      <c r="C18" s="368"/>
      <c r="E18" s="357">
        <f>Application!W861</f>
        <v>55870</v>
      </c>
      <c r="F18" s="357"/>
      <c r="G18" s="357">
        <f t="shared" si="0"/>
        <v>57825.45</v>
      </c>
      <c r="H18" s="357"/>
      <c r="I18" s="357">
        <f t="shared" si="0"/>
        <v>59849.340749999996</v>
      </c>
      <c r="J18" s="357"/>
      <c r="K18" s="357">
        <f t="shared" si="0"/>
        <v>61944.067676249993</v>
      </c>
      <c r="L18" s="357"/>
      <c r="M18" s="357">
        <f t="shared" si="0"/>
        <v>64112.110044918736</v>
      </c>
      <c r="N18" s="357"/>
      <c r="O18" s="357">
        <f t="shared" si="0"/>
        <v>66356.033896490888</v>
      </c>
      <c r="P18" s="357"/>
      <c r="Q18" s="357">
        <f t="shared" si="0"/>
        <v>68678.495082868059</v>
      </c>
      <c r="R18" s="357"/>
      <c r="S18" s="357">
        <f t="shared" si="0"/>
        <v>71082.242410768435</v>
      </c>
      <c r="T18" s="357"/>
      <c r="U18" s="357">
        <f t="shared" si="0"/>
        <v>73570.12089514533</v>
      </c>
      <c r="V18" s="357"/>
      <c r="W18" s="357">
        <f t="shared" si="0"/>
        <v>76145.075126475407</v>
      </c>
      <c r="X18" s="357"/>
      <c r="Y18" s="357">
        <f t="shared" si="0"/>
        <v>78810.152755902047</v>
      </c>
      <c r="Z18" s="357"/>
      <c r="AA18" s="357">
        <f t="shared" si="0"/>
        <v>81568.50810235861</v>
      </c>
      <c r="AB18" s="357"/>
      <c r="AC18" s="357">
        <f t="shared" si="0"/>
        <v>84423.40588594116</v>
      </c>
      <c r="AD18" s="357"/>
      <c r="AE18" s="357">
        <f t="shared" si="0"/>
        <v>87378.225091949091</v>
      </c>
      <c r="AF18" s="357"/>
      <c r="AG18" s="357">
        <f t="shared" si="0"/>
        <v>90436.462970167297</v>
      </c>
    </row>
    <row r="19" spans="1:33" s="339" customFormat="1" ht="14">
      <c r="A19" s="339" t="s">
        <v>409</v>
      </c>
      <c r="C19" s="368"/>
      <c r="E19" s="357">
        <f>Application!W870</f>
        <v>103200</v>
      </c>
      <c r="F19" s="357"/>
      <c r="G19" s="357">
        <f t="shared" si="0"/>
        <v>106811.99999999999</v>
      </c>
      <c r="H19" s="357"/>
      <c r="I19" s="357">
        <f t="shared" si="0"/>
        <v>110550.41999999997</v>
      </c>
      <c r="J19" s="357"/>
      <c r="K19" s="357">
        <f t="shared" si="0"/>
        <v>114419.68469999995</v>
      </c>
      <c r="L19" s="357"/>
      <c r="M19" s="357">
        <f t="shared" si="0"/>
        <v>118424.37366449994</v>
      </c>
      <c r="N19" s="357"/>
      <c r="O19" s="357">
        <f t="shared" si="0"/>
        <v>122569.22674275743</v>
      </c>
      <c r="P19" s="357"/>
      <c r="Q19" s="357">
        <f t="shared" si="0"/>
        <v>126859.14967875392</v>
      </c>
      <c r="R19" s="357"/>
      <c r="S19" s="357">
        <f t="shared" si="0"/>
        <v>131299.21991751029</v>
      </c>
      <c r="T19" s="357"/>
      <c r="U19" s="357">
        <f t="shared" si="0"/>
        <v>135894.69261462314</v>
      </c>
      <c r="V19" s="357"/>
      <c r="W19" s="357">
        <f t="shared" si="0"/>
        <v>140651.00685613495</v>
      </c>
      <c r="X19" s="357"/>
      <c r="Y19" s="357">
        <f t="shared" si="0"/>
        <v>145573.79209609967</v>
      </c>
      <c r="Z19" s="357"/>
      <c r="AA19" s="357">
        <f t="shared" si="0"/>
        <v>150668.87481946315</v>
      </c>
      <c r="AB19" s="357"/>
      <c r="AC19" s="357">
        <f t="shared" si="0"/>
        <v>155942.28543814435</v>
      </c>
      <c r="AD19" s="357"/>
      <c r="AE19" s="357">
        <f t="shared" si="0"/>
        <v>161400.26542847938</v>
      </c>
      <c r="AF19" s="357"/>
      <c r="AG19" s="357">
        <f t="shared" si="0"/>
        <v>167049.27471847614</v>
      </c>
    </row>
    <row r="20" spans="1:33" s="339" customFormat="1" ht="14">
      <c r="A20" s="361" t="s">
        <v>1040</v>
      </c>
      <c r="B20" s="361"/>
      <c r="C20" s="368"/>
      <c r="E20" s="367">
        <f>Application!W877</f>
        <v>18750</v>
      </c>
      <c r="F20" s="357"/>
      <c r="G20" s="367">
        <f t="shared" si="0"/>
        <v>19406.25</v>
      </c>
      <c r="H20" s="357"/>
      <c r="I20" s="367">
        <f t="shared" si="0"/>
        <v>20085.46875</v>
      </c>
      <c r="J20" s="357"/>
      <c r="K20" s="367">
        <f t="shared" si="0"/>
        <v>20788.460156249999</v>
      </c>
      <c r="L20" s="357"/>
      <c r="M20" s="367">
        <f t="shared" si="0"/>
        <v>21516.056261718746</v>
      </c>
      <c r="N20" s="357"/>
      <c r="O20" s="367">
        <f t="shared" si="0"/>
        <v>22269.118230878899</v>
      </c>
      <c r="P20" s="357"/>
      <c r="Q20" s="367">
        <f t="shared" si="0"/>
        <v>23048.53736895966</v>
      </c>
      <c r="R20" s="357"/>
      <c r="S20" s="367">
        <f t="shared" si="0"/>
        <v>23855.236176873244</v>
      </c>
      <c r="T20" s="357"/>
      <c r="U20" s="367">
        <f t="shared" si="0"/>
        <v>24690.169443063805</v>
      </c>
      <c r="V20" s="357"/>
      <c r="W20" s="367">
        <f t="shared" si="0"/>
        <v>25554.325373571035</v>
      </c>
      <c r="X20" s="357"/>
      <c r="Y20" s="367">
        <f t="shared" si="0"/>
        <v>26448.726761646019</v>
      </c>
      <c r="Z20" s="357"/>
      <c r="AA20" s="367">
        <f t="shared" si="0"/>
        <v>27374.432198303628</v>
      </c>
      <c r="AB20" s="357"/>
      <c r="AC20" s="367">
        <f t="shared" si="0"/>
        <v>28332.537325244251</v>
      </c>
      <c r="AD20" s="357"/>
      <c r="AE20" s="367">
        <f t="shared" si="0"/>
        <v>29324.176131627799</v>
      </c>
      <c r="AF20" s="357"/>
      <c r="AG20" s="367">
        <f t="shared" si="0"/>
        <v>30350.522296234769</v>
      </c>
    </row>
    <row r="21" spans="1:33" s="358" customFormat="1" ht="14">
      <c r="A21" s="358" t="s">
        <v>905</v>
      </c>
      <c r="C21" s="368"/>
      <c r="E21" s="358">
        <f>SUM(E14:E20)</f>
        <v>853505</v>
      </c>
      <c r="G21" s="358">
        <f>SUM(G14:G20)</f>
        <v>883377.67499999981</v>
      </c>
      <c r="I21" s="358">
        <f>SUM(I14:I20)</f>
        <v>914295.89362499979</v>
      </c>
      <c r="K21" s="358">
        <f>SUM(K14:K20)</f>
        <v>946296.24990187481</v>
      </c>
      <c r="M21" s="358">
        <f>SUM(M14:M20)</f>
        <v>979416.61864844034</v>
      </c>
      <c r="O21" s="358">
        <f>SUM(O14:O20)</f>
        <v>1013696.2003011357</v>
      </c>
      <c r="Q21" s="358">
        <f>SUM(Q14:Q20)</f>
        <v>1049175.5673116753</v>
      </c>
      <c r="S21" s="358">
        <f>SUM(S14:S20)</f>
        <v>1085896.7121675839</v>
      </c>
      <c r="U21" s="358">
        <f>SUM(U14:U20)</f>
        <v>1123903.0970934494</v>
      </c>
      <c r="W21" s="358">
        <f>SUM(W14:W20)</f>
        <v>1163239.70549172</v>
      </c>
      <c r="Y21" s="358">
        <f>SUM(Y14:Y20)</f>
        <v>1203953.0951839299</v>
      </c>
      <c r="AA21" s="358">
        <f>SUM(AA14:AA20)</f>
        <v>1246091.4535153673</v>
      </c>
      <c r="AC21" s="358">
        <f>SUM(AC14:AC20)</f>
        <v>1289704.6543884051</v>
      </c>
      <c r="AE21" s="358">
        <f>SUM(AE14:AE20)</f>
        <v>1334844.3172919992</v>
      </c>
      <c r="AG21" s="358">
        <f>SUM(AG14:AG20)</f>
        <v>1381563.8683972193</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907</v>
      </c>
      <c r="C26" s="376">
        <v>1.0349999999999999</v>
      </c>
      <c r="E26" s="357">
        <f>Application!AC886</f>
        <v>18000</v>
      </c>
      <c r="F26" s="357"/>
      <c r="G26" s="357">
        <f>E26*$C$26</f>
        <v>18630</v>
      </c>
      <c r="H26" s="357"/>
      <c r="I26" s="357">
        <f>G26*$C$26</f>
        <v>19282.05</v>
      </c>
      <c r="J26" s="357"/>
      <c r="K26" s="357">
        <f>I26*$C$26</f>
        <v>19956.921749999998</v>
      </c>
      <c r="L26" s="357"/>
      <c r="M26" s="357">
        <f>K26*$C$26</f>
        <v>20655.414011249995</v>
      </c>
      <c r="N26" s="357"/>
      <c r="O26" s="357">
        <f>M26*$C$26</f>
        <v>21378.353501643742</v>
      </c>
      <c r="P26" s="357"/>
      <c r="Q26" s="357">
        <f>O26*$C$26</f>
        <v>22126.59587420127</v>
      </c>
      <c r="R26" s="357"/>
      <c r="S26" s="357">
        <f>Q26*$C$26</f>
        <v>22901.026729798312</v>
      </c>
      <c r="T26" s="357"/>
      <c r="U26" s="357">
        <f>S26*$C$26</f>
        <v>23702.562665341251</v>
      </c>
      <c r="V26" s="357"/>
      <c r="W26" s="357">
        <f>U26*$C$26</f>
        <v>24532.152358628195</v>
      </c>
      <c r="X26" s="357"/>
      <c r="Y26" s="357">
        <f>W26*$C$26</f>
        <v>25390.777691180181</v>
      </c>
      <c r="Z26" s="357"/>
      <c r="AA26" s="357">
        <f>Y26*$C$26</f>
        <v>26279.454910371485</v>
      </c>
      <c r="AB26" s="357"/>
      <c r="AC26" s="357">
        <f>AA26*$C$26</f>
        <v>27199.235832234484</v>
      </c>
      <c r="AD26" s="357"/>
      <c r="AE26" s="357">
        <f>AC26*$C$26</f>
        <v>28151.209086362691</v>
      </c>
      <c r="AF26" s="357"/>
      <c r="AG26" s="357">
        <f>AE26*$C$26</f>
        <v>29136.501404385384</v>
      </c>
    </row>
    <row r="27" spans="1:33" s="339" customFormat="1" ht="14">
      <c r="A27" s="339" t="s">
        <v>908</v>
      </c>
      <c r="C27" s="376"/>
      <c r="E27" s="357">
        <f>Application!AC887</f>
        <v>45300</v>
      </c>
      <c r="F27" s="357"/>
      <c r="G27" s="357">
        <f>$E$27</f>
        <v>45300</v>
      </c>
      <c r="H27" s="357"/>
      <c r="I27" s="357">
        <f>$E$27</f>
        <v>45300</v>
      </c>
      <c r="J27" s="357"/>
      <c r="K27" s="357">
        <f>$E$27</f>
        <v>45300</v>
      </c>
      <c r="L27" s="357"/>
      <c r="M27" s="357">
        <f>$E$27</f>
        <v>45300</v>
      </c>
      <c r="N27" s="357"/>
      <c r="O27" s="357">
        <f>$E$27</f>
        <v>45300</v>
      </c>
      <c r="P27" s="357"/>
      <c r="Q27" s="357">
        <f>$E$27</f>
        <v>45300</v>
      </c>
      <c r="R27" s="357"/>
      <c r="S27" s="357">
        <f>$E$27</f>
        <v>45300</v>
      </c>
      <c r="T27" s="357"/>
      <c r="U27" s="357">
        <f>$E$27</f>
        <v>45300</v>
      </c>
      <c r="V27" s="357"/>
      <c r="W27" s="357">
        <f>$E$27</f>
        <v>45300</v>
      </c>
      <c r="X27" s="357"/>
      <c r="Y27" s="357">
        <f>$E$27</f>
        <v>45300</v>
      </c>
      <c r="Z27" s="357"/>
      <c r="AA27" s="357">
        <f>$E$27</f>
        <v>45300</v>
      </c>
      <c r="AB27" s="357"/>
      <c r="AC27" s="357">
        <f>$E$27</f>
        <v>45300</v>
      </c>
      <c r="AD27" s="357"/>
      <c r="AE27" s="357">
        <f>$E$27</f>
        <v>45300</v>
      </c>
      <c r="AF27" s="357"/>
      <c r="AG27" s="357">
        <f>$E$27</f>
        <v>45300</v>
      </c>
    </row>
    <row r="28" spans="1:33" s="339" customFormat="1" ht="14">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916805</v>
      </c>
      <c r="G34" s="358">
        <f>SUM(G21:G32)</f>
        <v>947307.67499999981</v>
      </c>
      <c r="I34" s="358">
        <f>SUM(I21:I32)</f>
        <v>978877.94362499984</v>
      </c>
      <c r="K34" s="358">
        <f>SUM(K21:K32)</f>
        <v>1011553.1716518748</v>
      </c>
      <c r="M34" s="358">
        <f>SUM(M21:M32)</f>
        <v>1045372.0326596904</v>
      </c>
      <c r="O34" s="358">
        <f>SUM(O21:O32)</f>
        <v>1080374.5538027794</v>
      </c>
      <c r="Q34" s="358">
        <f>SUM(Q21:Q32)</f>
        <v>1116602.1631858766</v>
      </c>
      <c r="S34" s="358">
        <f>SUM(S21:S32)</f>
        <v>1154097.7388973823</v>
      </c>
      <c r="U34" s="358">
        <f>SUM(U21:U32)</f>
        <v>1192905.6597587906</v>
      </c>
      <c r="W34" s="358">
        <f>SUM(W21:W32)</f>
        <v>1233071.8578503481</v>
      </c>
      <c r="Y34" s="358">
        <f>SUM(Y21:Y32)</f>
        <v>1274643.87287511</v>
      </c>
      <c r="AA34" s="358">
        <f>SUM(AA21:AA32)</f>
        <v>1317670.9084257388</v>
      </c>
      <c r="AC34" s="358">
        <f>SUM(AC21:AC32)</f>
        <v>1362203.8902206395</v>
      </c>
      <c r="AE34" s="358">
        <f>SUM(AE21:AE32)</f>
        <v>1408295.526378362</v>
      </c>
      <c r="AG34" s="358">
        <f>SUM(AG21:AG32)</f>
        <v>1456000.3698016047</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1964624.7999999998</v>
      </c>
      <c r="G36" s="358">
        <f>G10-G34</f>
        <v>2006157.87</v>
      </c>
      <c r="I36" s="358">
        <f>I10-I34</f>
        <v>2048424.2399999998</v>
      </c>
      <c r="K36" s="358">
        <f>K10-K34</f>
        <v>2091431.5665637497</v>
      </c>
      <c r="M36" s="358">
        <f>M10-M34</f>
        <v>2135187.3240113244</v>
      </c>
      <c r="O36" s="358">
        <f>O10-O34</f>
        <v>2179698.7867850102</v>
      </c>
      <c r="Q36" s="358">
        <f>Q10-Q34</f>
        <v>2224973.0109166075</v>
      </c>
      <c r="S36" s="358">
        <f>S10-S34</f>
        <v>2271016.8145576632</v>
      </c>
      <c r="U36" s="358">
        <f>U10-U34</f>
        <v>2317836.757532631</v>
      </c>
      <c r="W36" s="358">
        <f>W10-W34</f>
        <v>2365439.1198733584</v>
      </c>
      <c r="Y36" s="358">
        <f>Y10-Y34</f>
        <v>2413829.879291689</v>
      </c>
      <c r="AA36" s="358">
        <f>AA10-AA34</f>
        <v>2463014.6875452306</v>
      </c>
      <c r="AC36" s="358">
        <f>AC10-AC34</f>
        <v>2512998.8456496038</v>
      </c>
      <c r="AE36" s="358">
        <f>AE10-AE34</f>
        <v>2563787.2778886366</v>
      </c>
      <c r="AG36" s="358">
        <f>AG10-AG34</f>
        <v>2615384.5045720683</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Citibank, N.A. - Tax Exempt Bonds</v>
      </c>
      <c r="B39" s="361"/>
      <c r="C39" s="355"/>
      <c r="E39" s="357">
        <f>Application!AF637</f>
        <v>1706016</v>
      </c>
      <c r="F39" s="357"/>
      <c r="G39" s="357">
        <f>$E$39</f>
        <v>1706016</v>
      </c>
      <c r="H39" s="357"/>
      <c r="I39" s="357">
        <f>$E$39</f>
        <v>1706016</v>
      </c>
      <c r="J39" s="357"/>
      <c r="K39" s="357">
        <f>$E$39</f>
        <v>1706016</v>
      </c>
      <c r="L39" s="357"/>
      <c r="M39" s="357">
        <f>$E$39</f>
        <v>1706016</v>
      </c>
      <c r="N39" s="357"/>
      <c r="O39" s="357">
        <f>$E$39</f>
        <v>1706016</v>
      </c>
      <c r="P39" s="357"/>
      <c r="Q39" s="357">
        <f>$E$39</f>
        <v>1706016</v>
      </c>
      <c r="R39" s="357"/>
      <c r="S39" s="357">
        <f>$E$39</f>
        <v>1706016</v>
      </c>
      <c r="T39" s="357"/>
      <c r="U39" s="357">
        <f>$E$39</f>
        <v>1706016</v>
      </c>
      <c r="V39" s="357"/>
      <c r="W39" s="357">
        <f>$E$39</f>
        <v>1706016</v>
      </c>
      <c r="X39" s="357"/>
      <c r="Y39" s="357">
        <f>$E$39</f>
        <v>1706016</v>
      </c>
      <c r="Z39" s="357"/>
      <c r="AA39" s="357">
        <f>$E$39</f>
        <v>1706016</v>
      </c>
      <c r="AB39" s="357"/>
      <c r="AC39" s="357">
        <f>$E$39</f>
        <v>1706016</v>
      </c>
      <c r="AD39" s="357"/>
      <c r="AE39" s="357">
        <f>$E$39</f>
        <v>1706016</v>
      </c>
      <c r="AF39" s="357"/>
      <c r="AG39" s="357">
        <f>$E$39</f>
        <v>1706016</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1706016</v>
      </c>
      <c r="G42" s="358">
        <f>SUM(G39:G41)</f>
        <v>1706016</v>
      </c>
      <c r="I42" s="358">
        <f>SUM(I39:I41)</f>
        <v>1706016</v>
      </c>
      <c r="K42" s="358">
        <f>SUM(K39:K41)</f>
        <v>1706016</v>
      </c>
      <c r="M42" s="358">
        <f>SUM(M39:M41)</f>
        <v>1706016</v>
      </c>
      <c r="O42" s="358">
        <f>SUM(O39:O41)</f>
        <v>1706016</v>
      </c>
      <c r="Q42" s="358">
        <f>SUM(Q39:Q41)</f>
        <v>1706016</v>
      </c>
      <c r="S42" s="358">
        <f>SUM(S39:S41)</f>
        <v>1706016</v>
      </c>
      <c r="U42" s="358">
        <f>SUM(U39:U41)</f>
        <v>1706016</v>
      </c>
      <c r="W42" s="358">
        <f>SUM(W39:W41)</f>
        <v>1706016</v>
      </c>
      <c r="Y42" s="358">
        <f>SUM(Y39:Y41)</f>
        <v>1706016</v>
      </c>
      <c r="AA42" s="358">
        <f>SUM(AA39:AA41)</f>
        <v>1706016</v>
      </c>
      <c r="AC42" s="358">
        <f>SUM(AC39:AC41)</f>
        <v>1706016</v>
      </c>
      <c r="AE42" s="358">
        <f>SUM(AE39:AE41)</f>
        <v>1706016</v>
      </c>
      <c r="AG42" s="358">
        <f>SUM(AG39:AG41)</f>
        <v>1706016</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258608.79999999981</v>
      </c>
      <c r="G44" s="358">
        <f>G36-G42</f>
        <v>300141.87000000011</v>
      </c>
      <c r="I44" s="358">
        <f>I36-I42</f>
        <v>342408.23999999976</v>
      </c>
      <c r="K44" s="358">
        <f>K36-K42</f>
        <v>385415.56656374969</v>
      </c>
      <c r="M44" s="358">
        <f>M36-M42</f>
        <v>429171.32401132444</v>
      </c>
      <c r="O44" s="358">
        <f>O36-O42</f>
        <v>473682.78678501025</v>
      </c>
      <c r="Q44" s="358">
        <f>Q36-Q42</f>
        <v>518957.01091660745</v>
      </c>
      <c r="S44" s="358">
        <f>S36-S42</f>
        <v>565000.81455766317</v>
      </c>
      <c r="U44" s="358">
        <f>U36-U42</f>
        <v>611820.75753263105</v>
      </c>
      <c r="W44" s="358">
        <f>W36-W42</f>
        <v>659423.1198733584</v>
      </c>
      <c r="Y44" s="358">
        <f>Y36-Y42</f>
        <v>707813.87929168902</v>
      </c>
      <c r="AA44" s="358">
        <f>AA36-AA42</f>
        <v>756998.68754523061</v>
      </c>
      <c r="AC44" s="358">
        <f>AC36-AC42</f>
        <v>806982.84564960375</v>
      </c>
      <c r="AE44" s="358">
        <f>AE36-AE42</f>
        <v>857771.27788863657</v>
      </c>
      <c r="AG44" s="358">
        <f>AG36-AG42</f>
        <v>909368.50457206834</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8.5262656754643062E-2</v>
      </c>
      <c r="G46" s="362">
        <f>G44/(G4+G6+G8)</f>
        <v>9.6542442143167151E-2</v>
      </c>
      <c r="I46" s="362">
        <f>I44/(I4+I6+I8)</f>
        <v>0.10745139013855846</v>
      </c>
      <c r="K46" s="362">
        <f>K44/(K4+K6+K8)</f>
        <v>0.117997611695027</v>
      </c>
      <c r="M46" s="362">
        <f>M44/(M4+M6+M8)</f>
        <v>0.12818901082779904</v>
      </c>
      <c r="O46" s="362">
        <f>O44/(O4+O6+O8)</f>
        <v>0.13803328957152394</v>
      </c>
      <c r="Q46" s="362">
        <f>Q44/(Q4+Q6+Q8)</f>
        <v>0.14753795281687618</v>
      </c>
      <c r="S46" s="362">
        <f>S44/(S4+S6+S8)</f>
        <v>0.15671031302831573</v>
      </c>
      <c r="U46" s="362">
        <f>U44/(U4+U6+U8)</f>
        <v>0.16555749484589785</v>
      </c>
      <c r="W46" s="362">
        <f>W44/(W4+W6+W8)</f>
        <v>0.17408643957394906</v>
      </c>
      <c r="Y46" s="362">
        <f>Y44/(Y4+Y6+Y8)</f>
        <v>0.18230390955936412</v>
      </c>
      <c r="AA46" s="362">
        <f>AA44/(AA4+AA6+AA8)</f>
        <v>0.1902164924622024</v>
      </c>
      <c r="AC46" s="362">
        <f>AC44/(AC4+AC6+AC8)</f>
        <v>0.1978306054212059</v>
      </c>
      <c r="AE46" s="362">
        <f>AE44/(AE4+AE6+AE8)</f>
        <v>0.20515249911679065</v>
      </c>
      <c r="AG46" s="362">
        <f>AG44/(AG4+AG6+AG8)</f>
        <v>0.21218826173400374</v>
      </c>
    </row>
    <row r="47" spans="1:33" s="362" customFormat="1" ht="14">
      <c r="A47" s="362" t="s">
        <v>914</v>
      </c>
      <c r="C47" s="355"/>
      <c r="E47" s="362">
        <f>E44/E42</f>
        <v>0.15158638605968514</v>
      </c>
      <c r="G47" s="362">
        <f>G44/G42</f>
        <v>0.17593145081874972</v>
      </c>
      <c r="I47" s="362">
        <f>I44/I42</f>
        <v>0.20070634741995372</v>
      </c>
      <c r="K47" s="362">
        <f>K44/K42</f>
        <v>0.22591556384216191</v>
      </c>
      <c r="M47" s="362">
        <f>M44/M42</f>
        <v>0.25156348124010819</v>
      </c>
      <c r="O47" s="362">
        <f>O44/O42</f>
        <v>0.27765436360796747</v>
      </c>
      <c r="Q47" s="362">
        <f>Q44/Q42</f>
        <v>0.3041923469162115</v>
      </c>
      <c r="S47" s="362">
        <f>S44/S42</f>
        <v>0.33118142769919107</v>
      </c>
      <c r="U47" s="362">
        <f>U44/U42</f>
        <v>0.35862545106999644</v>
      </c>
      <c r="W47" s="362">
        <f>W44/W42</f>
        <v>0.38652809813821115</v>
      </c>
      <c r="Y47" s="362">
        <f>Y44/Y42</f>
        <v>0.41489287280523102</v>
      </c>
      <c r="AA47" s="362">
        <f>AA44/AA42</f>
        <v>0.44372308791079956</v>
      </c>
      <c r="AC47" s="362">
        <f>AC44/AC42</f>
        <v>0.47302185070339536</v>
      </c>
      <c r="AE47" s="362">
        <f>AE44/AE42</f>
        <v>0.50279204760602281</v>
      </c>
      <c r="AG47" s="362">
        <f>AG44/AG42</f>
        <v>0.53303632824784075</v>
      </c>
    </row>
    <row r="48" spans="1:33" s="363" customFormat="1" ht="14">
      <c r="A48" s="363" t="s">
        <v>912</v>
      </c>
      <c r="C48" s="364"/>
      <c r="E48" s="363">
        <f>E36/E42</f>
        <v>1.1515863860596851</v>
      </c>
      <c r="G48" s="363">
        <f>G36/G42</f>
        <v>1.1759314508187497</v>
      </c>
      <c r="I48" s="363">
        <f>I36/I42</f>
        <v>1.2007063474199537</v>
      </c>
      <c r="K48" s="363">
        <f>K36/K42</f>
        <v>1.2259155638421619</v>
      </c>
      <c r="M48" s="363">
        <f>M36/M42</f>
        <v>1.2515634812401082</v>
      </c>
      <c r="O48" s="363">
        <f>O36/O42</f>
        <v>1.2776543636079676</v>
      </c>
      <c r="Q48" s="363">
        <f>Q36/Q42</f>
        <v>1.3041923469162116</v>
      </c>
      <c r="S48" s="363">
        <f>S36/S42</f>
        <v>1.3311814276991911</v>
      </c>
      <c r="U48" s="363">
        <f>U36/U42</f>
        <v>1.3586254510699964</v>
      </c>
      <c r="W48" s="363">
        <f>W36/W42</f>
        <v>1.3865280981382111</v>
      </c>
      <c r="Y48" s="363">
        <f>Y36/Y42</f>
        <v>1.414892872805231</v>
      </c>
      <c r="AA48" s="363">
        <f>AA36/AA42</f>
        <v>1.4437230879107996</v>
      </c>
      <c r="AC48" s="363">
        <f>AC36/AC42</f>
        <v>1.4730218507033954</v>
      </c>
      <c r="AE48" s="363">
        <f>AE36/AE42</f>
        <v>1.5027920476060228</v>
      </c>
      <c r="AG48" s="363">
        <f>AG36/AG42</f>
        <v>1.5330363282478408</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3" t="s">
        <v>1383</v>
      </c>
      <c r="B51" s="3363"/>
      <c r="C51" s="3363"/>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8">
        <v>19932</v>
      </c>
      <c r="G52" s="1674">
        <f>E52*$C$52</f>
        <v>20529.96</v>
      </c>
      <c r="I52" s="1674">
        <f>G52*$C$52</f>
        <v>21145.858799999998</v>
      </c>
      <c r="K52" s="1674">
        <f>I52*$C$52</f>
        <v>21780.234563999998</v>
      </c>
      <c r="M52" s="1674">
        <f>K52*$C$52</f>
        <v>22433.64160092</v>
      </c>
      <c r="O52" s="1674">
        <f>M52*$C$52</f>
        <v>23106.6508489476</v>
      </c>
      <c r="Q52" s="1674">
        <f>O52*$C$52</f>
        <v>23799.85037441603</v>
      </c>
      <c r="S52" s="1674">
        <f>Q52*$C$52</f>
        <v>24513.845885648512</v>
      </c>
      <c r="U52" s="1674">
        <f>S52*$C$52</f>
        <v>25249.261262217969</v>
      </c>
      <c r="W52" s="1674">
        <f>U52*$C$52</f>
        <v>26006.739100084509</v>
      </c>
      <c r="Y52" s="1674">
        <f>W52*$C$52</f>
        <v>26786.941273087046</v>
      </c>
      <c r="AA52" s="1674">
        <f>Y52*$C$52</f>
        <v>27590.54951127966</v>
      </c>
      <c r="AC52" s="1674">
        <f>AA52*$C$52</f>
        <v>28418.265996618051</v>
      </c>
      <c r="AE52" s="1674">
        <f>AC52*$C$52</f>
        <v>29270.813976516594</v>
      </c>
      <c r="AG52" s="1674">
        <f>AE52*$C$52</f>
        <v>30148.938395812092</v>
      </c>
    </row>
    <row r="53" spans="1:35" s="6" customFormat="1">
      <c r="A53" s="6" t="s">
        <v>917</v>
      </c>
      <c r="C53" s="1672"/>
      <c r="E53" s="1679">
        <v>7500</v>
      </c>
      <c r="F53" s="1674"/>
      <c r="G53" s="1674">
        <f t="shared" ref="G53:AG56" si="1">E53*$C$52</f>
        <v>7725</v>
      </c>
      <c r="H53" s="1674"/>
      <c r="I53" s="1674">
        <f t="shared" si="1"/>
        <v>7956.75</v>
      </c>
      <c r="J53" s="1674"/>
      <c r="K53" s="1674">
        <f t="shared" si="1"/>
        <v>8195.4524999999994</v>
      </c>
      <c r="L53" s="1674"/>
      <c r="M53" s="1674">
        <f t="shared" si="1"/>
        <v>8441.3160749999988</v>
      </c>
      <c r="N53" s="1674"/>
      <c r="O53" s="1674">
        <f t="shared" si="1"/>
        <v>8694.5555572499998</v>
      </c>
      <c r="P53" s="1674"/>
      <c r="Q53" s="1674">
        <f t="shared" si="1"/>
        <v>8955.3922239674994</v>
      </c>
      <c r="R53" s="1674"/>
      <c r="S53" s="1674">
        <f t="shared" si="1"/>
        <v>9224.0539906865251</v>
      </c>
      <c r="T53" s="1674"/>
      <c r="U53" s="1674">
        <f t="shared" si="1"/>
        <v>9500.7756104071213</v>
      </c>
      <c r="V53" s="1674"/>
      <c r="W53" s="1674">
        <f t="shared" si="1"/>
        <v>9785.7988787193353</v>
      </c>
      <c r="X53" s="1674"/>
      <c r="Y53" s="1674">
        <f t="shared" si="1"/>
        <v>10079.372845080916</v>
      </c>
      <c r="Z53" s="1674"/>
      <c r="AA53" s="1674">
        <f t="shared" si="1"/>
        <v>10381.754030433343</v>
      </c>
      <c r="AB53" s="1674"/>
      <c r="AC53" s="1674">
        <f t="shared" si="1"/>
        <v>10693.206651346343</v>
      </c>
      <c r="AD53" s="1674"/>
      <c r="AE53" s="1674">
        <f t="shared" si="1"/>
        <v>11014.002850886734</v>
      </c>
      <c r="AF53" s="1674"/>
      <c r="AG53" s="1674">
        <f t="shared" si="1"/>
        <v>11344.422936413337</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27432</v>
      </c>
      <c r="F57" s="1674"/>
      <c r="G57" s="1674">
        <f>SUM(G52:G56)</f>
        <v>28254.959999999999</v>
      </c>
      <c r="H57" s="1674"/>
      <c r="I57" s="1674">
        <f>SUM(I52:I56)</f>
        <v>29102.608799999998</v>
      </c>
      <c r="J57" s="1674"/>
      <c r="K57" s="1674">
        <f>SUM(K52:K56)</f>
        <v>29975.687063999998</v>
      </c>
      <c r="L57" s="1674"/>
      <c r="M57" s="1674">
        <f>SUM(M52:M56)</f>
        <v>30874.957675919999</v>
      </c>
      <c r="N57" s="1674"/>
      <c r="O57" s="1674">
        <f>SUM(O52:O56)</f>
        <v>31801.206406197598</v>
      </c>
      <c r="P57" s="1674"/>
      <c r="Q57" s="1674">
        <f>SUM(Q52:Q56)</f>
        <v>32755.242598383527</v>
      </c>
      <c r="R57" s="1674"/>
      <c r="S57" s="1674">
        <f>SUM(S52:S56)</f>
        <v>33737.899876335039</v>
      </c>
      <c r="T57" s="1674"/>
      <c r="U57" s="1674">
        <f>SUM(U52:U56)</f>
        <v>34750.036872625089</v>
      </c>
      <c r="V57" s="1674"/>
      <c r="W57" s="1674">
        <f>SUM(W52:W56)</f>
        <v>35792.537978803841</v>
      </c>
      <c r="X57" s="1674"/>
      <c r="Y57" s="1674">
        <f>SUM(Y52:Y56)</f>
        <v>36866.31411816796</v>
      </c>
      <c r="Z57" s="1674"/>
      <c r="AA57" s="1674">
        <f>SUM(AA52:AA56)</f>
        <v>37972.303541713001</v>
      </c>
      <c r="AB57" s="1674"/>
      <c r="AC57" s="1674">
        <f>SUM(AC52:AC56)</f>
        <v>39111.472647964394</v>
      </c>
      <c r="AD57" s="1674"/>
      <c r="AE57" s="1674">
        <f>SUM(AE52:AE56)</f>
        <v>40284.816827403331</v>
      </c>
      <c r="AF57" s="1674"/>
      <c r="AG57" s="1674">
        <f>SUM(AG52:AG56)</f>
        <v>41493.361332225431</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231176.79999999981</v>
      </c>
      <c r="G59" s="1676">
        <f>G44-G57</f>
        <v>271886.91000000009</v>
      </c>
      <c r="I59" s="1676">
        <f>I44-I57</f>
        <v>313305.63119999977</v>
      </c>
      <c r="K59" s="1676">
        <f>K44-K57</f>
        <v>355439.87949974969</v>
      </c>
      <c r="M59" s="1676">
        <f>M44-M57</f>
        <v>398296.36633540445</v>
      </c>
      <c r="O59" s="1676">
        <f>O44-O57</f>
        <v>441881.58037881262</v>
      </c>
      <c r="Q59" s="1676">
        <f>Q44-Q57</f>
        <v>486201.76831822394</v>
      </c>
      <c r="S59" s="1676">
        <f>S44-S57</f>
        <v>531262.91468132811</v>
      </c>
      <c r="U59" s="1676">
        <f>U44-U57</f>
        <v>577070.72066000593</v>
      </c>
      <c r="W59" s="1676">
        <f>W44-W57</f>
        <v>623630.58189455455</v>
      </c>
      <c r="Y59" s="1676">
        <f>Y44-Y57</f>
        <v>670947.56517352106</v>
      </c>
      <c r="AA59" s="1676">
        <f>AA44-AA57</f>
        <v>719026.38400351757</v>
      </c>
      <c r="AC59" s="1676">
        <f>AC44-AC57</f>
        <v>767871.37300163938</v>
      </c>
      <c r="AE59" s="1676">
        <f>AE44-AE57</f>
        <v>817486.46106123319</v>
      </c>
      <c r="AG59" s="1676">
        <f>AG44-AG57</f>
        <v>867875.14323984296</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0</v>
      </c>
      <c r="E61" s="1678">
        <v>0</v>
      </c>
      <c r="G61" s="1684">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63" t="s">
        <v>1383</v>
      </c>
      <c r="B62" s="3363"/>
      <c r="C62" s="3363"/>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2525</v>
      </c>
      <c r="B65" s="1678"/>
      <c r="C65" s="1677"/>
      <c r="E65" s="1678">
        <f>E59*C64</f>
        <v>57794.199999999953</v>
      </c>
      <c r="G65" s="1674">
        <f>G59*$C$64</f>
        <v>67971.727500000023</v>
      </c>
      <c r="I65" s="1674">
        <f>I59*$C$64</f>
        <v>78326.407799999943</v>
      </c>
      <c r="K65" s="1674">
        <f>K59*$C$64</f>
        <v>88859.969874937422</v>
      </c>
      <c r="M65" s="1674">
        <f>M59*$C$64</f>
        <v>99574.091583851114</v>
      </c>
      <c r="O65" s="1674">
        <f>O59*$C$64</f>
        <v>110470.39509470316</v>
      </c>
      <c r="Q65" s="1674">
        <f>Q59*$C$64</f>
        <v>121550.44207955599</v>
      </c>
      <c r="S65" s="1674">
        <f>S59*$C$64</f>
        <v>132815.72867033203</v>
      </c>
      <c r="U65" s="1674">
        <f>U59*$C$64</f>
        <v>144267.68016500148</v>
      </c>
      <c r="W65" s="1674">
        <f>W59*$C$64</f>
        <v>155907.64547363864</v>
      </c>
      <c r="Y65" s="1674">
        <f>Y59*$C$64</f>
        <v>167736.89129338026</v>
      </c>
      <c r="AA65" s="1674">
        <f>AA59*$C$64</f>
        <v>179756.59600087939</v>
      </c>
      <c r="AC65" s="1674">
        <f>AC59*$C$64</f>
        <v>191967.84325040985</v>
      </c>
      <c r="AE65" s="1674">
        <f>AE59*$C$64</f>
        <v>204371.6152653083</v>
      </c>
      <c r="AG65" s="1674">
        <f>AG59*$C$64</f>
        <v>216968.78580996074</v>
      </c>
    </row>
    <row r="66" spans="1:33" s="1674" customFormat="1">
      <c r="A66" s="1679"/>
      <c r="B66" s="1679"/>
      <c r="C66" s="1685"/>
      <c r="E66" s="1678">
        <v>0</v>
      </c>
      <c r="G66" s="1674">
        <f>E66</f>
        <v>0</v>
      </c>
      <c r="I66" s="1674">
        <v>0</v>
      </c>
      <c r="K66" s="1674">
        <v>0</v>
      </c>
      <c r="M66" s="1674">
        <v>0</v>
      </c>
      <c r="O66" s="1674">
        <v>0</v>
      </c>
      <c r="Q66" s="1674">
        <v>0</v>
      </c>
      <c r="S66" s="1674">
        <v>0</v>
      </c>
      <c r="U66" s="1674">
        <v>0</v>
      </c>
      <c r="W66" s="1674">
        <v>0</v>
      </c>
      <c r="Y66" s="1674">
        <v>0</v>
      </c>
      <c r="AA66" s="1674">
        <v>0</v>
      </c>
      <c r="AC66" s="1674">
        <v>0</v>
      </c>
      <c r="AE66" s="1674">
        <v>0</v>
      </c>
      <c r="AG66" s="1674">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57794.199999999953</v>
      </c>
      <c r="G69" s="1686">
        <f>SUM(G65:G68)</f>
        <v>67971.727500000023</v>
      </c>
      <c r="I69" s="1686">
        <f>SUM(I65:I68)</f>
        <v>78326.407799999943</v>
      </c>
      <c r="K69" s="1686">
        <f>SUM(K65:K68)</f>
        <v>88859.969874937422</v>
      </c>
      <c r="M69" s="1686">
        <f>SUM(M65:M68)</f>
        <v>99574.091583851114</v>
      </c>
      <c r="O69" s="1686">
        <f>SUM(O65:O68)</f>
        <v>110470.39509470316</v>
      </c>
      <c r="Q69" s="1686">
        <f>SUM(Q65:Q68)</f>
        <v>121550.44207955599</v>
      </c>
      <c r="S69" s="1686">
        <f>SUM(S65:S68)</f>
        <v>132815.72867033203</v>
      </c>
      <c r="U69" s="1686">
        <f>SUM(U65:U68)</f>
        <v>144267.68016500148</v>
      </c>
      <c r="W69" s="1686">
        <f>SUM(W65:W68)</f>
        <v>155907.64547363864</v>
      </c>
      <c r="Y69" s="1686">
        <f>SUM(Y65:Y68)</f>
        <v>167736.89129338026</v>
      </c>
      <c r="AA69" s="1686">
        <f>SUM(AA65:AA68)</f>
        <v>179756.59600087939</v>
      </c>
      <c r="AC69" s="1686">
        <f>SUM(AC65:AC68)</f>
        <v>191967.84325040985</v>
      </c>
      <c r="AE69" s="1686">
        <f>SUM(AE65:AE68)</f>
        <v>204371.6152653083</v>
      </c>
      <c r="AG69" s="1686">
        <f>SUM(AG65:AG68)</f>
        <v>216968.78580996074</v>
      </c>
    </row>
    <row r="70" spans="1:33" s="1686" customFormat="1">
      <c r="A70" s="1676"/>
      <c r="C70" s="1685"/>
    </row>
    <row r="71" spans="1:33" s="1686" customFormat="1">
      <c r="A71" s="1676" t="s">
        <v>2221</v>
      </c>
      <c r="C71" s="1685"/>
      <c r="E71" s="1676">
        <f>E59-E61-E69</f>
        <v>173382.59999999986</v>
      </c>
      <c r="G71" s="1676">
        <f>G59-G61-G69</f>
        <v>203915.18250000005</v>
      </c>
      <c r="I71" s="1676">
        <f>I59-I61-I69</f>
        <v>234979.22339999984</v>
      </c>
      <c r="K71" s="1676">
        <f>K59-K61-K69</f>
        <v>266579.90962481225</v>
      </c>
      <c r="M71" s="1676">
        <f>M59-M61-M69</f>
        <v>298722.27475155331</v>
      </c>
      <c r="O71" s="1676">
        <f>O59-O61-O69</f>
        <v>331411.18528410944</v>
      </c>
      <c r="Q71" s="1676">
        <f>Q59-Q61-Q69</f>
        <v>364651.32623866794</v>
      </c>
      <c r="S71" s="1676">
        <f>S59-S61-S69</f>
        <v>398447.18601099611</v>
      </c>
      <c r="U71" s="1676">
        <f>U59-U61-U69</f>
        <v>432803.04049500445</v>
      </c>
      <c r="W71" s="1676">
        <f>W59-W61-W69</f>
        <v>467722.93642091588</v>
      </c>
      <c r="Y71" s="1676">
        <f>Y59-Y61-Y69</f>
        <v>503210.67388014076</v>
      </c>
      <c r="AA71" s="1676">
        <f>AA59-AA61-AA69</f>
        <v>539269.78800263815</v>
      </c>
      <c r="AC71" s="1676">
        <f>AC59-AC61-AC69</f>
        <v>575903.52975122957</v>
      </c>
      <c r="AE71" s="1676">
        <f>AE59-AE61-AE69</f>
        <v>613114.84579592489</v>
      </c>
      <c r="AG71" s="1676">
        <f>AG59-AG61-AG69</f>
        <v>650906.35742988228</v>
      </c>
    </row>
    <row r="72" spans="1:33" s="1674" customFormat="1" ht="13">
      <c r="A72" s="915"/>
      <c r="C72" s="1687"/>
    </row>
    <row r="73" spans="1:33" s="351" customFormat="1" ht="13">
      <c r="A73" s="915"/>
      <c r="C73" s="352"/>
    </row>
    <row r="74" spans="1:33" s="351" customFormat="1">
      <c r="A74" s="1674" t="s">
        <v>2220</v>
      </c>
      <c r="C74" s="352"/>
    </row>
    <row r="75" spans="1:33" s="351" customFormat="1">
      <c r="C75" s="352"/>
    </row>
    <row r="76" spans="1:33" s="370" customFormat="1" ht="30" customHeight="1">
      <c r="A76" s="3361" t="s">
        <v>2219</v>
      </c>
      <c r="B76" s="3362"/>
      <c r="C76" s="3362"/>
      <c r="D76" s="3362"/>
      <c r="E76" s="3362"/>
      <c r="F76" s="3362"/>
      <c r="G76" s="3362"/>
      <c r="H76" s="3362"/>
      <c r="I76" s="3362"/>
      <c r="J76" s="3362"/>
      <c r="K76" s="3362"/>
      <c r="L76" s="3362"/>
      <c r="M76" s="3362"/>
      <c r="N76" s="3362"/>
      <c r="O76" s="3362"/>
      <c r="P76" s="3362"/>
      <c r="Q76" s="3362"/>
      <c r="R76" s="3362"/>
      <c r="S76" s="3362"/>
      <c r="T76" s="3362"/>
      <c r="U76" s="3362"/>
      <c r="V76" s="3362"/>
      <c r="W76" s="3362"/>
      <c r="X76" s="3362"/>
      <c r="Y76" s="3362"/>
      <c r="Z76" s="3362"/>
      <c r="AA76" s="3362"/>
      <c r="AB76" s="3362"/>
      <c r="AC76" s="3362"/>
      <c r="AD76" s="3362"/>
      <c r="AE76" s="3362"/>
      <c r="AF76" s="3362"/>
      <c r="AG76" s="3362"/>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64" t="s">
        <v>978</v>
      </c>
      <c r="B1" s="3364"/>
      <c r="C1" s="3364"/>
      <c r="D1" s="3364"/>
      <c r="E1" s="3364"/>
      <c r="F1" s="3364"/>
      <c r="G1" s="3364"/>
      <c r="H1" s="3364"/>
      <c r="I1" s="3364"/>
      <c r="J1" s="325"/>
      <c r="K1" s="325"/>
    </row>
    <row r="2" spans="1:11">
      <c r="A2" s="655"/>
      <c r="B2" s="655"/>
      <c r="C2" s="655"/>
      <c r="D2" s="655"/>
      <c r="E2" s="655"/>
      <c r="F2" s="655"/>
      <c r="G2" s="655"/>
      <c r="H2" s="655"/>
      <c r="I2" s="655"/>
    </row>
    <row r="3" spans="1:11" ht="84">
      <c r="A3" s="656" t="s">
        <v>979</v>
      </c>
      <c r="B3" s="656" t="s">
        <v>980</v>
      </c>
      <c r="C3" s="474" t="s">
        <v>981</v>
      </c>
      <c r="D3" s="383"/>
      <c r="E3" s="474" t="s">
        <v>982</v>
      </c>
      <c r="F3" s="656" t="s">
        <v>983</v>
      </c>
      <c r="G3" s="657"/>
      <c r="H3" s="656" t="s">
        <v>984</v>
      </c>
      <c r="I3" s="656" t="s">
        <v>985</v>
      </c>
      <c r="J3" s="325"/>
      <c r="K3" s="473"/>
    </row>
    <row r="4" spans="1:11">
      <c r="A4" s="658" t="str">
        <f>Application!B728</f>
        <v>SRO/Studio</v>
      </c>
      <c r="B4" s="667">
        <f>Application!G728</f>
        <v>9</v>
      </c>
      <c r="C4" s="658">
        <f>Application!O728</f>
        <v>835</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32</v>
      </c>
      <c r="C5" s="658">
        <f>Application!O729</f>
        <v>1415</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49</v>
      </c>
      <c r="C6" s="658">
        <f>Application!O730</f>
        <v>1640</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3</v>
      </c>
      <c r="C7" s="658">
        <f>Application!O731</f>
        <v>890</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17</v>
      </c>
      <c r="C8" s="658">
        <f>Application!O732</f>
        <v>1511</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14</v>
      </c>
      <c r="C9" s="658">
        <f>Application!O733</f>
        <v>2133</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3</v>
      </c>
      <c r="C10" s="658">
        <f>Application!O734</f>
        <v>1062</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8</v>
      </c>
      <c r="C11" s="658">
        <f>Application!O735</f>
        <v>1808</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12</v>
      </c>
      <c r="C12" s="658">
        <f>Application!O736</f>
        <v>2554</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3</v>
      </c>
      <c r="C13" s="658">
        <f>Application!O737</f>
        <v>2082</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245918</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8" t="s">
        <v>1049</v>
      </c>
    </row>
    <row r="2" spans="1:1" ht="15.5">
      <c r="A2" s="489"/>
    </row>
    <row r="3" spans="1:1" ht="15.5">
      <c r="A3" s="490" t="s">
        <v>1044</v>
      </c>
    </row>
    <row r="4" spans="1:1" ht="15.5">
      <c r="A4" s="490" t="s">
        <v>1045</v>
      </c>
    </row>
    <row r="5" spans="1:1" ht="15.5">
      <c r="A5" s="490" t="s">
        <v>1046</v>
      </c>
    </row>
    <row r="6" spans="1:1" ht="15.5">
      <c r="A6" s="490" t="s">
        <v>1048</v>
      </c>
    </row>
    <row r="7" spans="1:1" ht="15.5">
      <c r="A7" s="490" t="s">
        <v>1047</v>
      </c>
    </row>
    <row r="8" spans="1:1" ht="15.5">
      <c r="A8" s="538" t="s">
        <v>1136</v>
      </c>
    </row>
    <row r="9" spans="1:1" ht="15.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1427</v>
      </c>
      <c r="D1" s="437"/>
    </row>
    <row r="2" spans="1:253" s="432" customFormat="1" ht="13">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877425</v>
      </c>
      <c r="C8" s="421">
        <f>'Sources and Uses Budget'!$C7</f>
        <v>877425</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877425</v>
      </c>
      <c r="C9" s="425">
        <f>SUM(C5:C8)</f>
        <v>877425</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267100</v>
      </c>
      <c r="C11" s="421">
        <f>'Sources and Uses Budget'!$C10</f>
        <v>267100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267100</v>
      </c>
      <c r="C12" s="425">
        <f>SUM(C10:C11)</f>
        <v>267100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1144525</v>
      </c>
      <c r="C13" s="425">
        <f>SUM(C9+C12)</f>
        <v>1144525</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868120</v>
      </c>
      <c r="C14" s="421">
        <f>'Sources and Uses Budget'!$C13</f>
        <v>868120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2539032</v>
      </c>
      <c r="C30" s="421">
        <f>'Sources and Uses Budget'!$C29</f>
        <v>2539032</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33203516</v>
      </c>
      <c r="C31" s="421">
        <f>'Sources and Uses Budget'!$C30</f>
        <v>33203516</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1751952</v>
      </c>
      <c r="C32" s="421">
        <f>'Sources and Uses Budget'!$C31</f>
        <v>1751952</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1724718</v>
      </c>
      <c r="C33" s="421">
        <f>'Sources and Uses Budget'!$C32</f>
        <v>1724718</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1724718</v>
      </c>
      <c r="C34" s="421">
        <f>'Sources and Uses Budget'!$C33</f>
        <v>1724718</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828407</v>
      </c>
      <c r="C36" s="421">
        <f>'Sources and Uses Budget'!$C35</f>
        <v>828407</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45000</v>
      </c>
      <c r="C37" s="421">
        <f>'Sources and Uses Budget'!$C36</f>
        <v>45000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41817343</v>
      </c>
      <c r="C39" s="425">
        <f>SUM(C30:C38)</f>
        <v>41817343</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3168074</v>
      </c>
      <c r="C41" s="421">
        <f>'Sources and Uses Budget'!$C40</f>
        <v>3168074</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3168074</v>
      </c>
      <c r="C43" s="425">
        <f>SUM(C41:C42)</f>
        <v>3168074</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573948</v>
      </c>
      <c r="C44" s="421">
        <f>'Sources and Uses Budget'!$C43</f>
        <v>573948</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2146558</v>
      </c>
      <c r="C46" s="421">
        <f>'Sources and Uses Budget'!$C45</f>
        <v>2146558</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514500</v>
      </c>
      <c r="C47" s="421">
        <f>'Sources and Uses Budget'!$C46</f>
        <v>514500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52500</v>
      </c>
      <c r="C51" s="421">
        <f>'Sources and Uses Budget'!$C50</f>
        <v>52500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2713558</v>
      </c>
      <c r="C55" s="428">
        <f>SUM(C46:C54)</f>
        <v>2713558</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225950</v>
      </c>
      <c r="C57" s="421">
        <f>'Sources and Uses Budget'!$C56</f>
        <v>225950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270290</v>
      </c>
      <c r="C58" s="421">
        <f>'Sources and Uses Budget'!$C57</f>
        <v>270290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85000</v>
      </c>
      <c r="C59" s="421">
        <f>'Sources and Uses Budget'!$C58</f>
        <v>85000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Interest prior to Conversion</v>
      </c>
      <c r="B62" s="421">
        <f>'Sources and Uses Budget'!$C61</f>
        <v>1729818</v>
      </c>
      <c r="C62" s="421">
        <f>'Sources and Uses Budget'!$C61</f>
        <v>1729818</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2311058</v>
      </c>
      <c r="C63" s="425">
        <f>SUM(C57:C62)</f>
        <v>2311058</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310</v>
      </c>
      <c r="B64" s="425">
        <f>SUM(B9+B12+B14+B15+B17+B26+B28+B39+B43+B44+B55+B63)</f>
        <v>52596626</v>
      </c>
      <c r="C64" s="425">
        <f>SUM(C9+C12+C14+C15+C17+C26+C28+C39+C43+C44+C55+C63)</f>
        <v>52596626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f>'Sources and Uses Budget'!A69</f>
        <v>0</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0</v>
      </c>
      <c r="C71" s="425">
        <f>SUM(C66:C70)</f>
        <v>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655535</v>
      </c>
      <c r="C76" s="421">
        <f>'Sources and Uses Budget'!$C75</f>
        <v>655535</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ht="13">
      <c r="A78" s="426" t="s">
        <v>640</v>
      </c>
      <c r="B78" s="425">
        <f>SUM(B73:B77)</f>
        <v>655535</v>
      </c>
      <c r="C78" s="425">
        <f>SUM(C73:C77)</f>
        <v>655535</v>
      </c>
      <c r="D78" s="425">
        <f t="shared" ref="D78:D106" si="1">C78-B78</f>
        <v>0</v>
      </c>
      <c r="E78" s="423"/>
      <c r="F78" s="422"/>
      <c r="G78" s="553"/>
    </row>
    <row r="79" spans="1:253" s="547" customFormat="1" ht="13">
      <c r="A79" s="419" t="s">
        <v>1419</v>
      </c>
      <c r="B79" s="419"/>
      <c r="C79" s="419"/>
      <c r="D79" s="419"/>
      <c r="E79" s="439"/>
      <c r="F79" s="419"/>
      <c r="G79" s="553"/>
    </row>
    <row r="80" spans="1:253" s="547" customFormat="1">
      <c r="A80" s="861" t="s">
        <v>1421</v>
      </c>
      <c r="B80" s="421">
        <f>'Sources and Uses Budget'!$C79</f>
        <v>3210879</v>
      </c>
      <c r="C80" s="421">
        <f>'Sources and Uses Budget'!$C79</f>
        <v>3210879</v>
      </c>
      <c r="D80" s="425">
        <f t="shared" si="1"/>
        <v>0</v>
      </c>
      <c r="E80" s="423"/>
      <c r="F80" s="422"/>
      <c r="G80" s="553"/>
    </row>
    <row r="81" spans="1:7" s="547" customFormat="1">
      <c r="A81" s="861" t="s">
        <v>61</v>
      </c>
      <c r="B81" s="421">
        <f>'Sources and Uses Budget'!$C80</f>
        <v>570058</v>
      </c>
      <c r="C81" s="421">
        <f>'Sources and Uses Budget'!$C80</f>
        <v>570058</v>
      </c>
      <c r="D81" s="425">
        <f>C81-B81</f>
        <v>0</v>
      </c>
      <c r="E81" s="423"/>
      <c r="F81" s="422"/>
      <c r="G81" s="553"/>
    </row>
    <row r="82" spans="1:7" s="547" customFormat="1" ht="13">
      <c r="A82" s="426" t="s">
        <v>1418</v>
      </c>
      <c r="B82" s="425">
        <f>SUM(B80:B81)</f>
        <v>3780937</v>
      </c>
      <c r="C82" s="425">
        <f>SUM(C80:C81)</f>
        <v>3780937</v>
      </c>
      <c r="D82" s="425">
        <f t="shared" si="1"/>
        <v>0</v>
      </c>
      <c r="E82" s="423"/>
      <c r="F82" s="422"/>
      <c r="G82" s="553"/>
    </row>
    <row r="83" spans="1:7" s="547" customFormat="1" ht="13">
      <c r="A83" s="419" t="s">
        <v>822</v>
      </c>
      <c r="B83" s="419"/>
      <c r="C83" s="419"/>
      <c r="D83" s="419"/>
      <c r="E83" s="439"/>
      <c r="F83" s="419"/>
      <c r="G83" s="553"/>
    </row>
    <row r="84" spans="1:7" s="547" customFormat="1" ht="13.75" customHeight="1">
      <c r="A84" s="424" t="s">
        <v>823</v>
      </c>
      <c r="B84" s="421">
        <f>'Sources and Uses Budget'!$C83</f>
        <v>96570</v>
      </c>
      <c r="C84" s="421">
        <f>'Sources and Uses Budget'!$C83</f>
        <v>96570</v>
      </c>
      <c r="D84" s="425">
        <f t="shared" si="1"/>
        <v>0</v>
      </c>
      <c r="E84" s="423"/>
      <c r="F84" s="422"/>
      <c r="G84" s="553"/>
    </row>
    <row r="85" spans="1:7" s="547" customFormat="1">
      <c r="A85" s="424" t="s">
        <v>824</v>
      </c>
      <c r="B85" s="421">
        <f>'Sources and Uses Budget'!$C84</f>
        <v>0</v>
      </c>
      <c r="C85" s="421">
        <f>'Sources and Uses Budget'!$C84</f>
        <v>0</v>
      </c>
      <c r="D85" s="425">
        <f t="shared" si="1"/>
        <v>0</v>
      </c>
      <c r="E85" s="423"/>
      <c r="F85" s="422"/>
      <c r="G85" s="553"/>
    </row>
    <row r="86" spans="1:7" s="547" customFormat="1">
      <c r="A86" s="424" t="s">
        <v>825</v>
      </c>
      <c r="B86" s="421">
        <f>'Sources and Uses Budget'!$C85</f>
        <v>5617951</v>
      </c>
      <c r="C86" s="421">
        <f>'Sources and Uses Budget'!$C85</f>
        <v>5617951</v>
      </c>
      <c r="D86" s="425">
        <f t="shared" si="1"/>
        <v>0</v>
      </c>
      <c r="E86" s="423"/>
      <c r="F86" s="422"/>
      <c r="G86" s="553"/>
    </row>
    <row r="87" spans="1:7" s="547" customFormat="1">
      <c r="A87" s="424" t="s">
        <v>826</v>
      </c>
      <c r="B87" s="421">
        <f>'Sources and Uses Budget'!$C86</f>
        <v>1847700</v>
      </c>
      <c r="C87" s="421">
        <f>'Sources and Uses Budget'!$C86</f>
        <v>1847700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50000</v>
      </c>
      <c r="C89" s="421">
        <f>'Sources and Uses Budget'!$C88</f>
        <v>50000</v>
      </c>
      <c r="D89" s="425">
        <f t="shared" si="1"/>
        <v>0</v>
      </c>
      <c r="E89" s="423"/>
      <c r="F89" s="422"/>
      <c r="G89" s="553"/>
    </row>
    <row r="90" spans="1:7" s="547" customFormat="1">
      <c r="A90" s="424" t="s">
        <v>829</v>
      </c>
      <c r="B90" s="421">
        <f>'Sources and Uses Budget'!$C89</f>
        <v>290000</v>
      </c>
      <c r="C90" s="421">
        <f>'Sources and Uses Budget'!$C89</f>
        <v>290000</v>
      </c>
      <c r="D90" s="425">
        <f t="shared" si="1"/>
        <v>0</v>
      </c>
      <c r="E90" s="423"/>
      <c r="F90" s="422"/>
      <c r="G90" s="553"/>
    </row>
    <row r="91" spans="1:7" s="547" customFormat="1">
      <c r="A91" s="424" t="s">
        <v>830</v>
      </c>
      <c r="B91" s="421">
        <f>'Sources and Uses Budget'!$C90</f>
        <v>7500</v>
      </c>
      <c r="C91" s="421">
        <f>'Sources and Uses Budget'!$C90</f>
        <v>7500</v>
      </c>
      <c r="D91" s="425">
        <f t="shared" si="1"/>
        <v>0</v>
      </c>
      <c r="E91" s="423"/>
      <c r="F91" s="422"/>
      <c r="G91" s="553"/>
    </row>
    <row r="92" spans="1:7" s="547" customFormat="1">
      <c r="A92" s="430" t="s">
        <v>390</v>
      </c>
      <c r="B92" s="421">
        <f>'Sources and Uses Budget'!$C91</f>
        <v>25000</v>
      </c>
      <c r="C92" s="421">
        <f>'Sources and Uses Budget'!$C91</f>
        <v>25000</v>
      </c>
      <c r="D92" s="425">
        <f t="shared" si="1"/>
        <v>0</v>
      </c>
      <c r="E92" s="423"/>
      <c r="F92" s="422"/>
      <c r="G92" s="553"/>
    </row>
    <row r="93" spans="1:7" s="547" customFormat="1">
      <c r="A93" s="860" t="s">
        <v>1420</v>
      </c>
      <c r="B93" s="421">
        <f>'Sources and Uses Budget'!$C92</f>
        <v>3500</v>
      </c>
      <c r="C93" s="421">
        <f>'Sources and Uses Budget'!$C92</f>
        <v>3500</v>
      </c>
      <c r="D93" s="425">
        <f t="shared" si="1"/>
        <v>0</v>
      </c>
      <c r="E93" s="423"/>
      <c r="F93" s="422"/>
      <c r="G93" s="553"/>
    </row>
    <row r="94" spans="1:7" s="547" customFormat="1">
      <c r="A94" s="427" t="s">
        <v>35</v>
      </c>
      <c r="B94" s="421">
        <f>'Sources and Uses Budget'!$C93</f>
        <v>250000</v>
      </c>
      <c r="C94" s="421">
        <f>'Sources and Uses Budget'!$C93</f>
        <v>250000</v>
      </c>
      <c r="D94" s="425">
        <f t="shared" si="1"/>
        <v>0</v>
      </c>
      <c r="E94" s="423"/>
      <c r="F94" s="422"/>
      <c r="G94" s="553"/>
    </row>
    <row r="95" spans="1:7" s="547" customFormat="1">
      <c r="A95" s="427" t="s">
        <v>35</v>
      </c>
      <c r="B95" s="421">
        <f>'Sources and Uses Budget'!$C94</f>
        <v>253230</v>
      </c>
      <c r="C95" s="421">
        <f>'Sources and Uses Budget'!$C94</f>
        <v>253230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ht="13">
      <c r="A97" s="426" t="s">
        <v>831</v>
      </c>
      <c r="B97" s="425">
        <f>SUM(B84:B96)</f>
        <v>8441451</v>
      </c>
      <c r="C97" s="425">
        <f>SUM(C84:C96)</f>
        <v>8441451</v>
      </c>
      <c r="D97" s="425">
        <f t="shared" si="1"/>
        <v>0</v>
      </c>
      <c r="E97" s="423"/>
      <c r="F97" s="422"/>
      <c r="G97" s="553"/>
    </row>
    <row r="98" spans="1:7" s="547" customFormat="1" ht="13">
      <c r="A98" s="426" t="s">
        <v>832</v>
      </c>
      <c r="B98" s="425">
        <f>SUM(B64+B71+B78+B82+B97)</f>
        <v>65474549</v>
      </c>
      <c r="C98" s="425">
        <f>SUM(C64+C71+C78+C82+C97)</f>
        <v>65474549</v>
      </c>
      <c r="D98" s="425">
        <f t="shared" si="1"/>
        <v>0</v>
      </c>
      <c r="E98" s="423"/>
      <c r="F98" s="422"/>
      <c r="G98" s="553"/>
    </row>
    <row r="99" spans="1:7" s="547" customFormat="1" ht="13">
      <c r="A99" s="419" t="s">
        <v>833</v>
      </c>
      <c r="B99" s="419"/>
      <c r="C99" s="419"/>
      <c r="D99" s="419"/>
      <c r="E99" s="439"/>
      <c r="F99" s="419"/>
      <c r="G99" s="553"/>
    </row>
    <row r="100" spans="1:7" s="546" customFormat="1">
      <c r="A100" s="215" t="s">
        <v>834</v>
      </c>
      <c r="B100" s="421">
        <f>'Sources and Uses Budget'!$C99</f>
        <v>3500000</v>
      </c>
      <c r="C100" s="421">
        <f>'Sources and Uses Budget'!$C99</f>
        <v>3500000</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836</v>
      </c>
      <c r="B105" s="425">
        <f>SUM(B100:B104)</f>
        <v>3500000</v>
      </c>
      <c r="C105" s="425">
        <f>SUM(C100:C104)</f>
        <v>3500000</v>
      </c>
      <c r="D105" s="425">
        <f t="shared" si="1"/>
        <v>0</v>
      </c>
      <c r="E105" s="423"/>
      <c r="F105" s="422"/>
      <c r="G105" s="551"/>
    </row>
    <row r="106" spans="1:7" s="546" customFormat="1" ht="13">
      <c r="A106" s="426" t="s">
        <v>837</v>
      </c>
      <c r="B106" s="428">
        <f>SUM(B98+B105)</f>
        <v>68974549</v>
      </c>
      <c r="C106" s="428">
        <f>SUM(C98+C105)</f>
        <v>68974549</v>
      </c>
      <c r="D106" s="425">
        <f t="shared" si="1"/>
        <v>0</v>
      </c>
      <c r="E106" s="423"/>
      <c r="F106" s="422"/>
      <c r="G106" s="551"/>
    </row>
    <row r="107" spans="1:7" s="546" customFormat="1" ht="13">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08" t="s">
        <v>1157</v>
      </c>
      <c r="B2" s="1908"/>
      <c r="C2" s="1909"/>
      <c r="D2" s="1909"/>
      <c r="E2" s="1909"/>
      <c r="F2" s="1909"/>
      <c r="G2" s="1909"/>
    </row>
    <row r="3" spans="1:9" s="256" customFormat="1" ht="13">
      <c r="A3" s="1908" t="s">
        <v>1087</v>
      </c>
      <c r="B3" s="1908"/>
      <c r="C3" s="1909"/>
      <c r="D3" s="1909"/>
      <c r="E3" s="1909"/>
      <c r="F3" s="1909"/>
      <c r="G3" s="1909"/>
      <c r="I3" s="677" t="s">
        <v>316</v>
      </c>
    </row>
    <row r="4" spans="1:9">
      <c r="I4" s="678" t="s">
        <v>1158</v>
      </c>
    </row>
    <row r="5" spans="1:9" s="39" customFormat="1" ht="13">
      <c r="A5" s="1912" t="s">
        <v>1088</v>
      </c>
      <c r="B5" s="1912"/>
      <c r="C5" s="1913"/>
      <c r="D5" s="1913"/>
      <c r="E5" s="1913"/>
      <c r="F5" s="1913"/>
      <c r="G5" s="1913"/>
      <c r="I5" s="678" t="s">
        <v>1159</v>
      </c>
    </row>
    <row r="6" spans="1:9" s="39" customFormat="1" ht="13">
      <c r="A6" s="1912" t="s">
        <v>879</v>
      </c>
      <c r="B6" s="1912"/>
      <c r="C6" s="1913"/>
      <c r="D6" s="1913"/>
      <c r="E6" s="1913"/>
      <c r="F6" s="1913"/>
      <c r="G6" s="1913"/>
      <c r="I6" s="677" t="s">
        <v>625</v>
      </c>
    </row>
    <row r="7" spans="1:9" ht="11.9" customHeight="1"/>
    <row r="8" spans="1:9" s="39" customFormat="1" ht="13">
      <c r="A8" s="1910" t="s">
        <v>1254</v>
      </c>
      <c r="B8" s="1910"/>
      <c r="C8" s="1911"/>
      <c r="D8" s="1911"/>
      <c r="E8" s="1911"/>
      <c r="F8" s="1911"/>
      <c r="G8" s="1911"/>
    </row>
    <row r="9" spans="1:9" s="39" customFormat="1" ht="13">
      <c r="A9" s="1910" t="s">
        <v>1255</v>
      </c>
      <c r="B9" s="1910"/>
      <c r="C9" s="1911"/>
      <c r="D9" s="1911"/>
      <c r="E9" s="1911"/>
      <c r="F9" s="1911"/>
      <c r="G9" s="1911"/>
    </row>
    <row r="10" spans="1:9" ht="13">
      <c r="A10" s="258"/>
      <c r="B10" s="258"/>
      <c r="C10" s="255"/>
      <c r="D10" s="255"/>
      <c r="E10" s="255"/>
      <c r="F10" s="255"/>
    </row>
    <row r="11" spans="1:9" ht="13">
      <c r="A11" s="1914" t="s">
        <v>1257</v>
      </c>
      <c r="B11" s="1914"/>
      <c r="C11" s="1914"/>
      <c r="D11" s="1914"/>
      <c r="E11" s="1914"/>
      <c r="F11" s="1914"/>
      <c r="G11" s="1914"/>
    </row>
    <row r="12" spans="1:9" ht="13">
      <c r="A12" s="255"/>
      <c r="B12" s="673"/>
      <c r="E12" s="50"/>
    </row>
    <row r="13" spans="1:9" ht="13.15" customHeight="1">
      <c r="C13" s="255"/>
      <c r="D13" s="1886" t="s">
        <v>1256</v>
      </c>
      <c r="E13" s="1886"/>
      <c r="F13" s="1886"/>
    </row>
    <row r="14" spans="1:9" ht="13">
      <c r="C14" s="255"/>
      <c r="D14" s="1886"/>
      <c r="E14" s="1886"/>
      <c r="F14" s="1886"/>
    </row>
    <row r="15" spans="1:9" ht="13">
      <c r="A15" s="260"/>
      <c r="B15" s="260"/>
      <c r="C15" s="260"/>
      <c r="D15" s="1883" t="s">
        <v>1239</v>
      </c>
      <c r="E15" s="1883"/>
      <c r="F15" s="1883"/>
    </row>
    <row r="16" spans="1:9" ht="13">
      <c r="A16" s="260"/>
      <c r="B16" s="260"/>
      <c r="C16" s="260"/>
      <c r="D16" s="327"/>
    </row>
    <row r="17" spans="1:7" ht="13">
      <c r="A17" s="261"/>
      <c r="B17" s="679" t="s">
        <v>316</v>
      </c>
      <c r="C17" s="313"/>
      <c r="D17" s="1858" t="s">
        <v>1240</v>
      </c>
      <c r="E17" s="1858"/>
      <c r="F17" s="1858"/>
    </row>
    <row r="18" spans="1:7" ht="13">
      <c r="A18" s="260"/>
      <c r="B18" s="260"/>
      <c r="C18" s="313"/>
      <c r="D18" s="1858"/>
      <c r="E18" s="1858"/>
      <c r="F18" s="1858"/>
    </row>
    <row r="19" spans="1:7" ht="13">
      <c r="A19" s="260"/>
      <c r="B19" s="260"/>
      <c r="C19" s="313"/>
      <c r="D19" s="1858"/>
      <c r="E19" s="1858"/>
      <c r="F19" s="1858"/>
    </row>
    <row r="20" spans="1:7" ht="13">
      <c r="A20" s="260"/>
      <c r="B20" s="260"/>
      <c r="C20" s="260"/>
    </row>
    <row r="21" spans="1:7" ht="13">
      <c r="A21" s="261"/>
      <c r="B21" s="679" t="s">
        <v>316</v>
      </c>
      <c r="D21" s="1887" t="s">
        <v>1241</v>
      </c>
      <c r="E21" s="1887"/>
      <c r="F21" s="1887"/>
    </row>
    <row r="22" spans="1:7" ht="13">
      <c r="A22" s="261"/>
      <c r="B22" s="261"/>
      <c r="D22" s="135"/>
    </row>
    <row r="23" spans="1:7" ht="13">
      <c r="A23" s="261"/>
      <c r="B23" s="679" t="s">
        <v>316</v>
      </c>
      <c r="D23" s="1858" t="s">
        <v>1242</v>
      </c>
      <c r="E23" s="1858"/>
      <c r="F23" s="1858"/>
    </row>
    <row r="24" spans="1:7" ht="13">
      <c r="A24" s="261"/>
      <c r="B24" s="261"/>
      <c r="D24" s="1858"/>
      <c r="E24" s="1858"/>
      <c r="F24" s="1858"/>
    </row>
    <row r="25" spans="1:7"/>
    <row r="26" spans="1:7" ht="13">
      <c r="A26" s="261"/>
      <c r="B26" s="679" t="s">
        <v>316</v>
      </c>
      <c r="D26" s="1881" t="s">
        <v>1243</v>
      </c>
      <c r="E26" s="1881"/>
      <c r="F26" s="1881"/>
    </row>
    <row r="27" spans="1:7">
      <c r="D27" s="1881"/>
      <c r="E27" s="1881"/>
      <c r="F27" s="1881"/>
    </row>
    <row r="28" spans="1:7">
      <c r="D28" s="1881"/>
      <c r="E28" s="1881"/>
      <c r="F28" s="1881"/>
    </row>
    <row r="29" spans="1:7">
      <c r="A29" s="558"/>
      <c r="C29" s="558"/>
      <c r="D29" s="1881"/>
      <c r="E29" s="1881"/>
      <c r="F29" s="1881"/>
    </row>
    <row r="30" spans="1:7">
      <c r="A30" s="558"/>
      <c r="C30" s="558"/>
      <c r="D30" s="1881"/>
      <c r="E30" s="1881"/>
      <c r="F30" s="1881"/>
    </row>
    <row r="31" spans="1:7" s="39" customFormat="1">
      <c r="A31" s="273"/>
      <c r="B31" s="273"/>
      <c r="C31" s="273"/>
      <c r="D31" s="443"/>
      <c r="E31" s="130"/>
      <c r="F31" s="130"/>
      <c r="G31" s="130"/>
    </row>
    <row r="32" spans="1:7" s="39" customFormat="1">
      <c r="A32" s="273"/>
      <c r="B32" s="679" t="s">
        <v>316</v>
      </c>
      <c r="C32" s="273"/>
      <c r="D32" s="1860" t="s">
        <v>1244</v>
      </c>
      <c r="E32" s="1860"/>
      <c r="F32" s="1860"/>
      <c r="G32" s="130"/>
    </row>
    <row r="33" spans="1:7" s="39" customFormat="1">
      <c r="A33" s="273"/>
      <c r="B33" s="273"/>
      <c r="C33" s="273"/>
      <c r="D33" s="1860"/>
      <c r="E33" s="1860"/>
      <c r="F33" s="1860"/>
      <c r="G33" s="130"/>
    </row>
    <row r="34" spans="1:7" ht="13">
      <c r="A34" s="261"/>
      <c r="B34" s="261"/>
      <c r="D34" s="404"/>
    </row>
    <row r="35" spans="1:7" ht="14.5" customHeight="1">
      <c r="A35" s="261"/>
      <c r="B35" s="679" t="s">
        <v>316</v>
      </c>
      <c r="C35" s="554"/>
      <c r="D35" s="1860" t="s">
        <v>1245</v>
      </c>
      <c r="E35" s="1860"/>
      <c r="F35" s="1860"/>
    </row>
    <row r="36" spans="1:7" ht="13">
      <c r="A36" s="261"/>
      <c r="B36" s="261"/>
      <c r="C36" s="554"/>
      <c r="D36" s="1860"/>
      <c r="E36" s="1860"/>
      <c r="F36" s="1860"/>
    </row>
    <row r="37" spans="1:7" ht="13">
      <c r="A37" s="261"/>
      <c r="B37" s="261"/>
      <c r="C37" s="554"/>
      <c r="D37" s="1860"/>
      <c r="E37" s="1860"/>
      <c r="F37" s="1860"/>
    </row>
    <row r="38" spans="1:7" ht="13">
      <c r="A38" s="261"/>
      <c r="B38" s="261"/>
      <c r="C38" s="554"/>
      <c r="D38" s="12"/>
    </row>
    <row r="39" spans="1:7" s="682" customFormat="1" ht="13">
      <c r="A39" s="261"/>
      <c r="B39" s="679" t="s">
        <v>316</v>
      </c>
      <c r="C39" s="699"/>
      <c r="D39" s="1860" t="s">
        <v>1246</v>
      </c>
      <c r="E39" s="1860"/>
      <c r="F39" s="1860"/>
      <c r="G39" s="7"/>
    </row>
    <row r="40" spans="1:7" s="682" customFormat="1" ht="13">
      <c r="A40" s="261"/>
      <c r="B40" s="261"/>
      <c r="C40" s="699"/>
      <c r="D40" s="1860"/>
      <c r="E40" s="1860"/>
      <c r="F40" s="1860"/>
      <c r="G40" s="7"/>
    </row>
    <row r="41" spans="1:7" s="682" customFormat="1" ht="13">
      <c r="A41" s="261"/>
      <c r="B41" s="261"/>
      <c r="C41" s="699"/>
      <c r="D41" s="1860"/>
      <c r="E41" s="1860"/>
      <c r="F41" s="1860"/>
      <c r="G41" s="7"/>
    </row>
    <row r="42" spans="1:7" s="682" customFormat="1" ht="13">
      <c r="A42" s="261"/>
      <c r="B42" s="261"/>
      <c r="C42" s="699"/>
      <c r="D42" s="1860"/>
      <c r="E42" s="1860"/>
      <c r="F42" s="1860"/>
      <c r="G42" s="7"/>
    </row>
    <row r="43" spans="1:7" s="682" customFormat="1" ht="13">
      <c r="A43" s="261"/>
      <c r="B43" s="261"/>
      <c r="C43" s="699"/>
      <c r="D43" s="1860"/>
      <c r="E43" s="1860"/>
      <c r="F43" s="1860"/>
      <c r="G43" s="7"/>
    </row>
    <row r="44" spans="1:7" s="682" customFormat="1" ht="13">
      <c r="A44" s="261"/>
      <c r="B44" s="261"/>
      <c r="C44" s="699"/>
      <c r="D44" s="698"/>
      <c r="E44" s="698"/>
      <c r="F44" s="698"/>
      <c r="G44" s="7"/>
    </row>
    <row r="45" spans="1:7" ht="13">
      <c r="A45" s="261"/>
      <c r="B45" s="679" t="s">
        <v>316</v>
      </c>
      <c r="C45" s="554"/>
      <c r="D45" s="1860" t="s">
        <v>1247</v>
      </c>
      <c r="E45" s="1860"/>
      <c r="F45" s="1860"/>
    </row>
    <row r="46" spans="1:7" ht="13">
      <c r="A46" s="261"/>
      <c r="B46" s="261"/>
      <c r="C46" s="554"/>
      <c r="D46" s="1860"/>
      <c r="E46" s="1860"/>
      <c r="F46" s="1860"/>
    </row>
    <row r="47" spans="1:7" ht="13">
      <c r="A47" s="261"/>
      <c r="B47" s="261"/>
      <c r="C47" s="554"/>
      <c r="D47" s="1860"/>
      <c r="E47" s="1860"/>
      <c r="F47" s="1860"/>
    </row>
    <row r="48" spans="1:7" ht="23.25" customHeight="1">
      <c r="A48" s="261"/>
      <c r="B48" s="261"/>
      <c r="C48" s="554"/>
      <c r="D48" s="1860"/>
      <c r="E48" s="1860"/>
      <c r="F48" s="1860"/>
    </row>
    <row r="49" spans="1:7" ht="13">
      <c r="A49" s="261"/>
      <c r="B49" s="261"/>
      <c r="D49" s="151"/>
    </row>
    <row r="50" spans="1:7" ht="14.5" customHeight="1">
      <c r="A50" s="261"/>
      <c r="B50" s="679" t="s">
        <v>316</v>
      </c>
      <c r="D50" s="1860" t="s">
        <v>1248</v>
      </c>
      <c r="E50" s="1860"/>
      <c r="F50" s="1860"/>
    </row>
    <row r="51" spans="1:7" ht="13">
      <c r="A51" s="261"/>
      <c r="B51" s="261"/>
      <c r="D51" s="1860"/>
      <c r="E51" s="1860"/>
      <c r="F51" s="1860"/>
    </row>
    <row r="52" spans="1:7" ht="13">
      <c r="A52" s="261"/>
      <c r="B52" s="261"/>
      <c r="D52" s="1860"/>
      <c r="E52" s="1860"/>
      <c r="F52" s="1860"/>
    </row>
    <row r="53" spans="1:7" s="2" customFormat="1" ht="13">
      <c r="A53" s="261"/>
      <c r="B53" s="261"/>
      <c r="C53" s="556"/>
      <c r="D53" s="239"/>
      <c r="E53" s="22"/>
      <c r="F53" s="22"/>
      <c r="G53" s="22"/>
    </row>
    <row r="54" spans="1:7" s="2" customFormat="1" ht="13">
      <c r="A54" s="403"/>
      <c r="B54" s="679" t="s">
        <v>316</v>
      </c>
      <c r="C54" s="557"/>
      <c r="D54" s="1860" t="s">
        <v>1249</v>
      </c>
      <c r="E54" s="1860"/>
      <c r="F54" s="1860"/>
      <c r="G54" s="22"/>
    </row>
    <row r="55" spans="1:7" s="2" customFormat="1" ht="13">
      <c r="A55" s="403"/>
      <c r="B55" s="403"/>
      <c r="C55" s="557"/>
      <c r="D55" s="1860"/>
      <c r="E55" s="1860"/>
      <c r="F55" s="1860"/>
      <c r="G55" s="22"/>
    </row>
    <row r="56" spans="1:7" s="39" customFormat="1">
      <c r="A56" s="273"/>
      <c r="B56" s="273"/>
      <c r="C56" s="273"/>
      <c r="D56" s="443"/>
      <c r="E56" s="130"/>
      <c r="F56" s="130"/>
      <c r="G56" s="130"/>
    </row>
    <row r="57" spans="1:7" ht="13">
      <c r="A57" s="261"/>
      <c r="B57" s="679" t="s">
        <v>316</v>
      </c>
      <c r="D57" s="1860" t="s">
        <v>1250</v>
      </c>
      <c r="E57" s="1860"/>
      <c r="F57" s="1860"/>
    </row>
    <row r="58" spans="1:7">
      <c r="D58" s="1860"/>
      <c r="E58" s="1860"/>
      <c r="F58" s="1860"/>
    </row>
    <row r="59" spans="1:7">
      <c r="D59" s="1860"/>
      <c r="E59" s="1860"/>
      <c r="F59" s="1860"/>
    </row>
    <row r="60" spans="1:7" s="682" customFormat="1">
      <c r="A60" s="699"/>
      <c r="B60" s="699"/>
      <c r="C60" s="699"/>
      <c r="D60" s="678"/>
      <c r="E60" s="7"/>
      <c r="F60" s="7"/>
      <c r="G60" s="7"/>
    </row>
    <row r="61" spans="1:7" ht="13">
      <c r="A61" s="261"/>
      <c r="B61" s="679" t="s">
        <v>316</v>
      </c>
      <c r="D61" s="1860" t="s">
        <v>1251</v>
      </c>
      <c r="E61" s="1860"/>
      <c r="F61" s="1860"/>
    </row>
    <row r="62" spans="1:7">
      <c r="D62" s="1860"/>
      <c r="E62" s="1860"/>
      <c r="F62" s="1860"/>
    </row>
    <row r="63" spans="1:7"/>
    <row r="64" spans="1:7" ht="13">
      <c r="A64" s="261"/>
      <c r="B64" s="679" t="s">
        <v>316</v>
      </c>
      <c r="D64" s="1860" t="s">
        <v>1252</v>
      </c>
      <c r="E64" s="1860"/>
      <c r="F64" s="1860"/>
    </row>
    <row r="65" spans="1:7">
      <c r="D65" s="1860"/>
      <c r="E65" s="1860"/>
      <c r="F65" s="1860"/>
    </row>
    <row r="66" spans="1:7">
      <c r="A66" s="555"/>
      <c r="C66" s="555"/>
      <c r="D66" s="1860"/>
      <c r="E66" s="1860"/>
      <c r="F66" s="1860"/>
    </row>
    <row r="67" spans="1:7">
      <c r="D67" s="12"/>
    </row>
    <row r="68" spans="1:7" ht="13">
      <c r="A68" s="261"/>
      <c r="B68" s="679" t="s">
        <v>316</v>
      </c>
      <c r="D68" s="1858" t="s">
        <v>1253</v>
      </c>
      <c r="E68" s="1858"/>
      <c r="F68" s="1858"/>
    </row>
    <row r="69" spans="1:7">
      <c r="D69" s="1858"/>
      <c r="E69" s="1858"/>
      <c r="F69" s="1858"/>
    </row>
    <row r="70" spans="1:7" ht="13">
      <c r="A70" s="261"/>
      <c r="B70" s="261"/>
      <c r="D70" s="135"/>
    </row>
    <row r="71" spans="1:7" ht="13">
      <c r="A71" s="1884" t="s">
        <v>1160</v>
      </c>
      <c r="B71" s="1884"/>
      <c r="C71" s="1884"/>
      <c r="D71" s="1884"/>
      <c r="E71" s="1884"/>
      <c r="F71" s="1884"/>
      <c r="G71" s="1884"/>
    </row>
    <row r="72" spans="1:7"/>
    <row r="73" spans="1:7" ht="13">
      <c r="C73" s="262"/>
      <c r="D73" s="1900" t="s">
        <v>1258</v>
      </c>
      <c r="E73" s="1900"/>
      <c r="F73" s="1900"/>
    </row>
    <row r="74" spans="1:7">
      <c r="A74" s="135"/>
      <c r="B74" s="135"/>
      <c r="D74" s="1858" t="s">
        <v>1285</v>
      </c>
      <c r="E74" s="1858"/>
      <c r="F74" s="1858"/>
    </row>
    <row r="75" spans="1:7">
      <c r="A75" s="135"/>
      <c r="B75" s="135"/>
    </row>
    <row r="76" spans="1:7" ht="13">
      <c r="A76" s="261"/>
      <c r="B76" s="679" t="s">
        <v>316</v>
      </c>
      <c r="D76" s="1858" t="s">
        <v>1259</v>
      </c>
      <c r="E76" s="1858"/>
      <c r="F76" s="1858"/>
    </row>
    <row r="77" spans="1:7" ht="13">
      <c r="A77" s="261"/>
      <c r="B77" s="261"/>
      <c r="D77" s="1858"/>
      <c r="E77" s="1858"/>
      <c r="F77" s="1858"/>
    </row>
    <row r="78" spans="1:7" ht="13">
      <c r="A78" s="261"/>
      <c r="B78" s="261"/>
      <c r="D78" s="1858"/>
      <c r="E78" s="1858"/>
      <c r="F78" s="1858"/>
    </row>
    <row r="79" spans="1:7" ht="13">
      <c r="A79" s="261"/>
      <c r="B79" s="261"/>
      <c r="D79" s="1858"/>
      <c r="E79" s="1858"/>
      <c r="F79" s="1858"/>
    </row>
    <row r="80" spans="1:7" ht="13">
      <c r="A80" s="261"/>
      <c r="B80" s="261"/>
      <c r="D80" s="1858"/>
      <c r="E80" s="1858"/>
      <c r="F80" s="1858"/>
    </row>
    <row r="81" spans="1:7" ht="13">
      <c r="A81" s="261"/>
      <c r="B81" s="261"/>
      <c r="D81" s="1858"/>
      <c r="E81" s="1858"/>
      <c r="F81" s="1858"/>
    </row>
    <row r="82" spans="1:7" s="706" customFormat="1" ht="13">
      <c r="A82" s="707"/>
      <c r="B82" s="707"/>
      <c r="C82" s="705"/>
      <c r="D82" s="709"/>
      <c r="E82" s="709"/>
      <c r="F82" s="709"/>
      <c r="G82" s="7"/>
    </row>
    <row r="83" spans="1:7" s="706" customFormat="1" ht="14.5" customHeight="1">
      <c r="A83" s="707"/>
      <c r="B83" s="712" t="s">
        <v>316</v>
      </c>
      <c r="C83" s="705"/>
      <c r="D83" s="1915" t="s">
        <v>1358</v>
      </c>
      <c r="E83" s="1915"/>
      <c r="F83" s="1915"/>
      <c r="G83" s="7"/>
    </row>
    <row r="84" spans="1:7" s="706" customFormat="1" ht="13">
      <c r="A84" s="707"/>
      <c r="B84" s="707"/>
      <c r="C84" s="705"/>
      <c r="D84" s="1915"/>
      <c r="E84" s="1915"/>
      <c r="F84" s="1915"/>
      <c r="G84" s="7"/>
    </row>
    <row r="85" spans="1:7" s="706" customFormat="1" ht="13">
      <c r="A85" s="707"/>
      <c r="B85" s="707"/>
      <c r="C85" s="705"/>
      <c r="D85" s="1915"/>
      <c r="E85" s="1915"/>
      <c r="F85" s="1915"/>
      <c r="G85" s="7"/>
    </row>
    <row r="86" spans="1:7" s="706" customFormat="1" ht="13">
      <c r="A86" s="707"/>
      <c r="B86" s="707"/>
      <c r="C86" s="705"/>
      <c r="D86" s="1915"/>
      <c r="E86" s="1915"/>
      <c r="F86" s="1915"/>
      <c r="G86" s="7"/>
    </row>
    <row r="87" spans="1:7" s="706" customFormat="1" ht="13">
      <c r="A87" s="707"/>
      <c r="B87" s="707"/>
      <c r="C87" s="705"/>
      <c r="D87" s="1915"/>
      <c r="E87" s="1915"/>
      <c r="F87" s="1915"/>
      <c r="G87" s="7"/>
    </row>
    <row r="88" spans="1:7" s="719" customFormat="1" ht="13">
      <c r="A88" s="714"/>
      <c r="B88" s="714"/>
      <c r="C88" s="745"/>
      <c r="D88" s="1915"/>
      <c r="E88" s="1915"/>
      <c r="F88" s="1915"/>
      <c r="G88" s="7"/>
    </row>
    <row r="89" spans="1:7" s="719" customFormat="1" ht="13">
      <c r="A89" s="714"/>
      <c r="B89" s="714"/>
      <c r="C89" s="745"/>
      <c r="D89" s="1915"/>
      <c r="E89" s="1915"/>
      <c r="F89" s="1915"/>
      <c r="G89" s="7"/>
    </row>
    <row r="90" spans="1:7" s="719" customFormat="1" ht="13">
      <c r="A90" s="714"/>
      <c r="B90" s="714"/>
      <c r="C90" s="745"/>
      <c r="D90" s="1915"/>
      <c r="E90" s="1915"/>
      <c r="F90" s="1915"/>
      <c r="G90" s="7"/>
    </row>
    <row r="91" spans="1:7" ht="13">
      <c r="A91" s="261"/>
      <c r="B91" s="261"/>
      <c r="D91" s="1915"/>
      <c r="E91" s="1915"/>
      <c r="F91" s="1915"/>
    </row>
    <row r="92" spans="1:7" ht="13">
      <c r="A92" s="261"/>
      <c r="B92" s="261"/>
      <c r="D92" s="1915"/>
      <c r="E92" s="1915"/>
      <c r="F92" s="1915"/>
    </row>
    <row r="93" spans="1:7" ht="13">
      <c r="A93" s="261"/>
      <c r="B93" s="261"/>
      <c r="D93" s="1915"/>
      <c r="E93" s="1915"/>
      <c r="F93" s="1915"/>
    </row>
    <row r="94" spans="1:7" ht="13">
      <c r="A94" s="261"/>
      <c r="B94" s="261"/>
      <c r="D94" s="1915"/>
      <c r="E94" s="1915"/>
      <c r="F94" s="1915"/>
    </row>
    <row r="95" spans="1:7" ht="13">
      <c r="A95" s="261"/>
      <c r="B95" s="261"/>
      <c r="D95" s="1915"/>
      <c r="E95" s="1915"/>
      <c r="F95" s="1915"/>
    </row>
    <row r="96" spans="1:7" ht="13">
      <c r="A96" s="261"/>
      <c r="B96" s="261"/>
      <c r="D96" s="1915"/>
      <c r="E96" s="1915"/>
      <c r="F96" s="1915"/>
    </row>
    <row r="97" spans="1:11" s="710" customFormat="1" ht="13">
      <c r="A97" s="711"/>
      <c r="B97" s="715" t="s">
        <v>316</v>
      </c>
      <c r="C97" s="705"/>
      <c r="D97" s="1858" t="s">
        <v>1260</v>
      </c>
      <c r="E97" s="1858"/>
      <c r="F97" s="1858"/>
      <c r="G97" s="7"/>
    </row>
    <row r="98" spans="1:11" s="710" customFormat="1" ht="13">
      <c r="A98" s="711"/>
      <c r="B98" s="711"/>
      <c r="C98" s="705"/>
      <c r="D98" s="1858"/>
      <c r="E98" s="1858"/>
      <c r="F98" s="1858"/>
      <c r="G98" s="7"/>
    </row>
    <row r="99" spans="1:11" s="710" customFormat="1" ht="13">
      <c r="A99" s="711"/>
      <c r="B99" s="711"/>
      <c r="C99" s="705"/>
      <c r="D99" s="1858"/>
      <c r="E99" s="1858"/>
      <c r="F99" s="1858"/>
      <c r="G99" s="7"/>
    </row>
    <row r="100" spans="1:11" s="710" customFormat="1" ht="13">
      <c r="A100" s="711"/>
      <c r="B100" s="711"/>
      <c r="C100" s="705"/>
      <c r="D100" s="1858"/>
      <c r="E100" s="1858"/>
      <c r="F100" s="1858"/>
      <c r="G100" s="7"/>
    </row>
    <row r="101" spans="1:11" s="710" customFormat="1" ht="13">
      <c r="A101" s="711"/>
      <c r="B101" s="711"/>
      <c r="C101" s="705"/>
      <c r="D101" s="1858"/>
      <c r="E101" s="1858"/>
      <c r="F101" s="1858"/>
      <c r="G101" s="7"/>
    </row>
    <row r="102" spans="1:11" s="710" customFormat="1" ht="13">
      <c r="A102" s="711"/>
      <c r="B102" s="711"/>
      <c r="C102" s="705"/>
      <c r="D102" s="1858"/>
      <c r="E102" s="1858"/>
      <c r="F102" s="1858"/>
      <c r="G102" s="7"/>
    </row>
    <row r="103" spans="1:11" s="710" customFormat="1" ht="13">
      <c r="A103" s="711"/>
      <c r="B103" s="711"/>
      <c r="C103" s="705"/>
      <c r="D103" s="1858"/>
      <c r="E103" s="1858"/>
      <c r="F103" s="1858"/>
      <c r="G103" s="7"/>
    </row>
    <row r="104" spans="1:11" s="710" customFormat="1" ht="13">
      <c r="A104" s="711"/>
      <c r="B104" s="711"/>
      <c r="C104" s="705"/>
      <c r="D104" s="1858"/>
      <c r="E104" s="1858"/>
      <c r="F104" s="1858"/>
      <c r="G104" s="7"/>
    </row>
    <row r="105" spans="1:11" s="713" customFormat="1" ht="13">
      <c r="A105" s="714"/>
      <c r="B105" s="714"/>
      <c r="C105" s="705"/>
      <c r="D105" s="716"/>
      <c r="E105" s="716"/>
      <c r="F105" s="716"/>
      <c r="G105" s="7"/>
    </row>
    <row r="106" spans="1:11" ht="13">
      <c r="A106" s="403"/>
      <c r="B106" s="708" t="s">
        <v>316</v>
      </c>
      <c r="C106" s="469"/>
      <c r="D106" s="1916" t="s">
        <v>1261</v>
      </c>
      <c r="E106" s="1916"/>
      <c r="F106" s="1916"/>
      <c r="G106" s="470"/>
      <c r="H106" s="468"/>
      <c r="I106" s="468"/>
      <c r="J106" s="468"/>
      <c r="K106" s="468"/>
    </row>
    <row r="107" spans="1:11" ht="13">
      <c r="A107" s="261"/>
      <c r="B107" s="261"/>
      <c r="C107" s="315"/>
      <c r="D107" s="1916"/>
      <c r="E107" s="1916"/>
      <c r="F107" s="1916"/>
      <c r="G107" s="470"/>
      <c r="H107" s="468"/>
      <c r="I107" s="468"/>
      <c r="J107" s="468"/>
      <c r="K107" s="468"/>
    </row>
    <row r="108" spans="1:11" ht="13">
      <c r="A108" s="261"/>
      <c r="B108" s="261"/>
      <c r="C108" s="315"/>
      <c r="D108" s="1916"/>
      <c r="E108" s="1916"/>
      <c r="F108" s="1916"/>
      <c r="G108" s="470"/>
      <c r="H108" s="468"/>
      <c r="I108" s="468"/>
      <c r="J108" s="468"/>
      <c r="K108" s="468"/>
    </row>
    <row r="109" spans="1:11" ht="13">
      <c r="A109" s="261"/>
      <c r="B109" s="261"/>
      <c r="C109" s="315"/>
      <c r="D109" s="1916"/>
      <c r="E109" s="1916"/>
      <c r="F109" s="1916"/>
      <c r="G109" s="470"/>
      <c r="H109" s="468"/>
      <c r="I109" s="468"/>
      <c r="J109" s="468"/>
      <c r="K109" s="468"/>
    </row>
    <row r="110" spans="1:11" ht="13">
      <c r="A110" s="261"/>
      <c r="B110" s="261"/>
      <c r="C110" s="315"/>
      <c r="D110" s="1916"/>
      <c r="E110" s="1916"/>
      <c r="F110" s="1916"/>
      <c r="G110" s="470"/>
      <c r="H110" s="468"/>
      <c r="I110" s="468"/>
      <c r="J110" s="468"/>
      <c r="K110" s="468"/>
    </row>
    <row r="111" spans="1:11">
      <c r="C111"/>
      <c r="D111" s="1916"/>
      <c r="E111" s="1916"/>
      <c r="F111" s="1916"/>
      <c r="G111"/>
      <c r="H111"/>
      <c r="I111"/>
      <c r="J111"/>
      <c r="K111"/>
    </row>
    <row r="112" spans="1:11">
      <c r="C112"/>
      <c r="D112" s="1916"/>
      <c r="E112" s="1916"/>
      <c r="F112" s="1916"/>
      <c r="G112"/>
      <c r="H112"/>
      <c r="I112"/>
      <c r="J112"/>
      <c r="K112"/>
    </row>
    <row r="113" spans="1:11">
      <c r="C113"/>
      <c r="D113" s="477"/>
      <c r="E113"/>
      <c r="F113"/>
      <c r="G113"/>
      <c r="H113"/>
      <c r="I113"/>
      <c r="J113"/>
      <c r="K113"/>
    </row>
    <row r="114" spans="1:11" ht="13">
      <c r="A114" s="261"/>
      <c r="B114" s="679" t="s">
        <v>316</v>
      </c>
      <c r="C114"/>
      <c r="D114" s="1917" t="s">
        <v>1262</v>
      </c>
      <c r="E114" s="1917"/>
      <c r="F114" s="1917"/>
      <c r="G114"/>
      <c r="H114"/>
      <c r="I114"/>
      <c r="J114"/>
      <c r="K114"/>
    </row>
    <row r="115" spans="1:11" ht="13">
      <c r="A115" s="261"/>
      <c r="B115" s="261"/>
      <c r="C115"/>
      <c r="D115" s="1917"/>
      <c r="E115" s="1917"/>
      <c r="F115" s="1917"/>
      <c r="G115"/>
      <c r="H115"/>
      <c r="I115"/>
      <c r="J115"/>
      <c r="K115"/>
    </row>
    <row r="116" spans="1:11"/>
    <row r="117" spans="1:11" ht="13">
      <c r="A117" s="261"/>
      <c r="B117" s="679" t="s">
        <v>316</v>
      </c>
      <c r="C117" s="10"/>
      <c r="D117" s="1858" t="s">
        <v>1263</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3">
      <c r="A123" s="261"/>
      <c r="B123" s="679" t="s">
        <v>316</v>
      </c>
      <c r="C123" s="10"/>
      <c r="D123" s="1860" t="s">
        <v>1264</v>
      </c>
      <c r="E123" s="1860"/>
      <c r="F123" s="1860"/>
      <c r="G123" s="149"/>
    </row>
    <row r="124" spans="1:11" s="296" customFormat="1" ht="13.75" customHeight="1">
      <c r="A124" s="293"/>
      <c r="B124" s="293"/>
      <c r="C124" s="294"/>
      <c r="D124" s="1860"/>
      <c r="E124" s="1860"/>
      <c r="F124" s="1860"/>
      <c r="G124" s="295"/>
    </row>
    <row r="125" spans="1:11" customFormat="1" ht="13.75" customHeight="1">
      <c r="A125" s="132"/>
      <c r="B125" s="676"/>
      <c r="C125" s="10"/>
      <c r="D125" s="1860"/>
      <c r="E125" s="1860"/>
      <c r="F125" s="1860"/>
      <c r="G125" s="149"/>
    </row>
    <row r="126" spans="1:11" customFormat="1" ht="13.75" customHeight="1">
      <c r="A126" s="132"/>
      <c r="B126" s="676"/>
      <c r="C126" s="10"/>
      <c r="D126" s="1860"/>
      <c r="E126" s="1860"/>
      <c r="F126" s="1860"/>
      <c r="G126" s="149"/>
    </row>
    <row r="127" spans="1:11" customFormat="1" ht="13.75" customHeight="1">
      <c r="A127" s="132"/>
      <c r="B127" s="676"/>
      <c r="C127" s="10"/>
      <c r="D127" s="1860"/>
      <c r="E127" s="1860"/>
      <c r="F127" s="1860"/>
      <c r="G127" s="149"/>
    </row>
    <row r="128" spans="1:11" customFormat="1" ht="13.75" customHeight="1">
      <c r="A128" s="378"/>
      <c r="B128" s="378"/>
      <c r="C128" s="10"/>
      <c r="D128" s="1860"/>
      <c r="E128" s="1860"/>
      <c r="F128" s="1860"/>
      <c r="G128" s="149"/>
    </row>
    <row r="129" spans="1:7" s="2" customFormat="1" ht="13.75" customHeight="1">
      <c r="A129" s="273"/>
      <c r="B129" s="273"/>
      <c r="C129" s="442"/>
      <c r="D129" s="1860"/>
      <c r="E129" s="1860"/>
      <c r="F129" s="1860"/>
      <c r="G129" s="182"/>
    </row>
    <row r="130" spans="1:7" s="2" customFormat="1" ht="13.75" customHeight="1">
      <c r="A130" s="273"/>
      <c r="B130" s="273"/>
      <c r="C130" s="442"/>
      <c r="D130" s="1860"/>
      <c r="E130" s="1860"/>
      <c r="F130" s="1860"/>
      <c r="G130" s="182"/>
    </row>
    <row r="131" spans="1:7" customFormat="1" ht="13.75" customHeight="1">
      <c r="A131" s="132"/>
      <c r="B131" s="676"/>
      <c r="C131" s="10"/>
      <c r="D131" s="1860"/>
      <c r="E131" s="1860"/>
      <c r="F131" s="1860"/>
      <c r="G131" s="149"/>
    </row>
    <row r="132" spans="1:7" customFormat="1" ht="13.75" customHeight="1">
      <c r="A132" s="132"/>
      <c r="B132" s="676"/>
      <c r="C132" s="10"/>
      <c r="D132" s="1860"/>
      <c r="E132" s="1860"/>
      <c r="F132" s="1860"/>
      <c r="G132" s="149"/>
    </row>
    <row r="133" spans="1:7" customFormat="1" ht="13.75" customHeight="1">
      <c r="A133" s="132"/>
      <c r="B133" s="676"/>
      <c r="C133" s="10"/>
      <c r="D133" s="1860"/>
      <c r="E133" s="1860"/>
      <c r="F133" s="1860"/>
      <c r="G133" s="149"/>
    </row>
    <row r="134" spans="1:7" customFormat="1" ht="13.75" customHeight="1">
      <c r="A134" s="132"/>
      <c r="B134" s="676"/>
      <c r="C134" s="10"/>
      <c r="D134" s="1860"/>
      <c r="E134" s="1860"/>
      <c r="F134" s="1860"/>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58" t="s">
        <v>1372</v>
      </c>
      <c r="E136" s="1858"/>
      <c r="F136" s="1858"/>
      <c r="G136" s="149"/>
    </row>
    <row r="137" spans="1:7" s="717" customFormat="1" ht="13.75" customHeight="1">
      <c r="A137" s="705"/>
      <c r="B137" s="705"/>
      <c r="C137" s="10"/>
      <c r="D137" s="1858"/>
      <c r="E137" s="1858"/>
      <c r="F137" s="1858"/>
      <c r="G137" s="149"/>
    </row>
    <row r="138" spans="1:7" s="717" customFormat="1" ht="13.75" customHeight="1">
      <c r="A138" s="705"/>
      <c r="B138" s="705"/>
      <c r="C138" s="10"/>
      <c r="D138" s="1858"/>
      <c r="E138" s="1858"/>
      <c r="F138" s="1858"/>
      <c r="G138" s="149"/>
    </row>
    <row r="139" spans="1:7" s="717" customFormat="1" ht="13.75" customHeight="1">
      <c r="A139" s="705"/>
      <c r="B139" s="705"/>
      <c r="C139" s="10"/>
      <c r="D139" s="1858"/>
      <c r="E139" s="1858"/>
      <c r="F139" s="1858"/>
      <c r="G139" s="149"/>
    </row>
    <row r="140" spans="1:7" s="717" customFormat="1" ht="13.75" customHeight="1">
      <c r="A140" s="705"/>
      <c r="B140" s="705"/>
      <c r="C140" s="10"/>
      <c r="D140" s="1858"/>
      <c r="E140" s="1858"/>
      <c r="F140" s="1858"/>
      <c r="G140" s="149"/>
    </row>
    <row r="141" spans="1:7" s="717" customFormat="1" ht="13.75" customHeight="1">
      <c r="A141" s="705"/>
      <c r="B141" s="705"/>
      <c r="C141" s="10"/>
      <c r="D141" s="1858"/>
      <c r="E141" s="1858"/>
      <c r="F141" s="1858"/>
      <c r="G141" s="149"/>
    </row>
    <row r="142" spans="1:7" s="717" customFormat="1" ht="13.75" customHeight="1">
      <c r="A142" s="705"/>
      <c r="B142" s="705"/>
      <c r="C142" s="10"/>
      <c r="D142" s="1858"/>
      <c r="E142" s="1858"/>
      <c r="F142" s="1858"/>
      <c r="G142" s="149"/>
    </row>
    <row r="143" spans="1:7" s="717" customFormat="1" ht="13.75" customHeight="1">
      <c r="A143" s="705"/>
      <c r="B143" s="705"/>
      <c r="C143" s="10"/>
      <c r="D143" s="1858"/>
      <c r="E143" s="1858"/>
      <c r="F143" s="1858"/>
      <c r="G143" s="149"/>
    </row>
    <row r="144" spans="1:7" s="717" customFormat="1" ht="13.75" customHeight="1">
      <c r="A144" s="705"/>
      <c r="B144" s="705"/>
      <c r="C144" s="10"/>
      <c r="D144" s="1858"/>
      <c r="E144" s="1858"/>
      <c r="F144" s="1858"/>
      <c r="G144" s="149"/>
    </row>
    <row r="145" spans="1:7" s="717" customFormat="1" ht="13.75" customHeight="1">
      <c r="A145" s="705"/>
      <c r="B145" s="705"/>
      <c r="C145" s="10"/>
      <c r="D145" s="1858"/>
      <c r="E145" s="1858"/>
      <c r="F145" s="1858"/>
      <c r="G145" s="149"/>
    </row>
    <row r="146" spans="1:7" s="717" customFormat="1" ht="13.75" customHeight="1">
      <c r="A146" s="747"/>
      <c r="B146" s="747"/>
      <c r="C146" s="10"/>
      <c r="D146" s="1858"/>
      <c r="E146" s="1858"/>
      <c r="F146" s="1858"/>
      <c r="G146" s="149"/>
    </row>
    <row r="147" spans="1:7" s="717" customFormat="1" ht="13.75" customHeight="1">
      <c r="A147" s="747"/>
      <c r="B147" s="747"/>
      <c r="C147" s="10"/>
      <c r="D147" s="1858"/>
      <c r="E147" s="1858"/>
      <c r="F147" s="1858"/>
      <c r="G147" s="149"/>
    </row>
    <row r="148" spans="1:7" s="717" customFormat="1" ht="13.75" customHeight="1">
      <c r="A148" s="705"/>
      <c r="B148" s="705"/>
      <c r="C148" s="10"/>
      <c r="D148" s="1858"/>
      <c r="E148" s="1858"/>
      <c r="F148" s="1858"/>
      <c r="G148" s="149"/>
    </row>
    <row r="149" spans="1:7" s="717" customFormat="1" ht="13.75" customHeight="1">
      <c r="A149" s="705"/>
      <c r="B149" s="705"/>
      <c r="C149" s="10"/>
      <c r="D149" s="1858"/>
      <c r="E149" s="1858"/>
      <c r="F149" s="1858"/>
      <c r="G149" s="149"/>
    </row>
    <row r="150" spans="1:7" s="717" customFormat="1" ht="13.75" customHeight="1">
      <c r="A150" s="705"/>
      <c r="B150" s="705"/>
      <c r="C150" s="10"/>
      <c r="D150" s="1858"/>
      <c r="E150" s="1858"/>
      <c r="F150" s="1858"/>
      <c r="G150" s="149"/>
    </row>
    <row r="151" spans="1:7" s="717" customFormat="1" ht="13.75" customHeight="1">
      <c r="A151" s="705"/>
      <c r="B151" s="705"/>
      <c r="C151" s="10"/>
      <c r="D151" s="1858"/>
      <c r="E151" s="1858"/>
      <c r="F151" s="1858"/>
      <c r="G151" s="149"/>
    </row>
    <row r="152" spans="1:7" s="717" customFormat="1" ht="13.75" customHeight="1">
      <c r="A152" s="705"/>
      <c r="B152" s="705"/>
      <c r="C152" s="10"/>
      <c r="D152" s="1858"/>
      <c r="E152" s="1858"/>
      <c r="F152" s="1858"/>
      <c r="G152" s="149"/>
    </row>
    <row r="153" spans="1:7" s="717" customFormat="1" ht="13.75" customHeight="1">
      <c r="A153" s="705"/>
      <c r="B153" s="705"/>
      <c r="C153" s="10"/>
      <c r="D153" s="1858"/>
      <c r="E153" s="1858"/>
      <c r="F153" s="1858"/>
      <c r="G153" s="149"/>
    </row>
    <row r="154" spans="1:7" s="717" customFormat="1" ht="13.75" customHeight="1">
      <c r="A154" s="705"/>
      <c r="B154" s="705"/>
      <c r="C154" s="10"/>
      <c r="D154" s="1858"/>
      <c r="E154" s="1858"/>
      <c r="F154" s="1858"/>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918" t="s">
        <v>1265</v>
      </c>
      <c r="E156" s="1918"/>
      <c r="F156" s="1918"/>
      <c r="G156" s="444"/>
    </row>
    <row r="157" spans="1:7" customFormat="1" ht="13.75" customHeight="1">
      <c r="A157" s="378"/>
      <c r="B157" s="378"/>
      <c r="C157" s="325"/>
      <c r="D157" s="1918"/>
      <c r="E157" s="1918"/>
      <c r="F157" s="1918"/>
      <c r="G157" s="444"/>
    </row>
    <row r="158" spans="1:7" customFormat="1" ht="13.75" customHeight="1">
      <c r="A158" s="378"/>
      <c r="B158" s="378"/>
      <c r="C158" s="325"/>
      <c r="D158" s="327"/>
      <c r="E158" s="325"/>
      <c r="F158" s="325"/>
      <c r="G158" s="444"/>
    </row>
    <row r="159" spans="1:7" customFormat="1" ht="13.75" customHeight="1">
      <c r="A159" s="378"/>
      <c r="B159" s="679" t="s">
        <v>316</v>
      </c>
      <c r="C159" s="325"/>
      <c r="D159" s="1861" t="s">
        <v>1266</v>
      </c>
      <c r="E159" s="1861"/>
      <c r="F159" s="1861"/>
      <c r="G159" s="444"/>
    </row>
    <row r="160" spans="1:7" customFormat="1" ht="13.75" customHeight="1">
      <c r="A160" s="378"/>
      <c r="B160" s="378"/>
      <c r="C160" s="325"/>
      <c r="D160" s="1861"/>
      <c r="E160" s="1861"/>
      <c r="F160" s="1861"/>
      <c r="G160" s="444"/>
    </row>
    <row r="161" spans="1:7" customFormat="1" ht="13.75" customHeight="1">
      <c r="A161" s="378"/>
      <c r="B161" s="378"/>
      <c r="C161" s="325"/>
      <c r="D161" s="1861"/>
      <c r="E161" s="1861"/>
      <c r="F161" s="1861"/>
      <c r="G161" s="444"/>
    </row>
    <row r="162" spans="1:7" customFormat="1" ht="13.75" customHeight="1">
      <c r="A162" s="378"/>
      <c r="B162" s="378"/>
      <c r="C162" s="325"/>
      <c r="D162" s="1861"/>
      <c r="E162" s="1861"/>
      <c r="F162" s="1861"/>
      <c r="G162" s="444"/>
    </row>
    <row r="163" spans="1:7" customFormat="1" ht="13.75" customHeight="1">
      <c r="A163" s="132"/>
      <c r="B163" s="676"/>
      <c r="C163" s="10"/>
      <c r="D163" s="151"/>
      <c r="E163" s="151"/>
      <c r="F163" s="151"/>
      <c r="G163" s="149"/>
    </row>
    <row r="164" spans="1:7" customFormat="1" ht="13.75" customHeight="1">
      <c r="A164" s="132"/>
      <c r="B164" s="679" t="s">
        <v>316</v>
      </c>
      <c r="C164" s="10"/>
      <c r="D164" s="1906" t="s">
        <v>1267</v>
      </c>
      <c r="E164" s="1906"/>
      <c r="F164" s="1906"/>
      <c r="G164" s="149"/>
    </row>
    <row r="165" spans="1:7" customFormat="1" ht="13.75" customHeight="1">
      <c r="A165" s="132"/>
      <c r="B165" s="676"/>
      <c r="C165" s="10"/>
      <c r="D165" s="1906"/>
      <c r="E165" s="1906"/>
      <c r="F165" s="1906"/>
      <c r="G165" s="149"/>
    </row>
    <row r="166" spans="1:7" customFormat="1" ht="13.75" customHeight="1">
      <c r="A166" s="132"/>
      <c r="B166" s="676"/>
      <c r="C166" s="10"/>
      <c r="D166" s="1906"/>
      <c r="E166" s="1906"/>
      <c r="F166" s="1906"/>
      <c r="G166" s="149"/>
    </row>
    <row r="167" spans="1:7" customFormat="1" ht="13.75" customHeight="1">
      <c r="A167" s="23"/>
      <c r="B167" s="675"/>
      <c r="C167" s="10"/>
      <c r="D167" s="7"/>
      <c r="E167" s="151"/>
      <c r="F167" s="151"/>
      <c r="G167" s="149"/>
    </row>
    <row r="168" spans="1:7" ht="13">
      <c r="A168" s="1884" t="s">
        <v>1161</v>
      </c>
      <c r="B168" s="1884"/>
      <c r="C168" s="1884"/>
      <c r="D168" s="1884"/>
      <c r="E168" s="1884"/>
      <c r="F168" s="1884"/>
      <c r="G168" s="1884"/>
    </row>
    <row r="169" spans="1:7" ht="12" customHeight="1">
      <c r="D169" s="135"/>
      <c r="E169" s="135"/>
      <c r="F169" s="135"/>
    </row>
    <row r="170" spans="1:7">
      <c r="B170" s="1880" t="s">
        <v>469</v>
      </c>
      <c r="C170" s="1880"/>
      <c r="D170" s="1880"/>
      <c r="E170" s="1880"/>
      <c r="F170" s="1880"/>
    </row>
    <row r="171" spans="1:7" ht="12" customHeight="1">
      <c r="A171" s="255"/>
      <c r="B171" s="673"/>
      <c r="C171" s="255"/>
    </row>
    <row r="172" spans="1:7" ht="13">
      <c r="A172" s="1884" t="s">
        <v>1162</v>
      </c>
      <c r="B172" s="1884"/>
      <c r="C172" s="1884"/>
      <c r="D172" s="1884"/>
      <c r="E172" s="1884"/>
      <c r="F172" s="1884"/>
      <c r="G172" s="1884"/>
    </row>
    <row r="173" spans="1:7" ht="12" customHeight="1">
      <c r="A173" s="264"/>
      <c r="B173" s="264"/>
      <c r="C173" s="265"/>
      <c r="D173" s="57"/>
      <c r="E173" s="49"/>
      <c r="F173" s="57"/>
      <c r="G173" s="57"/>
    </row>
    <row r="174" spans="1:7" ht="13.15" customHeight="1">
      <c r="A174" s="264"/>
      <c r="B174" s="264"/>
      <c r="C174" s="265"/>
      <c r="D174" s="1920" t="s">
        <v>1270</v>
      </c>
      <c r="E174" s="1920"/>
      <c r="F174" s="1920"/>
      <c r="G174" s="57"/>
    </row>
    <row r="175" spans="1:7" ht="13">
      <c r="A175" s="264"/>
      <c r="B175" s="264"/>
      <c r="C175" s="265"/>
      <c r="D175" s="1920"/>
      <c r="E175" s="1920"/>
      <c r="F175" s="1920"/>
      <c r="G175" s="57"/>
    </row>
    <row r="176" spans="1:7" s="719" customFormat="1" ht="13">
      <c r="A176" s="721"/>
      <c r="B176" s="721"/>
      <c r="C176" s="265"/>
      <c r="D176" s="1921" t="s">
        <v>1271</v>
      </c>
      <c r="E176" s="1921"/>
      <c r="F176" s="1921"/>
      <c r="G176" s="57"/>
    </row>
    <row r="177" spans="1:7" ht="12" customHeight="1">
      <c r="A177" s="264"/>
      <c r="B177" s="264"/>
      <c r="C177" s="265"/>
      <c r="D177" s="57"/>
      <c r="E177" s="49"/>
      <c r="F177" s="57"/>
      <c r="G177" s="57"/>
    </row>
    <row r="178" spans="1:7" ht="13">
      <c r="A178" s="261"/>
      <c r="B178" s="679" t="s">
        <v>316</v>
      </c>
      <c r="C178" s="265"/>
      <c r="D178" s="1919" t="s">
        <v>1269</v>
      </c>
      <c r="E178" s="1919"/>
      <c r="F178" s="1919"/>
      <c r="G178" s="57"/>
    </row>
    <row r="179" spans="1:7" ht="13">
      <c r="A179" s="261"/>
      <c r="B179" s="261"/>
      <c r="C179" s="265"/>
      <c r="D179" s="1919"/>
      <c r="E179" s="1919"/>
      <c r="F179" s="1919"/>
      <c r="G179" s="57"/>
    </row>
    <row r="180" spans="1:7" ht="13">
      <c r="A180" s="261"/>
      <c r="B180" s="261"/>
      <c r="C180" s="265"/>
      <c r="D180" s="1919"/>
      <c r="E180" s="1919"/>
      <c r="F180" s="1919"/>
      <c r="G180" s="57"/>
    </row>
    <row r="181" spans="1:7">
      <c r="A181" s="265"/>
      <c r="B181" s="265"/>
      <c r="C181" s="265"/>
      <c r="D181" s="1919"/>
      <c r="E181" s="1919"/>
      <c r="F181" s="1919"/>
    </row>
    <row r="182" spans="1:7">
      <c r="A182" s="265"/>
      <c r="B182" s="265"/>
      <c r="C182" s="265"/>
      <c r="D182" s="404"/>
      <c r="E182" s="57"/>
      <c r="F182" s="57"/>
    </row>
    <row r="183" spans="1:7">
      <c r="A183" s="265"/>
      <c r="B183" s="265"/>
      <c r="C183" s="265"/>
      <c r="D183" s="1923" t="s">
        <v>1178</v>
      </c>
      <c r="E183" s="1923"/>
      <c r="F183" s="1923"/>
    </row>
    <row r="184" spans="1:7">
      <c r="A184" s="265"/>
      <c r="B184" s="265"/>
      <c r="C184" s="265"/>
      <c r="D184" s="1923"/>
      <c r="E184" s="1923"/>
      <c r="F184" s="1923"/>
    </row>
    <row r="185" spans="1:7" s="682" customFormat="1">
      <c r="A185" s="265"/>
      <c r="B185" s="265"/>
      <c r="C185" s="265"/>
      <c r="D185" s="696"/>
      <c r="E185" s="696"/>
      <c r="F185" s="696"/>
      <c r="G185" s="7"/>
    </row>
    <row r="186" spans="1:7" s="677" customFormat="1" ht="13">
      <c r="A186" s="261"/>
      <c r="B186" s="679" t="s">
        <v>316</v>
      </c>
      <c r="C186" s="557"/>
      <c r="D186" s="1858" t="s">
        <v>1268</v>
      </c>
      <c r="E186" s="1858"/>
      <c r="F186" s="1858"/>
      <c r="G186" s="678"/>
    </row>
    <row r="187" spans="1:7" s="677" customFormat="1" ht="14.5" customHeight="1">
      <c r="A187" s="261"/>
      <c r="C187" s="557"/>
      <c r="D187" s="1858"/>
      <c r="E187" s="1858"/>
      <c r="F187" s="1858"/>
      <c r="G187" s="678"/>
    </row>
    <row r="188" spans="1:7" s="677" customFormat="1" ht="13">
      <c r="A188" s="261"/>
      <c r="B188" s="697"/>
      <c r="C188" s="557"/>
      <c r="D188" s="1858"/>
      <c r="E188" s="1858"/>
      <c r="F188" s="1858"/>
      <c r="G188" s="678"/>
    </row>
    <row r="189" spans="1:7" s="677" customFormat="1" ht="13">
      <c r="A189" s="261"/>
      <c r="B189" s="697"/>
      <c r="C189" s="557"/>
      <c r="D189" s="1858"/>
      <c r="E189" s="1858"/>
      <c r="F189" s="1858"/>
      <c r="G189" s="678"/>
    </row>
    <row r="190" spans="1:7" s="682" customFormat="1">
      <c r="A190" s="265"/>
      <c r="B190" s="265"/>
      <c r="C190" s="265"/>
      <c r="D190" s="696"/>
      <c r="E190" s="696"/>
      <c r="F190" s="696"/>
      <c r="G190" s="7"/>
    </row>
    <row r="191" spans="1:7" ht="13">
      <c r="A191" s="1884" t="s">
        <v>1163</v>
      </c>
      <c r="B191" s="1884"/>
      <c r="C191" s="1884"/>
      <c r="D191" s="1884"/>
      <c r="E191" s="1884"/>
      <c r="F191" s="1884"/>
      <c r="G191" s="1884"/>
    </row>
    <row r="192" spans="1:7" ht="12" customHeight="1">
      <c r="D192" s="135"/>
      <c r="E192" s="135"/>
      <c r="F192" s="135"/>
    </row>
    <row r="193" spans="1:6" ht="13">
      <c r="C193" s="262"/>
      <c r="D193" s="1922" t="s">
        <v>214</v>
      </c>
      <c r="E193" s="1922"/>
      <c r="F193" s="1922"/>
    </row>
    <row r="194" spans="1:6" ht="13">
      <c r="A194" s="255"/>
      <c r="B194" s="673"/>
      <c r="C194" s="255"/>
      <c r="D194" s="1890" t="s">
        <v>1292</v>
      </c>
      <c r="E194" s="1891"/>
      <c r="F194" s="1891"/>
    </row>
    <row r="195" spans="1:6" ht="12" customHeight="1">
      <c r="A195" s="23"/>
      <c r="B195" s="675"/>
      <c r="C195" s="23"/>
    </row>
    <row r="196" spans="1:6" ht="13.15" customHeight="1">
      <c r="A196" s="23"/>
      <c r="C196" s="23"/>
      <c r="D196" s="1882" t="s">
        <v>578</v>
      </c>
      <c r="E196" s="1882"/>
      <c r="F196" s="1882"/>
    </row>
    <row r="197" spans="1:6" ht="13">
      <c r="A197" s="261"/>
      <c r="B197" s="679" t="s">
        <v>316</v>
      </c>
      <c r="D197" s="1858" t="s">
        <v>1286</v>
      </c>
      <c r="E197" s="1858"/>
      <c r="F197" s="1858"/>
    </row>
    <row r="198" spans="1:6" ht="13">
      <c r="A198" s="261"/>
      <c r="B198" s="261"/>
      <c r="D198" s="1858"/>
      <c r="E198" s="1858"/>
      <c r="F198" s="1858"/>
    </row>
    <row r="199" spans="1:6"/>
    <row r="200" spans="1:6" ht="13">
      <c r="A200" s="261"/>
      <c r="B200" s="679" t="s">
        <v>316</v>
      </c>
      <c r="D200" s="1858" t="s">
        <v>1287</v>
      </c>
      <c r="E200" s="1858"/>
      <c r="F200" s="1858"/>
    </row>
    <row r="201" spans="1:6" ht="13">
      <c r="A201" s="261"/>
      <c r="B201" s="261"/>
      <c r="D201" s="1858"/>
      <c r="E201" s="1858"/>
      <c r="F201" s="1858"/>
    </row>
    <row r="202" spans="1:6" ht="13">
      <c r="A202" s="261"/>
      <c r="B202" s="261"/>
      <c r="D202" s="1858"/>
      <c r="E202" s="1858"/>
      <c r="F202" s="1858"/>
    </row>
    <row r="203" spans="1:6" ht="5.15" customHeight="1">
      <c r="A203" s="261"/>
      <c r="B203" s="261"/>
      <c r="D203" s="151"/>
      <c r="E203" s="135"/>
      <c r="F203" s="135"/>
    </row>
    <row r="204" spans="1:6" ht="13">
      <c r="A204" s="261"/>
      <c r="B204" s="261"/>
      <c r="D204" s="1858" t="s">
        <v>1288</v>
      </c>
      <c r="E204" s="1858"/>
      <c r="F204" s="1858"/>
    </row>
    <row r="205" spans="1:6" ht="13">
      <c r="A205" s="261"/>
      <c r="B205" s="261"/>
      <c r="D205" s="1858"/>
      <c r="E205" s="1858"/>
      <c r="F205" s="1858"/>
    </row>
    <row r="206" spans="1:6" ht="13">
      <c r="A206" s="261"/>
      <c r="B206" s="261"/>
      <c r="D206" s="1858"/>
      <c r="E206" s="1858"/>
      <c r="F206" s="1858"/>
    </row>
    <row r="207" spans="1:6" ht="13">
      <c r="A207" s="261"/>
      <c r="B207" s="261"/>
      <c r="D207" s="1858"/>
      <c r="E207" s="1858"/>
      <c r="F207" s="1858"/>
    </row>
    <row r="208" spans="1:6" ht="13">
      <c r="A208" s="261"/>
      <c r="B208" s="261"/>
      <c r="D208" s="1858"/>
      <c r="E208" s="1858"/>
      <c r="F208" s="1858"/>
    </row>
    <row r="209" spans="1:7" ht="13">
      <c r="A209" s="261"/>
      <c r="B209" s="261"/>
      <c r="D209" s="135"/>
      <c r="E209" s="135"/>
      <c r="F209" s="135"/>
    </row>
    <row r="210" spans="1:7" ht="13">
      <c r="A210" s="261"/>
      <c r="B210" s="679" t="s">
        <v>316</v>
      </c>
      <c r="D210" s="1879" t="s">
        <v>1289</v>
      </c>
      <c r="E210" s="1879"/>
      <c r="F210" s="1879"/>
    </row>
    <row r="211" spans="1:7" ht="13">
      <c r="A211" s="261"/>
      <c r="B211" s="261"/>
      <c r="D211" s="1879"/>
      <c r="E211" s="1879"/>
      <c r="F211" s="1879"/>
    </row>
    <row r="212" spans="1:7" ht="13">
      <c r="A212" s="261"/>
      <c r="B212" s="261"/>
      <c r="D212" s="1880" t="s">
        <v>962</v>
      </c>
      <c r="E212" s="1880"/>
      <c r="F212" s="1880"/>
    </row>
    <row r="213" spans="1:7" ht="13">
      <c r="A213" s="261"/>
      <c r="B213" s="261"/>
      <c r="D213" s="135"/>
      <c r="E213" s="135"/>
      <c r="F213" s="135"/>
    </row>
    <row r="214" spans="1:7" ht="14.5" customHeight="1">
      <c r="A214" s="261"/>
      <c r="B214" s="679" t="s">
        <v>316</v>
      </c>
      <c r="D214" s="1879" t="s">
        <v>1291</v>
      </c>
      <c r="E214" s="1879"/>
      <c r="F214" s="1879"/>
    </row>
    <row r="215" spans="1:7" ht="13">
      <c r="A215" s="261"/>
      <c r="B215" s="261"/>
      <c r="D215" s="1879"/>
      <c r="E215" s="1879"/>
      <c r="F215" s="1879"/>
    </row>
    <row r="216" spans="1:7" ht="13">
      <c r="A216" s="261"/>
      <c r="B216" s="261"/>
      <c r="D216" s="1879"/>
      <c r="E216" s="1879"/>
      <c r="F216" s="1879"/>
    </row>
    <row r="217" spans="1:7" ht="13">
      <c r="A217" s="261"/>
      <c r="B217" s="261"/>
      <c r="D217" s="1879"/>
      <c r="E217" s="1879"/>
      <c r="F217" s="1879"/>
    </row>
    <row r="218" spans="1:7" ht="13">
      <c r="A218" s="261"/>
      <c r="B218" s="261"/>
      <c r="D218" s="1879"/>
      <c r="E218" s="1879"/>
      <c r="F218" s="1879"/>
    </row>
    <row r="219" spans="1:7">
      <c r="D219" s="135"/>
      <c r="E219" s="135"/>
      <c r="F219" s="135"/>
    </row>
    <row r="220" spans="1:7" ht="13">
      <c r="A220" s="261"/>
      <c r="B220" s="679" t="s">
        <v>316</v>
      </c>
      <c r="D220" s="1858" t="s">
        <v>1290</v>
      </c>
      <c r="E220" s="1858"/>
      <c r="F220" s="1858"/>
    </row>
    <row r="221" spans="1:7" ht="13">
      <c r="A221" s="261"/>
      <c r="B221" s="261"/>
      <c r="D221" s="1858"/>
      <c r="E221" s="1858"/>
      <c r="F221" s="1858"/>
    </row>
    <row r="222" spans="1:7">
      <c r="D222" s="29"/>
    </row>
    <row r="223" spans="1:7" ht="13">
      <c r="A223" s="1884" t="s">
        <v>1164</v>
      </c>
      <c r="B223" s="1884"/>
      <c r="C223" s="1884"/>
      <c r="D223" s="1884"/>
      <c r="E223" s="1884"/>
      <c r="F223" s="1884"/>
      <c r="G223" s="1884"/>
    </row>
    <row r="224" spans="1:7">
      <c r="D224" s="29"/>
    </row>
    <row r="225" spans="1:6" ht="13">
      <c r="C225" s="262"/>
      <c r="D225" s="1882" t="s">
        <v>1293</v>
      </c>
      <c r="E225" s="1882"/>
      <c r="F225" s="1882"/>
    </row>
    <row r="226" spans="1:6" ht="13">
      <c r="A226" s="255"/>
      <c r="B226" s="673"/>
      <c r="C226" s="255"/>
      <c r="D226" s="135"/>
      <c r="E226" s="135"/>
      <c r="F226" s="135"/>
    </row>
    <row r="227" spans="1:6" ht="13">
      <c r="A227" s="260"/>
      <c r="B227" s="260"/>
      <c r="C227" s="260"/>
      <c r="D227" s="1882" t="s">
        <v>275</v>
      </c>
      <c r="E227" s="1882"/>
      <c r="F227" s="1882"/>
    </row>
    <row r="228" spans="1:6" ht="13">
      <c r="A228" s="261"/>
      <c r="B228" s="679" t="s">
        <v>316</v>
      </c>
      <c r="D228" s="1932" t="s">
        <v>1294</v>
      </c>
      <c r="E228" s="1932"/>
      <c r="F228" s="1932"/>
    </row>
    <row r="229" spans="1:6" ht="13">
      <c r="A229" s="261"/>
      <c r="B229" s="261"/>
      <c r="D229" s="1932"/>
      <c r="E229" s="1932"/>
      <c r="F229" s="1932"/>
    </row>
    <row r="230" spans="1:6">
      <c r="D230" s="135"/>
      <c r="E230" s="135"/>
      <c r="F230" s="135"/>
    </row>
    <row r="231" spans="1:6" ht="14.5" customHeight="1">
      <c r="A231" s="261"/>
      <c r="B231" s="679" t="s">
        <v>316</v>
      </c>
      <c r="D231" s="1879" t="s">
        <v>1295</v>
      </c>
      <c r="E231" s="1879"/>
      <c r="F231" s="1879"/>
    </row>
    <row r="232" spans="1:6">
      <c r="D232" s="1879"/>
      <c r="E232" s="1879"/>
      <c r="F232" s="1879"/>
    </row>
    <row r="233" spans="1:6" ht="13">
      <c r="D233" s="1891" t="s">
        <v>953</v>
      </c>
      <c r="E233" s="1891"/>
      <c r="F233" s="1891"/>
    </row>
    <row r="234" spans="1:6">
      <c r="D234" s="135"/>
      <c r="E234" s="135"/>
      <c r="F234" s="135"/>
    </row>
    <row r="235" spans="1:6" ht="14.5" customHeight="1">
      <c r="A235" s="261"/>
      <c r="B235" s="679" t="s">
        <v>316</v>
      </c>
      <c r="D235" s="1879" t="s">
        <v>1297</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3">
      <c r="A241" s="261"/>
      <c r="B241" s="679" t="s">
        <v>316</v>
      </c>
      <c r="D241" s="1858" t="s">
        <v>1296</v>
      </c>
      <c r="E241" s="1858"/>
      <c r="F241" s="1858"/>
    </row>
    <row r="242" spans="1:7">
      <c r="D242" s="1858"/>
      <c r="E242" s="1858"/>
      <c r="F242" s="1858"/>
    </row>
    <row r="243" spans="1:7">
      <c r="D243" s="1858"/>
      <c r="E243" s="1858"/>
      <c r="F243" s="1858"/>
    </row>
    <row r="244" spans="1:7">
      <c r="D244" s="263"/>
      <c r="E244" s="135"/>
      <c r="F244" s="135"/>
    </row>
    <row r="245" spans="1:7" ht="13">
      <c r="A245" s="1884" t="s">
        <v>1165</v>
      </c>
      <c r="B245" s="1884"/>
      <c r="C245" s="1884"/>
      <c r="D245" s="1884"/>
      <c r="E245" s="1884"/>
      <c r="F245" s="1884"/>
      <c r="G245" s="1884"/>
    </row>
    <row r="246" spans="1:7">
      <c r="D246" s="263"/>
      <c r="E246" s="135"/>
      <c r="F246" s="135"/>
    </row>
    <row r="247" spans="1:7" ht="13">
      <c r="C247" s="255"/>
      <c r="D247" s="1900" t="s">
        <v>1298</v>
      </c>
      <c r="E247" s="1900"/>
      <c r="F247" s="1900"/>
    </row>
    <row r="248" spans="1:7" ht="13">
      <c r="C248" s="255"/>
      <c r="D248" s="1900"/>
      <c r="E248" s="1900"/>
      <c r="F248" s="1900"/>
    </row>
    <row r="249" spans="1:7" ht="13">
      <c r="A249" s="260"/>
      <c r="B249" s="260"/>
      <c r="C249" s="260"/>
      <c r="D249" s="5"/>
      <c r="E249" s="6"/>
      <c r="F249" s="6"/>
    </row>
    <row r="250" spans="1:7" ht="13">
      <c r="C250" s="260"/>
      <c r="D250" s="1882" t="s">
        <v>215</v>
      </c>
      <c r="E250" s="1882"/>
      <c r="F250" s="1882"/>
    </row>
    <row r="251" spans="1:7" ht="15.75" customHeight="1">
      <c r="A251" s="261"/>
      <c r="B251" s="261"/>
      <c r="D251" s="1888" t="s">
        <v>1299</v>
      </c>
      <c r="E251" s="1888"/>
      <c r="F251" s="1888"/>
    </row>
    <row r="252" spans="1:7">
      <c r="E252" s="135"/>
      <c r="F252" s="135"/>
    </row>
    <row r="253" spans="1:7" ht="13">
      <c r="A253" s="261"/>
      <c r="B253" s="679" t="s">
        <v>316</v>
      </c>
      <c r="D253" s="1858" t="s">
        <v>1300</v>
      </c>
      <c r="E253" s="1858"/>
      <c r="F253" s="1858"/>
    </row>
    <row r="254" spans="1:7" ht="13">
      <c r="A254" s="261"/>
      <c r="B254" s="261"/>
      <c r="D254" s="1858"/>
      <c r="E254" s="1858"/>
      <c r="F254" s="1858"/>
    </row>
    <row r="255" spans="1:7">
      <c r="D255" s="135"/>
      <c r="E255" s="135"/>
      <c r="F255" s="135"/>
    </row>
    <row r="256" spans="1:7" ht="13">
      <c r="A256" s="261"/>
      <c r="B256" s="679" t="s">
        <v>316</v>
      </c>
      <c r="D256" s="1879" t="s">
        <v>1301</v>
      </c>
      <c r="E256" s="1879"/>
      <c r="F256" s="1879"/>
    </row>
    <row r="257" spans="1:7" ht="13">
      <c r="A257" s="261"/>
      <c r="B257" s="261"/>
      <c r="D257" s="1879"/>
      <c r="E257" s="1879"/>
      <c r="F257" s="1879"/>
    </row>
    <row r="258" spans="1:7" ht="13">
      <c r="A258" s="261"/>
      <c r="B258" s="261"/>
      <c r="D258" s="1879"/>
      <c r="E258" s="1879"/>
      <c r="F258" s="1879"/>
    </row>
    <row r="259" spans="1:7">
      <c r="D259" s="135"/>
      <c r="E259" s="135"/>
      <c r="F259" s="135"/>
    </row>
    <row r="260" spans="1:7" ht="13">
      <c r="A260" s="261"/>
      <c r="B260" s="679" t="s">
        <v>316</v>
      </c>
      <c r="D260" s="1858" t="s">
        <v>1302</v>
      </c>
      <c r="E260" s="1858"/>
      <c r="F260" s="1858"/>
    </row>
    <row r="261" spans="1:7" ht="13">
      <c r="A261" s="261"/>
      <c r="B261" s="261"/>
      <c r="D261" s="1858"/>
      <c r="E261" s="1858"/>
      <c r="F261" s="1858"/>
    </row>
    <row r="262" spans="1:7" ht="13">
      <c r="A262" s="23"/>
      <c r="B262" s="675"/>
      <c r="E262" s="135"/>
      <c r="F262" s="135"/>
    </row>
    <row r="263" spans="1:7" ht="13">
      <c r="A263" s="1884" t="s">
        <v>1166</v>
      </c>
      <c r="B263" s="1884"/>
      <c r="C263" s="1884"/>
      <c r="D263" s="1884"/>
      <c r="E263" s="1884"/>
      <c r="F263" s="1884"/>
      <c r="G263" s="1884"/>
    </row>
    <row r="264" spans="1:7" ht="13">
      <c r="A264" s="23"/>
      <c r="B264" s="675"/>
      <c r="D264" s="135"/>
      <c r="E264" s="135"/>
      <c r="F264" s="135"/>
    </row>
    <row r="265" spans="1:7" ht="13">
      <c r="C265" s="23"/>
      <c r="D265" s="1882" t="s">
        <v>718</v>
      </c>
      <c r="E265" s="1882"/>
      <c r="F265" s="1882"/>
    </row>
    <row r="266" spans="1:7" ht="13">
      <c r="C266" s="23"/>
      <c r="D266" s="1883" t="s">
        <v>1303</v>
      </c>
      <c r="E266" s="1883"/>
      <c r="F266" s="1883"/>
    </row>
    <row r="267" spans="1:7" ht="13">
      <c r="C267" s="23"/>
      <c r="D267" s="259"/>
    </row>
    <row r="268" spans="1:7">
      <c r="A268" s="273"/>
      <c r="B268" s="679" t="s">
        <v>316</v>
      </c>
      <c r="D268" s="1883" t="s">
        <v>1304</v>
      </c>
      <c r="E268" s="1883"/>
      <c r="F268" s="1883"/>
    </row>
    <row r="269" spans="1:7" s="39" customFormat="1" ht="13">
      <c r="A269" s="403"/>
      <c r="B269" s="403"/>
      <c r="C269" s="273"/>
      <c r="D269" s="497"/>
      <c r="E269" s="498"/>
      <c r="F269" s="498"/>
      <c r="G269" s="130"/>
    </row>
    <row r="270" spans="1:7" s="39" customFormat="1" ht="13.15" customHeight="1">
      <c r="A270" s="273"/>
      <c r="B270" s="679" t="s">
        <v>316</v>
      </c>
      <c r="C270" s="273"/>
      <c r="D270" s="1933" t="s">
        <v>1305</v>
      </c>
      <c r="E270" s="1933"/>
      <c r="F270" s="1933"/>
      <c r="G270" s="130"/>
    </row>
    <row r="271" spans="1:7" s="39" customFormat="1" ht="13">
      <c r="A271" s="403"/>
      <c r="B271" s="403"/>
      <c r="C271" s="273"/>
      <c r="D271" s="1933"/>
      <c r="E271" s="1933"/>
      <c r="F271" s="1933"/>
      <c r="G271" s="130"/>
    </row>
    <row r="272" spans="1:7" s="39" customFormat="1" ht="13">
      <c r="A272" s="403"/>
      <c r="B272" s="403"/>
      <c r="C272" s="273"/>
      <c r="D272" s="1933"/>
      <c r="E272" s="1933"/>
      <c r="F272" s="1933"/>
      <c r="G272" s="130"/>
    </row>
    <row r="273" spans="1:7" s="39" customFormat="1" ht="13">
      <c r="A273" s="403"/>
      <c r="B273" s="403"/>
      <c r="C273" s="273"/>
      <c r="D273" s="1933"/>
      <c r="E273" s="1933"/>
      <c r="F273" s="1933"/>
      <c r="G273" s="130"/>
    </row>
    <row r="274" spans="1:7" s="39" customFormat="1" ht="13">
      <c r="A274" s="403"/>
      <c r="B274" s="403"/>
      <c r="C274" s="273"/>
      <c r="D274" s="1933"/>
      <c r="E274" s="1933"/>
      <c r="F274" s="1933"/>
      <c r="G274" s="130"/>
    </row>
    <row r="275" spans="1:7" s="39" customFormat="1" ht="13">
      <c r="A275" s="403"/>
      <c r="B275" s="403"/>
      <c r="C275" s="273"/>
      <c r="D275" s="497"/>
      <c r="E275" s="498"/>
      <c r="F275" s="498"/>
      <c r="G275" s="130"/>
    </row>
    <row r="276" spans="1:7" s="39" customFormat="1" ht="13.15" customHeight="1">
      <c r="A276" s="273"/>
      <c r="B276" s="679" t="s">
        <v>316</v>
      </c>
      <c r="C276" s="273"/>
      <c r="D276" s="1933" t="s">
        <v>1306</v>
      </c>
      <c r="E276" s="1933"/>
      <c r="F276" s="1933"/>
      <c r="G276" s="130"/>
    </row>
    <row r="277" spans="1:7" s="39" customFormat="1">
      <c r="A277" s="273"/>
      <c r="B277" s="273"/>
      <c r="C277" s="273"/>
      <c r="D277" s="1933"/>
      <c r="E277" s="1933"/>
      <c r="F277" s="1933"/>
      <c r="G277" s="130"/>
    </row>
    <row r="278" spans="1:7" s="39" customFormat="1" ht="13">
      <c r="A278" s="403"/>
      <c r="B278" s="403"/>
      <c r="C278" s="273"/>
      <c r="D278" s="497"/>
      <c r="E278" s="498"/>
      <c r="F278" s="498"/>
      <c r="G278" s="130"/>
    </row>
    <row r="279" spans="1:7">
      <c r="A279" s="273"/>
      <c r="B279" s="679" t="s">
        <v>316</v>
      </c>
      <c r="D279" s="1883" t="s">
        <v>1307</v>
      </c>
      <c r="E279" s="1883"/>
      <c r="F279" s="1883"/>
    </row>
    <row r="280" spans="1:7">
      <c r="E280" s="135"/>
      <c r="F280" s="135"/>
    </row>
    <row r="281" spans="1:7" ht="13">
      <c r="A281" s="261"/>
      <c r="B281" s="679" t="s">
        <v>316</v>
      </c>
      <c r="D281" s="1879" t="s">
        <v>1308</v>
      </c>
      <c r="E281" s="1879"/>
      <c r="F281" s="1879"/>
    </row>
    <row r="282" spans="1:7" ht="13">
      <c r="A282" s="261"/>
      <c r="B282" s="261"/>
      <c r="D282" s="1879"/>
      <c r="E282" s="1879"/>
      <c r="F282" s="1879"/>
    </row>
    <row r="283" spans="1:7" s="719" customFormat="1" ht="13">
      <c r="A283" s="714"/>
      <c r="B283" s="714"/>
      <c r="C283" s="731"/>
      <c r="D283" s="1879"/>
      <c r="E283" s="1879"/>
      <c r="F283" s="1879"/>
      <c r="G283" s="7"/>
    </row>
    <row r="284" spans="1:7" s="719" customFormat="1" ht="13">
      <c r="A284" s="714"/>
      <c r="B284" s="714"/>
      <c r="C284" s="731"/>
      <c r="D284" s="1879"/>
      <c r="E284" s="1879"/>
      <c r="F284" s="1879"/>
      <c r="G284" s="7"/>
    </row>
    <row r="285" spans="1:7" s="719" customFormat="1" ht="13">
      <c r="A285" s="714"/>
      <c r="B285" s="714"/>
      <c r="C285" s="731"/>
      <c r="D285" s="1879"/>
      <c r="E285" s="1879"/>
      <c r="F285" s="1879"/>
      <c r="G285" s="7"/>
    </row>
    <row r="286" spans="1:7" s="719" customFormat="1" ht="13">
      <c r="A286" s="714"/>
      <c r="B286" s="714"/>
      <c r="C286" s="731"/>
      <c r="D286" s="1879"/>
      <c r="E286" s="1879"/>
      <c r="F286" s="1879"/>
      <c r="G286" s="7"/>
    </row>
    <row r="287" spans="1:7" s="719" customFormat="1" ht="13">
      <c r="A287" s="714"/>
      <c r="B287" s="714"/>
      <c r="C287" s="731"/>
      <c r="D287" s="1879"/>
      <c r="E287" s="1879"/>
      <c r="F287" s="1879"/>
      <c r="G287" s="7"/>
    </row>
    <row r="288" spans="1:7" s="719" customFormat="1" ht="13">
      <c r="A288" s="714"/>
      <c r="B288" s="714"/>
      <c r="C288" s="731"/>
      <c r="D288" s="1879"/>
      <c r="E288" s="1879"/>
      <c r="F288" s="1879"/>
      <c r="G288" s="7"/>
    </row>
    <row r="289" spans="1:7" s="719" customFormat="1" ht="13">
      <c r="A289" s="714"/>
      <c r="B289" s="714"/>
      <c r="C289" s="731"/>
      <c r="D289" s="1879"/>
      <c r="E289" s="1879"/>
      <c r="F289" s="1879"/>
      <c r="G289" s="7"/>
    </row>
    <row r="290" spans="1:7" s="719" customFormat="1" ht="13">
      <c r="A290" s="714"/>
      <c r="B290" s="714"/>
      <c r="C290" s="731"/>
      <c r="D290" s="1879"/>
      <c r="E290" s="1879"/>
      <c r="F290" s="1879"/>
      <c r="G290" s="7"/>
    </row>
    <row r="291" spans="1:7" s="719" customFormat="1" ht="13">
      <c r="A291" s="714"/>
      <c r="B291" s="714"/>
      <c r="C291" s="731"/>
      <c r="D291" s="1879"/>
      <c r="E291" s="1879"/>
      <c r="F291" s="1879"/>
      <c r="G291" s="7"/>
    </row>
    <row r="292" spans="1:7" s="719" customFormat="1" ht="13">
      <c r="A292" s="714"/>
      <c r="B292" s="714"/>
      <c r="C292" s="731"/>
      <c r="D292" s="1879"/>
      <c r="E292" s="1879"/>
      <c r="F292" s="1879"/>
      <c r="G292" s="7"/>
    </row>
    <row r="293" spans="1:7" ht="13">
      <c r="A293" s="261"/>
      <c r="B293" s="261"/>
      <c r="D293" s="1879"/>
      <c r="E293" s="1879"/>
      <c r="F293" s="1879"/>
    </row>
    <row r="294" spans="1:7" ht="13">
      <c r="A294" s="261"/>
      <c r="B294" s="261"/>
      <c r="D294" s="1879"/>
      <c r="E294" s="1879"/>
      <c r="F294" s="1879"/>
    </row>
    <row r="295" spans="1:7" ht="13">
      <c r="A295" s="261"/>
      <c r="B295" s="261"/>
      <c r="D295" s="1879"/>
      <c r="E295" s="1879"/>
      <c r="F295" s="1879"/>
    </row>
    <row r="296" spans="1:7">
      <c r="D296" s="135"/>
      <c r="E296" s="135"/>
      <c r="F296" s="135"/>
    </row>
    <row r="297" spans="1:7" ht="13">
      <c r="A297" s="261"/>
      <c r="B297" s="679" t="s">
        <v>316</v>
      </c>
      <c r="D297" s="1879" t="s">
        <v>1309</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3">
      <c r="A307" s="261"/>
      <c r="B307" s="679" t="s">
        <v>316</v>
      </c>
      <c r="D307" s="1858" t="s">
        <v>1310</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9" customFormat="1">
      <c r="A313" s="731"/>
      <c r="B313" s="731"/>
      <c r="C313" s="731"/>
      <c r="D313" s="728"/>
      <c r="E313" s="728"/>
      <c r="F313" s="728"/>
    </row>
    <row r="314" spans="1:7" ht="13.5" thickBot="1">
      <c r="D314" s="1929" t="s">
        <v>1059</v>
      </c>
      <c r="E314" s="1929"/>
      <c r="F314" s="1929"/>
      <c r="G314" s="12"/>
    </row>
    <row r="315" spans="1:7" s="719" customFormat="1" ht="13" thickTop="1">
      <c r="A315" s="731"/>
      <c r="B315" s="731"/>
      <c r="C315" s="731"/>
      <c r="D315" s="1930" t="s">
        <v>1311</v>
      </c>
      <c r="E315" s="1930"/>
      <c r="F315" s="1930"/>
    </row>
    <row r="316" spans="1:7">
      <c r="A316" s="325"/>
      <c r="B316" s="325"/>
      <c r="C316" s="325"/>
      <c r="D316" s="467"/>
      <c r="E316" s="467"/>
      <c r="F316" s="135"/>
      <c r="G316" s="12"/>
    </row>
    <row r="317" spans="1:7" ht="13">
      <c r="A317" s="261"/>
      <c r="B317" s="679" t="s">
        <v>316</v>
      </c>
      <c r="C317" s="325"/>
      <c r="D317" s="1931" t="s">
        <v>1312</v>
      </c>
      <c r="E317" s="1931"/>
      <c r="F317" s="1931"/>
      <c r="G317" s="12"/>
    </row>
    <row r="318" spans="1:7">
      <c r="A318" s="325"/>
      <c r="B318" s="325"/>
      <c r="C318" s="325"/>
      <c r="D318" s="467"/>
      <c r="E318" s="467"/>
      <c r="F318" s="135"/>
      <c r="G318" s="12"/>
    </row>
    <row r="319" spans="1:7">
      <c r="A319" s="325"/>
      <c r="B319" s="679" t="s">
        <v>316</v>
      </c>
      <c r="C319" s="325"/>
      <c r="D319" s="1915" t="s">
        <v>1313</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9" customFormat="1">
      <c r="A323" s="325"/>
      <c r="B323" s="325"/>
      <c r="C323" s="325"/>
      <c r="D323" s="1915"/>
      <c r="E323" s="1915"/>
      <c r="F323" s="1915"/>
    </row>
    <row r="324" spans="1:7" s="719" customFormat="1">
      <c r="A324" s="325"/>
      <c r="B324" s="325"/>
      <c r="C324" s="325"/>
      <c r="D324" s="1915"/>
      <c r="E324" s="1915"/>
      <c r="F324" s="1915"/>
    </row>
    <row r="325" spans="1:7" s="719" customFormat="1">
      <c r="A325" s="325"/>
      <c r="B325" s="325"/>
      <c r="C325" s="325"/>
      <c r="D325" s="1915"/>
      <c r="E325" s="1915"/>
      <c r="F325" s="1915"/>
    </row>
    <row r="326" spans="1:7" s="719"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7"/>
      <c r="F330" s="135"/>
      <c r="G330" s="12"/>
    </row>
    <row r="331" spans="1:7" ht="13">
      <c r="A331" s="261"/>
      <c r="B331" s="679" t="s">
        <v>316</v>
      </c>
      <c r="C331" s="325"/>
      <c r="D331" s="1934" t="s">
        <v>1314</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5"/>
      <c r="E335" s="467"/>
      <c r="F335" s="135"/>
      <c r="G335" s="12"/>
    </row>
    <row r="336" spans="1:7">
      <c r="A336" s="325"/>
      <c r="B336" s="325"/>
      <c r="C336" s="325"/>
      <c r="D336" s="1934" t="s">
        <v>1315</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25" customHeight="1">
      <c r="A344" s="325"/>
      <c r="B344" s="325"/>
      <c r="C344" s="325"/>
      <c r="D344" s="1934"/>
      <c r="E344" s="1934"/>
      <c r="F344" s="1934"/>
      <c r="G344" s="12"/>
    </row>
    <row r="345" spans="1:7" ht="13.15" customHeight="1">
      <c r="A345" s="325"/>
      <c r="B345" s="325"/>
      <c r="C345" s="325"/>
      <c r="D345" s="1927" t="s">
        <v>1316</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9" customFormat="1">
      <c r="A348" s="325"/>
      <c r="B348" s="325"/>
      <c r="C348" s="325"/>
      <c r="D348" s="1927"/>
      <c r="E348" s="1927"/>
      <c r="F348" s="1927"/>
    </row>
    <row r="349" spans="1:7" s="719" customFormat="1">
      <c r="A349" s="325"/>
      <c r="B349" s="325"/>
      <c r="C349" s="325"/>
      <c r="D349" s="1927"/>
      <c r="E349" s="1927"/>
      <c r="F349" s="1927"/>
    </row>
    <row r="350" spans="1:7" s="719" customFormat="1">
      <c r="A350" s="325"/>
      <c r="B350" s="325"/>
      <c r="C350" s="325"/>
      <c r="D350" s="1927"/>
      <c r="E350" s="1927"/>
      <c r="F350" s="1927"/>
    </row>
    <row r="351" spans="1:7" s="719" customFormat="1">
      <c r="A351" s="325"/>
      <c r="B351" s="325"/>
      <c r="C351" s="325"/>
      <c r="D351" s="1927"/>
      <c r="E351" s="1927"/>
      <c r="F351" s="1927"/>
    </row>
    <row r="352" spans="1:7" s="719"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7"/>
      <c r="D357" s="1927"/>
      <c r="E357" s="1927"/>
      <c r="F357" s="1927"/>
      <c r="G357" s="12"/>
    </row>
    <row r="358" spans="1:7">
      <c r="A358" s="325"/>
      <c r="B358" s="325"/>
      <c r="C358" s="507"/>
      <c r="D358" s="1927"/>
      <c r="E358" s="1927"/>
      <c r="F358" s="1927"/>
      <c r="G358" s="12"/>
    </row>
    <row r="359" spans="1:7">
      <c r="A359" s="325"/>
      <c r="B359" s="325"/>
      <c r="C359" s="325"/>
      <c r="D359" s="1927"/>
      <c r="E359" s="1927"/>
      <c r="F359" s="1927"/>
      <c r="G359" s="12"/>
    </row>
    <row r="360" spans="1:7">
      <c r="A360" s="325"/>
      <c r="B360" s="325"/>
      <c r="C360" s="507"/>
      <c r="D360" s="1927"/>
      <c r="E360" s="1927"/>
      <c r="F360" s="1927"/>
      <c r="G360" s="12"/>
    </row>
    <row r="361" spans="1:7">
      <c r="A361" s="325"/>
      <c r="B361" s="325"/>
      <c r="C361" s="507"/>
      <c r="D361" s="1927"/>
      <c r="E361" s="1927"/>
      <c r="F361" s="1927"/>
      <c r="G361" s="12"/>
    </row>
    <row r="362" spans="1:7">
      <c r="A362" s="325"/>
      <c r="B362" s="325"/>
      <c r="C362" s="507"/>
      <c r="D362" s="1927"/>
      <c r="E362" s="1927"/>
      <c r="F362" s="1927"/>
      <c r="G362" s="12"/>
    </row>
    <row r="363" spans="1:7">
      <c r="A363" s="325"/>
      <c r="B363" s="325"/>
      <c r="C363" s="325"/>
      <c r="D363" s="505"/>
      <c r="E363" s="467"/>
      <c r="F363" s="135"/>
      <c r="G363" s="12"/>
    </row>
    <row r="364" spans="1:7">
      <c r="A364" s="325"/>
      <c r="B364" s="679" t="s">
        <v>316</v>
      </c>
      <c r="C364" s="325"/>
      <c r="D364" s="1927" t="s">
        <v>1317</v>
      </c>
      <c r="E364" s="1927"/>
      <c r="F364" s="1927"/>
      <c r="G364" s="12"/>
    </row>
    <row r="365" spans="1:7">
      <c r="A365" s="325"/>
      <c r="B365" s="325"/>
      <c r="C365" s="325"/>
      <c r="D365" s="1927"/>
      <c r="E365" s="1927"/>
      <c r="F365" s="1927"/>
      <c r="G365" s="12"/>
    </row>
    <row r="366" spans="1:7">
      <c r="A366" s="325"/>
      <c r="B366" s="325"/>
      <c r="C366" s="325"/>
      <c r="D366" s="467"/>
      <c r="E366" s="467"/>
      <c r="F366" s="135"/>
      <c r="G366" s="12"/>
    </row>
    <row r="367" spans="1:7" ht="13">
      <c r="A367" s="261"/>
      <c r="B367" s="679" t="s">
        <v>316</v>
      </c>
      <c r="C367" s="325"/>
      <c r="D367" s="1915" t="s">
        <v>1318</v>
      </c>
      <c r="E367" s="1915"/>
      <c r="F367" s="1915"/>
      <c r="G367" s="12"/>
    </row>
    <row r="368" spans="1:7" ht="13">
      <c r="A368" s="506"/>
      <c r="B368" s="506"/>
      <c r="C368" s="325"/>
      <c r="D368" s="1915"/>
      <c r="E368" s="1915"/>
      <c r="F368" s="1915"/>
      <c r="G368" s="12"/>
    </row>
    <row r="369" spans="1:7" ht="13">
      <c r="A369" s="506"/>
      <c r="B369" s="506"/>
      <c r="C369" s="325"/>
      <c r="D369" s="1915"/>
      <c r="E369" s="1915"/>
      <c r="F369" s="1915"/>
      <c r="G369" s="12"/>
    </row>
    <row r="370" spans="1:7" ht="13">
      <c r="A370" s="506"/>
      <c r="B370" s="506"/>
      <c r="C370" s="325"/>
      <c r="D370" s="1915"/>
      <c r="E370" s="1915"/>
      <c r="F370" s="1915"/>
      <c r="G370" s="12"/>
    </row>
    <row r="371" spans="1:7" ht="13">
      <c r="A371" s="506"/>
      <c r="B371" s="506"/>
      <c r="C371" s="325"/>
      <c r="D371" s="1915"/>
      <c r="E371" s="1915"/>
      <c r="F371" s="1915"/>
      <c r="G371" s="12"/>
    </row>
    <row r="372" spans="1:7">
      <c r="D372" s="135"/>
      <c r="E372" s="135"/>
      <c r="F372" s="135"/>
      <c r="G372" s="12"/>
    </row>
    <row r="373" spans="1:7" ht="13">
      <c r="A373" s="261"/>
      <c r="B373" s="679" t="s">
        <v>316</v>
      </c>
      <c r="C373" s="266"/>
      <c r="D373" s="1858" t="s">
        <v>1319</v>
      </c>
      <c r="E373" s="1858"/>
      <c r="F373" s="1858"/>
      <c r="G373" s="12"/>
    </row>
    <row r="374" spans="1:7" ht="13">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6"/>
      <c r="C402" s="132"/>
      <c r="D402" s="1858"/>
      <c r="E402" s="1858"/>
      <c r="F402" s="1858"/>
      <c r="G402" s="30"/>
    </row>
    <row r="403" spans="1:7" s="32" customFormat="1" ht="40.75" customHeight="1">
      <c r="A403" s="132"/>
      <c r="B403" s="676"/>
      <c r="C403" s="132"/>
      <c r="D403" s="1858"/>
      <c r="E403" s="1858"/>
      <c r="F403" s="1858"/>
      <c r="G403" s="30"/>
    </row>
    <row r="404" spans="1:7" s="32" customFormat="1">
      <c r="A404" s="132"/>
      <c r="B404" s="676"/>
      <c r="C404" s="132"/>
      <c r="D404" s="135"/>
      <c r="E404" s="135"/>
      <c r="F404" s="135"/>
      <c r="G404" s="30"/>
    </row>
    <row r="405" spans="1:7" ht="13">
      <c r="A405" s="261"/>
      <c r="B405" s="679" t="s">
        <v>316</v>
      </c>
      <c r="C405" s="266"/>
      <c r="D405" s="1883" t="s">
        <v>1320</v>
      </c>
      <c r="E405" s="1883"/>
      <c r="F405" s="1883"/>
    </row>
    <row r="406" spans="1:7">
      <c r="D406" s="1928" t="s">
        <v>1084</v>
      </c>
      <c r="E406" s="1928"/>
      <c r="F406" s="1928"/>
    </row>
    <row r="407" spans="1:7">
      <c r="D407" s="1879" t="s">
        <v>1321</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3">
      <c r="A412" s="261"/>
      <c r="B412" s="679" t="s">
        <v>316</v>
      </c>
      <c r="C412" s="266"/>
      <c r="D412" s="1858" t="s">
        <v>1322</v>
      </c>
      <c r="E412" s="1858"/>
      <c r="F412" s="1858"/>
      <c r="G412" s="12"/>
    </row>
    <row r="413" spans="1:7">
      <c r="D413" s="1858"/>
      <c r="E413" s="1858"/>
      <c r="F413" s="1858"/>
      <c r="G413" s="12"/>
    </row>
    <row r="414" spans="1:7">
      <c r="D414" s="1858"/>
      <c r="E414" s="1858"/>
      <c r="F414" s="1858"/>
      <c r="G414" s="12"/>
    </row>
    <row r="415" spans="1:7" s="719" customFormat="1">
      <c r="A415" s="731"/>
      <c r="B415" s="731"/>
      <c r="C415" s="731"/>
      <c r="D415" s="728"/>
      <c r="E415" s="728"/>
      <c r="F415" s="728"/>
    </row>
    <row r="416" spans="1:7" ht="13">
      <c r="B416" s="679" t="s">
        <v>316</v>
      </c>
      <c r="C416" s="261"/>
      <c r="D416" s="1879" t="s">
        <v>1323</v>
      </c>
      <c r="E416" s="1879"/>
      <c r="F416" s="1879"/>
      <c r="G416" s="12"/>
    </row>
    <row r="417" spans="1:7">
      <c r="D417" s="1879"/>
      <c r="E417" s="1879"/>
      <c r="F417" s="1879"/>
      <c r="G417" s="12"/>
    </row>
    <row r="418" spans="1:7">
      <c r="D418" s="135"/>
      <c r="E418" s="135"/>
      <c r="F418" s="135"/>
      <c r="G418" s="12"/>
    </row>
    <row r="419" spans="1:7" ht="13">
      <c r="B419" s="679" t="s">
        <v>316</v>
      </c>
      <c r="C419" s="261"/>
      <c r="D419" s="1879" t="s">
        <v>1324</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316</v>
      </c>
      <c r="C430" s="12"/>
      <c r="D430" s="1879"/>
      <c r="E430" s="1879"/>
      <c r="F430" s="1879"/>
      <c r="G430" s="12"/>
    </row>
    <row r="431" spans="1:7">
      <c r="A431" s="12"/>
      <c r="B431" s="12"/>
      <c r="C431" s="12"/>
      <c r="D431" s="1879"/>
      <c r="E431" s="1879"/>
      <c r="F431" s="1879"/>
      <c r="G431" s="12"/>
    </row>
    <row r="432" spans="1:7">
      <c r="A432" s="12"/>
      <c r="B432" s="679" t="s">
        <v>316</v>
      </c>
      <c r="C432" s="12"/>
      <c r="D432" s="1879"/>
      <c r="E432" s="1879"/>
      <c r="F432" s="1879"/>
      <c r="G432" s="12"/>
    </row>
    <row r="433" spans="1:7" s="719" customFormat="1">
      <c r="D433" s="729"/>
      <c r="E433" s="729"/>
      <c r="F433" s="729"/>
    </row>
    <row r="434" spans="1:7">
      <c r="A434" s="12"/>
      <c r="B434" s="718" t="s">
        <v>316</v>
      </c>
      <c r="C434" s="12"/>
      <c r="D434" s="1879" t="s">
        <v>1325</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316</v>
      </c>
      <c r="D440" s="1890" t="s">
        <v>1326</v>
      </c>
      <c r="E440" s="1890"/>
      <c r="F440" s="1890"/>
    </row>
    <row r="441" spans="1:7">
      <c r="A441" s="135"/>
      <c r="B441" s="135"/>
    </row>
    <row r="442" spans="1:7" ht="13">
      <c r="A442" s="1884" t="s">
        <v>1167</v>
      </c>
      <c r="B442" s="1884"/>
      <c r="C442" s="1884"/>
      <c r="D442" s="1884"/>
      <c r="E442" s="1884"/>
      <c r="F442" s="1884"/>
      <c r="G442" s="1884"/>
    </row>
    <row r="443" spans="1:7">
      <c r="A443" s="135"/>
      <c r="B443" s="135"/>
    </row>
    <row r="444" spans="1:7" ht="13">
      <c r="D444" s="1935" t="s">
        <v>947</v>
      </c>
      <c r="E444" s="1935"/>
      <c r="F444" s="1935"/>
    </row>
    <row r="445" spans="1:7" s="39" customFormat="1" ht="13">
      <c r="A445" s="403"/>
      <c r="B445" s="403"/>
      <c r="C445" s="273"/>
      <c r="D445" s="1936" t="s">
        <v>1327</v>
      </c>
      <c r="E445" s="1936"/>
      <c r="F445" s="1936"/>
      <c r="G445" s="130"/>
    </row>
    <row r="446" spans="1:7" s="39" customFormat="1" ht="13">
      <c r="A446" s="403"/>
      <c r="B446" s="403"/>
      <c r="C446" s="273"/>
      <c r="D446" s="732"/>
      <c r="E446" s="6"/>
      <c r="F446" s="6"/>
      <c r="G446" s="130"/>
    </row>
    <row r="447" spans="1:7" s="39" customFormat="1" ht="13">
      <c r="A447" s="261"/>
      <c r="B447" s="679" t="s">
        <v>316</v>
      </c>
      <c r="C447" s="273"/>
      <c r="D447" s="1937" t="s">
        <v>1328</v>
      </c>
      <c r="E447" s="1937"/>
      <c r="F447" s="1937"/>
      <c r="G447" s="130"/>
    </row>
    <row r="448" spans="1:7" s="39" customFormat="1" ht="13">
      <c r="A448" s="261"/>
      <c r="B448" s="261"/>
      <c r="C448" s="273"/>
      <c r="D448" s="1937"/>
      <c r="E448" s="1937"/>
      <c r="F448" s="1937"/>
      <c r="G448" s="130"/>
    </row>
    <row r="449" spans="1:7" s="39" customFormat="1" ht="13">
      <c r="A449" s="261"/>
      <c r="B449" s="261"/>
      <c r="C449" s="273"/>
      <c r="D449" s="730"/>
      <c r="E449" s="6"/>
      <c r="F449" s="6"/>
      <c r="G449" s="130"/>
    </row>
    <row r="450" spans="1:7">
      <c r="B450" s="679" t="s">
        <v>316</v>
      </c>
      <c r="D450" s="1907" t="s">
        <v>1329</v>
      </c>
      <c r="E450" s="1907"/>
      <c r="F450" s="1907"/>
    </row>
    <row r="451" spans="1:7" ht="13">
      <c r="A451" s="261"/>
      <c r="D451" s="1907"/>
      <c r="E451" s="1907"/>
      <c r="F451" s="1907"/>
    </row>
    <row r="452" spans="1:7" ht="13">
      <c r="A452" s="261"/>
      <c r="B452" s="261"/>
      <c r="D452" s="1907"/>
      <c r="E452" s="1907"/>
      <c r="F452" s="1907"/>
    </row>
    <row r="453" spans="1:7" ht="13">
      <c r="A453" s="261"/>
      <c r="B453" s="261"/>
      <c r="D453" s="1907"/>
      <c r="E453" s="1907"/>
      <c r="F453" s="1907"/>
    </row>
    <row r="454" spans="1:7">
      <c r="D454" s="678"/>
      <c r="E454" s="678"/>
      <c r="F454" s="678"/>
      <c r="G454" s="12"/>
    </row>
    <row r="455" spans="1:7" ht="13">
      <c r="A455" s="261"/>
      <c r="B455" s="679" t="s">
        <v>316</v>
      </c>
      <c r="D455" s="1860" t="s">
        <v>1330</v>
      </c>
      <c r="E455" s="1860"/>
      <c r="F455" s="1860"/>
      <c r="G455" s="12"/>
    </row>
    <row r="456" spans="1:7" ht="13">
      <c r="A456" s="261"/>
      <c r="B456" s="261"/>
      <c r="D456" s="1860"/>
      <c r="E456" s="1860"/>
      <c r="F456" s="1860"/>
      <c r="G456" s="12"/>
    </row>
    <row r="457" spans="1:7" ht="13">
      <c r="A457" s="261"/>
      <c r="D457" s="1860"/>
      <c r="E457" s="1860"/>
      <c r="F457" s="1860"/>
      <c r="G457" s="12"/>
    </row>
    <row r="458" spans="1:7" ht="13">
      <c r="A458" s="261"/>
      <c r="B458" s="261"/>
      <c r="D458" s="678"/>
      <c r="E458" s="678"/>
      <c r="F458" s="678"/>
      <c r="G458" s="12"/>
    </row>
    <row r="459" spans="1:7" ht="13">
      <c r="A459" s="261"/>
      <c r="B459" s="718" t="s">
        <v>316</v>
      </c>
      <c r="D459" s="1883" t="s">
        <v>1331</v>
      </c>
      <c r="E459" s="1883"/>
      <c r="F459" s="1883"/>
      <c r="G459" s="12"/>
    </row>
    <row r="460" spans="1:7" ht="13">
      <c r="A460" s="261"/>
      <c r="B460" s="261"/>
      <c r="D460" s="730"/>
      <c r="E460" s="6"/>
      <c r="F460" s="6"/>
      <c r="G460" s="12"/>
    </row>
    <row r="461" spans="1:7" ht="13">
      <c r="A461" s="261"/>
      <c r="B461" s="679" t="s">
        <v>316</v>
      </c>
      <c r="D461" s="1858" t="s">
        <v>1332</v>
      </c>
      <c r="E461" s="1858"/>
      <c r="F461" s="1858"/>
      <c r="G461" s="12"/>
    </row>
    <row r="462" spans="1:7" ht="13">
      <c r="A462" s="261"/>
      <c r="D462" s="1858"/>
      <c r="E462" s="1858"/>
      <c r="F462" s="1858"/>
      <c r="G462" s="12"/>
    </row>
    <row r="463" spans="1:7" ht="13">
      <c r="A463" s="23"/>
      <c r="B463" s="675"/>
      <c r="D463" s="733"/>
      <c r="E463" s="6"/>
      <c r="F463" s="6"/>
      <c r="G463" s="12"/>
    </row>
    <row r="464" spans="1:7" ht="13">
      <c r="A464" s="23"/>
      <c r="B464" s="718" t="s">
        <v>316</v>
      </c>
      <c r="D464" s="1883" t="s">
        <v>1333</v>
      </c>
      <c r="E464" s="1883"/>
      <c r="F464" s="1883"/>
      <c r="G464" s="12"/>
    </row>
    <row r="465" spans="1:7" ht="13">
      <c r="A465" s="261"/>
      <c r="B465" s="261"/>
      <c r="D465" s="135"/>
    </row>
    <row r="466" spans="1:7" ht="13">
      <c r="A466" s="1884" t="s">
        <v>1168</v>
      </c>
      <c r="B466" s="1884"/>
      <c r="C466" s="1884"/>
      <c r="D466" s="1884"/>
      <c r="E466" s="1884"/>
      <c r="F466" s="1884"/>
      <c r="G466" s="1884"/>
    </row>
    <row r="467" spans="1:7" customFormat="1" ht="12" customHeight="1">
      <c r="A467" s="261"/>
      <c r="B467" s="261"/>
      <c r="C467" s="10"/>
      <c r="D467" s="151"/>
      <c r="E467" s="149"/>
      <c r="F467" s="149"/>
      <c r="G467" s="149"/>
    </row>
    <row r="468" spans="1:7" customFormat="1" ht="13">
      <c r="A468" s="273"/>
      <c r="B468" s="273"/>
      <c r="C468" s="312"/>
      <c r="D468" s="1938" t="s">
        <v>850</v>
      </c>
      <c r="E468" s="1938"/>
      <c r="F468" s="1938"/>
      <c r="G468" s="182"/>
    </row>
    <row r="469" spans="1:7" customFormat="1" ht="13.15" customHeight="1">
      <c r="A469" s="260"/>
      <c r="B469" s="260"/>
      <c r="C469" s="313"/>
      <c r="D469" s="1939" t="s">
        <v>1211</v>
      </c>
      <c r="E469" s="1939"/>
      <c r="F469" s="1939"/>
      <c r="G469" s="149"/>
    </row>
    <row r="470" spans="1:7" customFormat="1" ht="13">
      <c r="A470" s="260"/>
      <c r="B470" s="260"/>
      <c r="C470" s="313"/>
      <c r="D470" s="1939"/>
      <c r="E470" s="1939"/>
      <c r="F470" s="1939"/>
      <c r="G470" s="149"/>
    </row>
    <row r="471" spans="1:7" customFormat="1" ht="13">
      <c r="A471" s="260"/>
      <c r="B471" s="260"/>
      <c r="C471" s="313"/>
      <c r="D471" s="1939"/>
      <c r="E471" s="1939"/>
      <c r="F471" s="1939"/>
      <c r="G471" s="149"/>
    </row>
    <row r="472" spans="1:7" customFormat="1" ht="13">
      <c r="A472" s="260"/>
      <c r="B472" s="260"/>
      <c r="C472" s="313"/>
      <c r="D472" s="1939"/>
      <c r="E472" s="1939"/>
      <c r="F472" s="1939"/>
      <c r="G472" s="149"/>
    </row>
    <row r="473" spans="1:7" customFormat="1" ht="13">
      <c r="A473" s="260"/>
      <c r="B473" s="260"/>
      <c r="C473" s="313"/>
      <c r="D473" s="1939"/>
      <c r="E473" s="1939"/>
      <c r="F473" s="1939"/>
      <c r="G473" s="149"/>
    </row>
    <row r="474" spans="1:7" customFormat="1" ht="13">
      <c r="A474" s="260"/>
      <c r="B474" s="260"/>
      <c r="C474" s="313"/>
      <c r="D474" s="471"/>
      <c r="E474" s="149"/>
      <c r="F474" s="151"/>
      <c r="G474" s="149"/>
    </row>
    <row r="475" spans="1:7" customFormat="1" ht="14.5" customHeight="1">
      <c r="A475" s="261"/>
      <c r="B475" s="679" t="s">
        <v>316</v>
      </c>
      <c r="C475" s="313"/>
      <c r="D475" s="1905" t="s">
        <v>1202</v>
      </c>
      <c r="E475" s="1905"/>
      <c r="F475" s="1905"/>
      <c r="G475" s="149"/>
    </row>
    <row r="476" spans="1:7" customFormat="1" ht="13">
      <c r="A476" s="260"/>
      <c r="B476" s="260"/>
      <c r="C476" s="313"/>
      <c r="D476" s="1905"/>
      <c r="E476" s="1905"/>
      <c r="F476" s="1905"/>
      <c r="G476" s="149"/>
    </row>
    <row r="477" spans="1:7" s="680" customFormat="1" ht="13">
      <c r="A477" s="260"/>
      <c r="B477" s="260"/>
      <c r="C477" s="313"/>
      <c r="D477" s="1905"/>
      <c r="E477" s="1905"/>
      <c r="F477" s="1905"/>
      <c r="G477" s="149"/>
    </row>
    <row r="478" spans="1:7" s="680" customFormat="1" ht="13">
      <c r="A478" s="260"/>
      <c r="B478" s="260"/>
      <c r="C478" s="313"/>
      <c r="D478" s="1905"/>
      <c r="E478" s="1905"/>
      <c r="F478" s="1905"/>
      <c r="G478" s="149"/>
    </row>
    <row r="479" spans="1:7" customFormat="1" ht="13">
      <c r="A479" s="260"/>
      <c r="B479" s="260"/>
      <c r="C479" s="313"/>
      <c r="D479" s="1905"/>
      <c r="E479" s="1905"/>
      <c r="F479" s="1905"/>
      <c r="G479" s="149"/>
    </row>
    <row r="480" spans="1:7" customFormat="1" ht="13">
      <c r="A480" s="260"/>
      <c r="B480" s="260"/>
      <c r="C480" s="313"/>
      <c r="D480" s="443"/>
      <c r="E480" s="149"/>
      <c r="F480" s="151"/>
      <c r="G480" s="149"/>
    </row>
    <row r="481" spans="1:7" customFormat="1" ht="14.5" customHeight="1">
      <c r="A481" s="261"/>
      <c r="B481" s="679" t="s">
        <v>316</v>
      </c>
      <c r="C481" s="313"/>
      <c r="D481" s="1905" t="s">
        <v>1205</v>
      </c>
      <c r="E481" s="1905"/>
      <c r="F481" s="1905"/>
      <c r="G481" s="149"/>
    </row>
    <row r="482" spans="1:7" customFormat="1" ht="13">
      <c r="A482" s="260"/>
      <c r="B482" s="260"/>
      <c r="C482" s="313"/>
      <c r="D482" s="1905"/>
      <c r="E482" s="1905"/>
      <c r="F482" s="1905"/>
      <c r="G482" s="149"/>
    </row>
    <row r="483" spans="1:7" s="680" customFormat="1" ht="13">
      <c r="A483" s="260"/>
      <c r="B483" s="260"/>
      <c r="C483" s="313"/>
      <c r="D483" s="1905"/>
      <c r="E483" s="1905"/>
      <c r="F483" s="1905"/>
      <c r="G483" s="149"/>
    </row>
    <row r="484" spans="1:7" customFormat="1" ht="13">
      <c r="A484" s="260"/>
      <c r="B484" s="260"/>
      <c r="C484" s="313"/>
      <c r="D484" s="1905"/>
      <c r="E484" s="1905"/>
      <c r="F484" s="1905"/>
      <c r="G484" s="149"/>
    </row>
    <row r="485" spans="1:7" customFormat="1" ht="10" customHeight="1">
      <c r="A485" s="260"/>
      <c r="B485" s="260"/>
      <c r="C485" s="313"/>
      <c r="D485" s="443"/>
      <c r="E485" s="149"/>
      <c r="F485" s="151"/>
      <c r="G485" s="149"/>
    </row>
    <row r="486" spans="1:7" customFormat="1" ht="14.5" customHeight="1">
      <c r="A486" s="261"/>
      <c r="B486" s="679" t="s">
        <v>316</v>
      </c>
      <c r="C486" s="313"/>
      <c r="D486" s="1905" t="s">
        <v>1203</v>
      </c>
      <c r="E486" s="1905"/>
      <c r="F486" s="1905"/>
      <c r="G486" s="149"/>
    </row>
    <row r="487" spans="1:7" customFormat="1" ht="13">
      <c r="A487" s="260"/>
      <c r="B487" s="260"/>
      <c r="C487" s="313"/>
      <c r="D487" s="1905"/>
      <c r="E487" s="1905"/>
      <c r="F487" s="1905"/>
      <c r="G487" s="149"/>
    </row>
    <row r="488" spans="1:7" customFormat="1" ht="13">
      <c r="A488" s="260"/>
      <c r="B488" s="260"/>
      <c r="C488" s="313"/>
      <c r="D488" s="1905"/>
      <c r="E488" s="1905"/>
      <c r="F488" s="1905"/>
      <c r="G488" s="149"/>
    </row>
    <row r="489" spans="1:7" s="680" customFormat="1" ht="13">
      <c r="A489" s="260"/>
      <c r="B489" s="260"/>
      <c r="C489" s="313"/>
      <c r="D489" s="700"/>
      <c r="E489" s="700"/>
      <c r="F489" s="700"/>
      <c r="G489" s="149"/>
    </row>
    <row r="490" spans="1:7" customFormat="1" ht="14.5" customHeight="1">
      <c r="A490" s="261"/>
      <c r="B490" s="679" t="s">
        <v>316</v>
      </c>
      <c r="C490" s="313"/>
      <c r="D490" s="1905" t="s">
        <v>1204</v>
      </c>
      <c r="E490" s="1905"/>
      <c r="F490" s="1905"/>
      <c r="G490" s="149"/>
    </row>
    <row r="491" spans="1:7" customFormat="1" ht="13">
      <c r="A491" s="260"/>
      <c r="B491" s="260"/>
      <c r="C491" s="313"/>
      <c r="D491" s="1905"/>
      <c r="E491" s="1905"/>
      <c r="F491" s="1905"/>
      <c r="G491" s="149"/>
    </row>
    <row r="492" spans="1:7" customFormat="1" ht="13">
      <c r="A492" s="260"/>
      <c r="B492" s="260"/>
      <c r="C492" s="313"/>
      <c r="D492" s="1905"/>
      <c r="E492" s="1905"/>
      <c r="F492" s="1905"/>
      <c r="G492" s="149"/>
    </row>
    <row r="493" spans="1:7" customFormat="1" ht="13">
      <c r="A493" s="260"/>
      <c r="B493" s="260"/>
      <c r="C493" s="313"/>
      <c r="D493" s="1905"/>
      <c r="E493" s="1905"/>
      <c r="F493" s="1905"/>
      <c r="G493" s="149"/>
    </row>
    <row r="494" spans="1:7" customFormat="1" ht="13">
      <c r="A494" s="260"/>
      <c r="B494" s="260"/>
      <c r="C494" s="313"/>
      <c r="D494" s="1905"/>
      <c r="E494" s="1905"/>
      <c r="F494" s="1905"/>
      <c r="G494" s="149"/>
    </row>
    <row r="495" spans="1:7" customFormat="1" ht="13">
      <c r="A495" s="260"/>
      <c r="B495" s="260"/>
      <c r="C495" s="313"/>
      <c r="D495" s="1905"/>
      <c r="E495" s="1905"/>
      <c r="F495" s="1905"/>
      <c r="G495" s="149"/>
    </row>
    <row r="496" spans="1:7" customFormat="1" ht="13">
      <c r="A496" s="260"/>
      <c r="B496" s="260"/>
      <c r="C496" s="313"/>
      <c r="D496" s="1905"/>
      <c r="E496" s="1905"/>
      <c r="F496" s="1905"/>
      <c r="G496" s="149"/>
    </row>
    <row r="497" spans="1:7" customFormat="1" ht="13">
      <c r="A497" s="487"/>
      <c r="B497" s="487"/>
      <c r="C497" s="486"/>
      <c r="D497" s="1905"/>
      <c r="E497" s="1905"/>
      <c r="F497" s="1905"/>
      <c r="G497" s="149"/>
    </row>
    <row r="498" spans="1:7" customFormat="1" ht="13">
      <c r="A498" s="487"/>
      <c r="B498" s="487"/>
      <c r="C498" s="486"/>
      <c r="D498" s="1905"/>
      <c r="E498" s="1905"/>
      <c r="F498" s="1905"/>
      <c r="G498" s="149"/>
    </row>
    <row r="499" spans="1:7" customFormat="1" ht="13">
      <c r="A499" s="487"/>
      <c r="B499" s="487"/>
      <c r="C499" s="486"/>
      <c r="D499" s="443"/>
      <c r="E499" s="149"/>
      <c r="F499" s="151"/>
      <c r="G499" s="149"/>
    </row>
    <row r="500" spans="1:7" customFormat="1" ht="13.15" customHeight="1">
      <c r="A500" s="487"/>
      <c r="B500" s="679" t="s">
        <v>316</v>
      </c>
      <c r="C500" s="486"/>
      <c r="D500" s="1918" t="s">
        <v>1348</v>
      </c>
      <c r="E500" s="1918"/>
      <c r="F500" s="1918"/>
      <c r="G500" s="149"/>
    </row>
    <row r="501" spans="1:7" customFormat="1" ht="13">
      <c r="A501" s="487"/>
      <c r="B501" s="487"/>
      <c r="C501" s="486"/>
      <c r="D501" s="1918"/>
      <c r="E501" s="1918"/>
      <c r="F501" s="1918"/>
      <c r="G501" s="149"/>
    </row>
    <row r="502" spans="1:7" customFormat="1" ht="13">
      <c r="A502" s="487"/>
      <c r="B502" s="487"/>
      <c r="C502" s="486"/>
      <c r="D502" s="1918"/>
      <c r="E502" s="1918"/>
      <c r="F502" s="1918"/>
      <c r="G502" s="149"/>
    </row>
    <row r="503" spans="1:7" customFormat="1" ht="13">
      <c r="A503" s="487"/>
      <c r="B503" s="487"/>
      <c r="C503" s="486"/>
      <c r="D503" s="1918"/>
      <c r="E503" s="1918"/>
      <c r="F503" s="1918"/>
      <c r="G503" s="149"/>
    </row>
    <row r="504" spans="1:7" customFormat="1" ht="13">
      <c r="A504" s="260"/>
      <c r="B504" s="260"/>
      <c r="C504" s="313"/>
      <c r="D504" s="1918"/>
      <c r="E504" s="1918"/>
      <c r="F504" s="1918"/>
      <c r="G504" s="149"/>
    </row>
    <row r="505" spans="1:7" s="717" customFormat="1" ht="13">
      <c r="A505" s="720"/>
      <c r="B505" s="720"/>
      <c r="C505" s="313"/>
      <c r="D505" s="741"/>
      <c r="E505" s="741"/>
      <c r="F505" s="741"/>
      <c r="G505" s="149"/>
    </row>
    <row r="506" spans="1:7" customFormat="1" ht="14.5" customHeight="1">
      <c r="A506" s="261"/>
      <c r="B506" s="679" t="s">
        <v>316</v>
      </c>
      <c r="C506" s="10"/>
      <c r="D506" s="1905" t="s">
        <v>1206</v>
      </c>
      <c r="E506" s="1905"/>
      <c r="F506" s="1905"/>
      <c r="G506" s="149"/>
    </row>
    <row r="507" spans="1:7" customFormat="1">
      <c r="A507" s="132"/>
      <c r="B507" s="676"/>
      <c r="C507" s="10"/>
      <c r="D507" s="1905"/>
      <c r="E507" s="1905"/>
      <c r="F507" s="1905"/>
      <c r="G507" s="149"/>
    </row>
    <row r="508" spans="1:7" customFormat="1">
      <c r="A508" s="132"/>
      <c r="B508" s="676"/>
      <c r="C508" s="10"/>
      <c r="D508" s="1905"/>
      <c r="E508" s="1905"/>
      <c r="F508" s="1905"/>
      <c r="G508" s="149"/>
    </row>
    <row r="509" spans="1:7" customFormat="1" ht="12" customHeight="1">
      <c r="A509" s="135"/>
      <c r="B509" s="135"/>
      <c r="C509" s="315"/>
      <c r="D509" s="135"/>
      <c r="E509" s="149"/>
      <c r="F509" s="314"/>
      <c r="G509" s="149"/>
    </row>
    <row r="510" spans="1:7" ht="13">
      <c r="A510" s="1884" t="s">
        <v>1169</v>
      </c>
      <c r="B510" s="1884"/>
      <c r="C510" s="1884"/>
      <c r="D510" s="1884"/>
      <c r="E510" s="1884"/>
      <c r="F510" s="1884"/>
      <c r="G510" s="1884"/>
    </row>
    <row r="511" spans="1:7" ht="13">
      <c r="A511" s="135"/>
      <c r="B511" s="135"/>
      <c r="C511" s="266"/>
      <c r="F511" s="134"/>
    </row>
    <row r="512" spans="1:7">
      <c r="B512" s="1880" t="s">
        <v>469</v>
      </c>
      <c r="C512" s="1880"/>
      <c r="D512" s="1880"/>
      <c r="E512" s="1880"/>
      <c r="F512" s="1880"/>
    </row>
    <row r="513" spans="1:7">
      <c r="A513" s="135"/>
      <c r="B513" s="135"/>
      <c r="C513" s="266"/>
      <c r="D513" s="135"/>
      <c r="F513" s="135"/>
    </row>
    <row r="514" spans="1:7" ht="13">
      <c r="A514" s="1885" t="s">
        <v>1170</v>
      </c>
      <c r="B514" s="1885"/>
      <c r="C514" s="1885"/>
      <c r="D514" s="1885"/>
      <c r="E514" s="1885"/>
      <c r="F514" s="1885"/>
      <c r="G514" s="1885"/>
    </row>
    <row r="515" spans="1:7">
      <c r="A515" s="135"/>
      <c r="B515" s="135"/>
      <c r="C515" s="266"/>
      <c r="D515" s="135"/>
      <c r="F515" s="135"/>
    </row>
    <row r="516" spans="1:7" ht="13">
      <c r="C516" s="266"/>
      <c r="D516" s="1882" t="s">
        <v>719</v>
      </c>
      <c r="E516" s="1882"/>
      <c r="F516" s="1882"/>
    </row>
    <row r="517" spans="1:7" s="682" customFormat="1">
      <c r="A517" s="699"/>
      <c r="B517" s="699"/>
      <c r="C517" s="266"/>
      <c r="D517" s="1883" t="s">
        <v>1227</v>
      </c>
      <c r="E517" s="1883"/>
      <c r="F517" s="1883"/>
      <c r="G517" s="7"/>
    </row>
    <row r="518" spans="1:7" s="682" customFormat="1">
      <c r="A518" s="699"/>
      <c r="B518" s="699"/>
      <c r="C518" s="266"/>
      <c r="D518" s="704"/>
      <c r="E518" s="704"/>
      <c r="F518" s="704"/>
      <c r="G518" s="7"/>
    </row>
    <row r="519" spans="1:7" ht="13.15" customHeight="1">
      <c r="A519" s="261"/>
      <c r="B519" s="679" t="s">
        <v>316</v>
      </c>
      <c r="C519" s="266"/>
      <c r="D519" s="1883" t="s">
        <v>948</v>
      </c>
      <c r="E519" s="1883"/>
      <c r="F519" s="1883"/>
      <c r="G519" s="12"/>
    </row>
    <row r="520" spans="1:7" ht="13.15" customHeight="1">
      <c r="A520" s="266"/>
      <c r="B520" s="266"/>
      <c r="C520" s="266"/>
      <c r="D520" s="704"/>
      <c r="E520" s="677"/>
      <c r="F520" s="677"/>
      <c r="G520" s="12"/>
    </row>
    <row r="521" spans="1:7" ht="13">
      <c r="A521" s="261"/>
      <c r="B521" s="679" t="s">
        <v>316</v>
      </c>
      <c r="C521" s="266"/>
      <c r="D521" s="1858" t="s">
        <v>1228</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3">
      <c r="A524" s="261"/>
      <c r="B524" s="679" t="s">
        <v>316</v>
      </c>
      <c r="C524" s="266"/>
      <c r="D524" s="1858" t="s">
        <v>1229</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3">
      <c r="A527" s="261"/>
      <c r="B527" s="679" t="s">
        <v>316</v>
      </c>
      <c r="C527" s="266"/>
      <c r="D527" s="1858" t="s">
        <v>1230</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3">
      <c r="A530" s="261"/>
      <c r="B530" s="679" t="s">
        <v>316</v>
      </c>
      <c r="C530" s="266"/>
      <c r="D530" s="1858" t="s">
        <v>1231</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3">
      <c r="A534" s="261"/>
      <c r="B534" s="679" t="s">
        <v>316</v>
      </c>
      <c r="C534" s="266"/>
      <c r="D534" s="1881" t="s">
        <v>1349</v>
      </c>
      <c r="E534" s="1881"/>
      <c r="F534" s="1881"/>
    </row>
    <row r="535" spans="1:7">
      <c r="A535" s="266"/>
      <c r="B535" s="266"/>
      <c r="C535" s="266"/>
      <c r="D535" s="1881"/>
      <c r="E535" s="1881"/>
      <c r="F535" s="1881"/>
    </row>
    <row r="536" spans="1:7">
      <c r="A536" s="266"/>
      <c r="B536" s="266"/>
      <c r="C536" s="266"/>
      <c r="D536" s="135"/>
      <c r="E536" s="135"/>
      <c r="F536" s="135"/>
    </row>
    <row r="537" spans="1:7" ht="13">
      <c r="A537" s="261"/>
      <c r="B537" s="679" t="s">
        <v>316</v>
      </c>
      <c r="C537" s="266"/>
      <c r="D537" s="1881" t="s">
        <v>1232</v>
      </c>
      <c r="E537" s="1881"/>
      <c r="F537" s="1881"/>
    </row>
    <row r="538" spans="1:7">
      <c r="A538" s="266"/>
      <c r="B538" s="266"/>
      <c r="C538" s="266"/>
      <c r="D538" s="1881"/>
      <c r="E538" s="1881"/>
      <c r="F538" s="1881"/>
    </row>
    <row r="539" spans="1:7">
      <c r="A539" s="266"/>
      <c r="B539" s="266"/>
      <c r="C539" s="266"/>
      <c r="D539" s="135"/>
      <c r="E539" s="135"/>
      <c r="F539" s="135"/>
    </row>
    <row r="540" spans="1:7" ht="13">
      <c r="A540" s="261"/>
      <c r="B540" s="679" t="s">
        <v>316</v>
      </c>
      <c r="C540" s="266"/>
      <c r="D540" s="1858" t="s">
        <v>1233</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3">
      <c r="A543" s="261"/>
      <c r="B543" s="679" t="s">
        <v>316</v>
      </c>
      <c r="C543" s="266"/>
      <c r="D543" s="1883" t="s">
        <v>1234</v>
      </c>
      <c r="E543" s="1883"/>
      <c r="F543" s="1883"/>
      <c r="G543" s="57"/>
    </row>
    <row r="544" spans="1:7" ht="13">
      <c r="A544" s="23"/>
      <c r="B544" s="675"/>
      <c r="C544" s="266"/>
      <c r="D544" s="1883" t="s">
        <v>880</v>
      </c>
      <c r="E544" s="1883"/>
      <c r="F544" s="1883"/>
      <c r="G544" s="57"/>
    </row>
    <row r="545" spans="1:7" ht="13">
      <c r="A545" s="23"/>
      <c r="B545" s="675"/>
      <c r="C545" s="266"/>
      <c r="D545" s="6"/>
      <c r="E545" s="1888" t="s">
        <v>1235</v>
      </c>
      <c r="F545" s="1888"/>
      <c r="G545" s="57"/>
    </row>
    <row r="546" spans="1:7" ht="13">
      <c r="A546" s="261"/>
      <c r="B546" s="261"/>
      <c r="C546" s="266"/>
      <c r="E546" s="135"/>
      <c r="F546" s="135"/>
      <c r="G546" s="57"/>
    </row>
    <row r="547" spans="1:7" ht="13">
      <c r="A547" s="261"/>
      <c r="B547" s="679" t="s">
        <v>316</v>
      </c>
      <c r="C547" s="266"/>
      <c r="D547" s="1889" t="s">
        <v>1236</v>
      </c>
      <c r="E547" s="1889"/>
      <c r="F547" s="1889"/>
      <c r="G547" s="57"/>
    </row>
    <row r="548" spans="1:7">
      <c r="C548" s="266"/>
      <c r="D548" s="1858" t="s">
        <v>1237</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3">
      <c r="A552" s="261"/>
      <c r="B552" s="679" t="s">
        <v>316</v>
      </c>
      <c r="C552" s="266"/>
      <c r="D552" s="1858" t="s">
        <v>1238</v>
      </c>
      <c r="E552" s="1858"/>
      <c r="F552" s="1858"/>
      <c r="G552" s="57"/>
    </row>
    <row r="553" spans="1:7" ht="13">
      <c r="A553" s="261"/>
      <c r="B553" s="261"/>
      <c r="C553" s="266"/>
      <c r="D553" s="1858"/>
      <c r="E553" s="1858"/>
      <c r="F553" s="1858"/>
      <c r="G553" s="57"/>
    </row>
    <row r="554" spans="1:7" ht="13">
      <c r="A554" s="261"/>
      <c r="B554" s="261"/>
      <c r="C554" s="266"/>
      <c r="D554" s="1858"/>
      <c r="E554" s="1858"/>
      <c r="F554" s="1858"/>
      <c r="G554" s="57"/>
    </row>
    <row r="555" spans="1:7" ht="13">
      <c r="A555" s="261"/>
      <c r="B555" s="261"/>
      <c r="C555" s="266"/>
      <c r="D555" s="1858"/>
      <c r="E555" s="1858"/>
      <c r="F555" s="1858"/>
      <c r="G555" s="57"/>
    </row>
    <row r="556" spans="1:7" ht="13">
      <c r="A556" s="261"/>
      <c r="B556" s="261"/>
      <c r="C556" s="266"/>
      <c r="D556" s="135"/>
      <c r="E556" s="135"/>
      <c r="F556" s="135"/>
      <c r="G556" s="57"/>
    </row>
    <row r="557" spans="1:7" ht="13">
      <c r="A557" s="1884" t="s">
        <v>1171</v>
      </c>
      <c r="B557" s="1884"/>
      <c r="C557" s="1884"/>
      <c r="D557" s="1884"/>
      <c r="E557" s="1884"/>
      <c r="F557" s="1884"/>
      <c r="G557" s="1884"/>
    </row>
    <row r="558" spans="1:7">
      <c r="A558" s="266"/>
      <c r="B558" s="266"/>
      <c r="C558" s="266"/>
      <c r="E558" s="135"/>
      <c r="F558" s="135"/>
      <c r="G558" s="57"/>
    </row>
    <row r="559" spans="1:7" ht="12.75" customHeight="1">
      <c r="C559" s="255"/>
      <c r="D559" s="1900" t="s">
        <v>216</v>
      </c>
      <c r="E559" s="1900"/>
      <c r="F559" s="1900"/>
      <c r="G559" s="57"/>
    </row>
    <row r="560" spans="1:7" ht="13">
      <c r="A560" s="260"/>
      <c r="B560" s="260"/>
      <c r="C560" s="260"/>
      <c r="D560" s="1906" t="s">
        <v>1187</v>
      </c>
      <c r="E560" s="1906"/>
      <c r="F560" s="1906"/>
      <c r="G560" s="57"/>
    </row>
    <row r="561" spans="1:7" ht="13">
      <c r="A561" s="12"/>
      <c r="B561" s="12"/>
      <c r="C561" s="260"/>
      <c r="D561" s="377"/>
      <c r="G561" s="57"/>
    </row>
    <row r="562" spans="1:7" ht="13">
      <c r="A562" s="260"/>
      <c r="B562" s="679" t="s">
        <v>316</v>
      </c>
      <c r="D562" s="1906" t="s">
        <v>954</v>
      </c>
      <c r="E562" s="1906"/>
      <c r="F562" s="1906"/>
      <c r="G562" s="57"/>
    </row>
    <row r="563" spans="1:7" ht="13">
      <c r="A563" s="23"/>
      <c r="B563" s="675"/>
      <c r="D563" s="325"/>
    </row>
    <row r="564" spans="1:7" ht="13">
      <c r="A564" s="23"/>
      <c r="B564" s="679" t="s">
        <v>316</v>
      </c>
      <c r="D564" s="1907" t="s">
        <v>1188</v>
      </c>
      <c r="E564" s="1907"/>
      <c r="F564" s="1907"/>
    </row>
    <row r="565" spans="1:7" ht="13">
      <c r="A565" s="23"/>
      <c r="B565" s="675"/>
      <c r="D565" s="1907"/>
      <c r="E565" s="1907"/>
      <c r="F565" s="1907"/>
    </row>
    <row r="566" spans="1:7" ht="13">
      <c r="A566" s="23"/>
      <c r="B566" s="688"/>
      <c r="D566" s="1907"/>
      <c r="E566" s="1907"/>
      <c r="F566" s="1907"/>
    </row>
    <row r="567" spans="1:7" ht="13">
      <c r="A567" s="23"/>
      <c r="B567" s="675"/>
      <c r="D567" s="478"/>
    </row>
    <row r="568" spans="1:7" s="682" customFormat="1" ht="13">
      <c r="A568" s="688"/>
      <c r="B568" s="679" t="s">
        <v>316</v>
      </c>
      <c r="C568" s="689"/>
      <c r="D568" s="1907" t="s">
        <v>1189</v>
      </c>
      <c r="E568" s="1907"/>
      <c r="F568" s="1907"/>
      <c r="G568" s="7"/>
    </row>
    <row r="569" spans="1:7" s="682" customFormat="1" ht="13">
      <c r="A569" s="688"/>
      <c r="B569" s="688"/>
      <c r="C569" s="689"/>
      <c r="D569" s="1907"/>
      <c r="E569" s="1907"/>
      <c r="F569" s="1907"/>
      <c r="G569" s="7"/>
    </row>
    <row r="570" spans="1:7" s="682" customFormat="1" ht="13">
      <c r="A570" s="688"/>
      <c r="B570" s="688"/>
      <c r="C570" s="689"/>
      <c r="D570" s="1907"/>
      <c r="E570" s="1907"/>
      <c r="F570" s="1907"/>
      <c r="G570" s="7"/>
    </row>
    <row r="571" spans="1:7" s="682" customFormat="1" ht="13">
      <c r="A571" s="688"/>
      <c r="B571" s="688"/>
      <c r="C571" s="689"/>
      <c r="D571" s="1907"/>
      <c r="E571" s="1907"/>
      <c r="F571" s="1907"/>
      <c r="G571" s="7"/>
    </row>
    <row r="572" spans="1:7" s="682" customFormat="1" ht="13">
      <c r="A572" s="688"/>
      <c r="B572" s="688"/>
      <c r="C572" s="689"/>
      <c r="D572" s="694"/>
      <c r="E572" s="694"/>
      <c r="F572" s="694"/>
      <c r="G572" s="7"/>
    </row>
    <row r="573" spans="1:7" ht="13">
      <c r="A573" s="23"/>
      <c r="B573" s="679" t="s">
        <v>316</v>
      </c>
      <c r="D573" s="1907" t="s">
        <v>1190</v>
      </c>
      <c r="E573" s="1907"/>
      <c r="F573" s="1907"/>
    </row>
    <row r="574" spans="1:7" ht="13">
      <c r="A574" s="23"/>
      <c r="B574" s="675"/>
      <c r="D574" s="1907"/>
      <c r="E574" s="1907"/>
      <c r="F574" s="1907"/>
    </row>
    <row r="575" spans="1:7" ht="13">
      <c r="A575" s="23"/>
      <c r="B575" s="675"/>
      <c r="D575" s="377"/>
    </row>
    <row r="576" spans="1:7" s="682" customFormat="1" ht="13">
      <c r="A576" s="688"/>
      <c r="B576" s="679" t="s">
        <v>316</v>
      </c>
      <c r="C576" s="689"/>
      <c r="D576" s="1906" t="s">
        <v>1191</v>
      </c>
      <c r="E576" s="1906"/>
      <c r="F576" s="1906"/>
      <c r="G576" s="7"/>
    </row>
    <row r="577" spans="1:7" s="682" customFormat="1" ht="13">
      <c r="A577" s="688"/>
      <c r="B577" s="688"/>
      <c r="C577" s="689"/>
      <c r="D577" s="1906"/>
      <c r="E577" s="1906"/>
      <c r="F577" s="1906"/>
      <c r="G577" s="7"/>
    </row>
    <row r="578" spans="1:7" s="682" customFormat="1" ht="13">
      <c r="A578" s="688"/>
      <c r="B578" s="688"/>
      <c r="C578" s="689"/>
      <c r="D578" s="377"/>
      <c r="E578" s="7"/>
      <c r="F578" s="7"/>
      <c r="G578" s="7"/>
    </row>
    <row r="579" spans="1:7" ht="13">
      <c r="A579" s="261"/>
      <c r="B579" s="679" t="s">
        <v>316</v>
      </c>
      <c r="D579" s="1906" t="s">
        <v>949</v>
      </c>
      <c r="E579" s="1906"/>
      <c r="F579" s="1906"/>
    </row>
    <row r="580" spans="1:7" ht="13">
      <c r="A580" s="261"/>
      <c r="B580" s="261"/>
      <c r="D580" s="377"/>
    </row>
    <row r="581" spans="1:7" ht="13">
      <c r="A581" s="261"/>
      <c r="B581" s="679" t="s">
        <v>316</v>
      </c>
      <c r="D581" s="1906" t="s">
        <v>1192</v>
      </c>
      <c r="E581" s="1906"/>
      <c r="F581" s="1906"/>
    </row>
    <row r="582" spans="1:7" ht="13">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ht="13">
      <c r="A588" s="1884" t="s">
        <v>1172</v>
      </c>
      <c r="B588" s="1884"/>
      <c r="C588" s="1884"/>
      <c r="D588" s="1884"/>
      <c r="E588" s="1884"/>
      <c r="F588" s="1884"/>
      <c r="G588" s="1884"/>
    </row>
    <row r="589" spans="1:7"/>
    <row r="590" spans="1:7" ht="13">
      <c r="D590" s="1874" t="s">
        <v>1272</v>
      </c>
      <c r="E590" s="1874"/>
      <c r="F590" s="1874"/>
    </row>
    <row r="591" spans="1:7">
      <c r="D591" s="1875" t="s">
        <v>1273</v>
      </c>
      <c r="E591" s="1875"/>
      <c r="F591" s="1875"/>
    </row>
    <row r="592" spans="1:7" s="719" customFormat="1">
      <c r="A592" s="705"/>
      <c r="B592" s="705"/>
      <c r="C592" s="705"/>
      <c r="D592" s="723"/>
      <c r="E592" s="722"/>
      <c r="F592" s="722"/>
      <c r="G592" s="7"/>
    </row>
    <row r="593" spans="1:7" s="39" customFormat="1" ht="13">
      <c r="A593" s="403"/>
      <c r="B593" s="679" t="s">
        <v>316</v>
      </c>
      <c r="C593" s="273"/>
      <c r="D593" s="1876" t="s">
        <v>1274</v>
      </c>
      <c r="E593" s="1876"/>
      <c r="F593" s="1876"/>
      <c r="G593" s="130"/>
    </row>
    <row r="594" spans="1:7">
      <c r="D594" s="1876"/>
      <c r="E594" s="1876"/>
      <c r="F594" s="1876"/>
    </row>
    <row r="595" spans="1:7">
      <c r="D595" s="1876"/>
      <c r="E595" s="1876"/>
      <c r="F595" s="1876"/>
    </row>
    <row r="596" spans="1:7"/>
    <row r="597" spans="1:7" ht="13">
      <c r="A597" s="1884" t="s">
        <v>1173</v>
      </c>
      <c r="B597" s="1884"/>
      <c r="C597" s="1884"/>
      <c r="D597" s="1884"/>
      <c r="E597" s="1884"/>
      <c r="F597" s="1884"/>
      <c r="G597" s="1884"/>
    </row>
    <row r="598" spans="1:7">
      <c r="A598" s="135"/>
      <c r="B598" s="135"/>
      <c r="G598" s="57"/>
    </row>
    <row r="599" spans="1:7" ht="13">
      <c r="A599" s="257"/>
      <c r="B599" s="674"/>
      <c r="C599" s="255"/>
      <c r="D599" s="1877" t="s">
        <v>1275</v>
      </c>
      <c r="E599" s="1877"/>
      <c r="F599" s="1877"/>
      <c r="G599" s="57"/>
    </row>
    <row r="600" spans="1:7" ht="13">
      <c r="A600" s="257"/>
      <c r="B600" s="674"/>
      <c r="C600" s="255"/>
      <c r="D600" s="1877"/>
      <c r="E600" s="1877"/>
      <c r="F600" s="1877"/>
      <c r="G600" s="57"/>
    </row>
    <row r="601" spans="1:7" ht="13">
      <c r="C601" s="260"/>
      <c r="D601" s="1875" t="s">
        <v>1276</v>
      </c>
      <c r="E601" s="1875"/>
      <c r="F601" s="1875"/>
      <c r="G601" s="57"/>
    </row>
    <row r="602" spans="1:7" s="719" customFormat="1" ht="13">
      <c r="A602" s="705"/>
      <c r="B602" s="705"/>
      <c r="C602" s="720"/>
      <c r="D602" s="724"/>
      <c r="E602" s="724"/>
      <c r="F602" s="724"/>
      <c r="G602" s="57"/>
    </row>
    <row r="603" spans="1:7" ht="13">
      <c r="A603" s="23"/>
      <c r="B603" s="679" t="s">
        <v>316</v>
      </c>
      <c r="D603" s="1875" t="s">
        <v>453</v>
      </c>
      <c r="E603" s="1875"/>
      <c r="F603" s="1875"/>
      <c r="G603" s="57"/>
    </row>
    <row r="604" spans="1:7" ht="13">
      <c r="C604" s="268"/>
      <c r="E604" s="12"/>
      <c r="G604" s="57"/>
    </row>
    <row r="605" spans="1:7" ht="13">
      <c r="A605" s="23"/>
      <c r="B605" s="679" t="s">
        <v>316</v>
      </c>
      <c r="D605" s="1878" t="s">
        <v>1277</v>
      </c>
      <c r="E605" s="1878"/>
      <c r="F605" s="1878"/>
      <c r="G605" s="57"/>
    </row>
    <row r="606" spans="1:7">
      <c r="D606" s="1878"/>
      <c r="E606" s="1878"/>
      <c r="F606" s="1878"/>
      <c r="G606" s="57"/>
    </row>
    <row r="607" spans="1:7">
      <c r="D607" s="12"/>
      <c r="G607" s="57"/>
    </row>
    <row r="608" spans="1:7">
      <c r="B608" s="679" t="s">
        <v>316</v>
      </c>
      <c r="D608" s="1878" t="s">
        <v>1278</v>
      </c>
      <c r="E608" s="1878"/>
      <c r="F608" s="1878"/>
      <c r="G608" s="57"/>
    </row>
    <row r="609" spans="1:7" ht="13">
      <c r="C609" s="268"/>
      <c r="D609" s="1878"/>
      <c r="E609" s="1878"/>
      <c r="F609" s="1878"/>
      <c r="G609" s="57"/>
    </row>
    <row r="610" spans="1:7" ht="13">
      <c r="C610" s="268"/>
      <c r="G610" s="57"/>
    </row>
    <row r="611" spans="1:7" ht="13">
      <c r="B611" s="679" t="s">
        <v>316</v>
      </c>
      <c r="C611" s="268"/>
      <c r="D611" s="1878" t="s">
        <v>1279</v>
      </c>
      <c r="E611" s="1878"/>
      <c r="F611" s="1878"/>
      <c r="G611" s="57"/>
    </row>
    <row r="612" spans="1:7" ht="13">
      <c r="C612" s="268"/>
      <c r="D612" s="1878"/>
      <c r="E612" s="1878"/>
      <c r="F612" s="1878"/>
      <c r="G612" s="57"/>
    </row>
    <row r="613" spans="1:7" ht="13">
      <c r="C613" s="268"/>
      <c r="G613" s="57"/>
    </row>
    <row r="614" spans="1:7" ht="13">
      <c r="A614" s="1884" t="s">
        <v>1174</v>
      </c>
      <c r="B614" s="1884"/>
      <c r="C614" s="1884"/>
      <c r="D614" s="1884"/>
      <c r="E614" s="1884"/>
      <c r="F614" s="1884"/>
      <c r="G614" s="1884"/>
    </row>
    <row r="615" spans="1:7" ht="13">
      <c r="A615" s="267"/>
      <c r="B615" s="267"/>
      <c r="C615" s="267"/>
      <c r="G615" s="57"/>
    </row>
    <row r="616" spans="1:7" ht="13">
      <c r="C616" s="23"/>
      <c r="D616" s="1874" t="s">
        <v>1280</v>
      </c>
      <c r="E616" s="1874"/>
      <c r="F616" s="1874"/>
      <c r="G616" s="57"/>
    </row>
    <row r="617" spans="1:7" ht="13">
      <c r="A617" s="23"/>
      <c r="B617" s="675"/>
      <c r="C617" s="265"/>
      <c r="D617" s="50"/>
      <c r="G617" s="57"/>
    </row>
    <row r="618" spans="1:7" ht="13">
      <c r="A618" s="261"/>
      <c r="B618" s="679" t="s">
        <v>316</v>
      </c>
      <c r="C618" s="265"/>
      <c r="D618" s="1919" t="s">
        <v>1281</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9" customFormat="1">
      <c r="A624" s="705"/>
      <c r="B624" s="705"/>
      <c r="C624" s="265"/>
      <c r="D624" s="725"/>
      <c r="E624" s="725"/>
      <c r="F624" s="725"/>
      <c r="G624" s="57"/>
    </row>
    <row r="625" spans="1:7" ht="13">
      <c r="A625" s="261"/>
      <c r="B625" s="679" t="s">
        <v>316</v>
      </c>
      <c r="C625" s="265"/>
      <c r="D625" s="1919" t="s">
        <v>1282</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3">
      <c r="A628" s="261"/>
      <c r="B628" s="679" t="s">
        <v>316</v>
      </c>
      <c r="C628" s="266"/>
      <c r="D628" s="1876" t="s">
        <v>1283</v>
      </c>
      <c r="E628" s="1876"/>
      <c r="F628" s="1876"/>
      <c r="G628" s="57"/>
    </row>
    <row r="629" spans="1:7" ht="13">
      <c r="A629" s="261"/>
      <c r="B629" s="261"/>
      <c r="C629" s="266"/>
      <c r="D629" s="1876"/>
      <c r="E629" s="1876"/>
      <c r="F629" s="1876"/>
      <c r="G629" s="57"/>
    </row>
    <row r="630" spans="1:7" ht="13">
      <c r="A630" s="261"/>
      <c r="B630" s="261"/>
      <c r="C630" s="266"/>
      <c r="D630" s="1876"/>
      <c r="E630" s="1876"/>
      <c r="F630" s="1876"/>
      <c r="G630" s="57"/>
    </row>
    <row r="631" spans="1:7">
      <c r="A631" s="266"/>
      <c r="B631" s="266"/>
      <c r="C631" s="266"/>
      <c r="D631" s="1876"/>
      <c r="E631" s="1876"/>
      <c r="F631" s="1876"/>
      <c r="G631" s="57"/>
    </row>
    <row r="632" spans="1:7" s="719" customFormat="1">
      <c r="A632" s="266"/>
      <c r="B632" s="266"/>
      <c r="C632" s="266"/>
      <c r="D632" s="726"/>
      <c r="E632" s="726"/>
      <c r="F632" s="726"/>
      <c r="G632" s="57"/>
    </row>
    <row r="633" spans="1:7">
      <c r="A633" s="266"/>
      <c r="B633" s="679" t="s">
        <v>316</v>
      </c>
      <c r="C633" s="266"/>
      <c r="D633" s="1924" t="s">
        <v>1284</v>
      </c>
      <c r="E633" s="1924"/>
      <c r="F633" s="1924"/>
      <c r="G633" s="57"/>
    </row>
    <row r="634" spans="1:7">
      <c r="A634" s="266"/>
      <c r="B634" s="266"/>
      <c r="C634" s="266"/>
      <c r="D634" s="727"/>
      <c r="E634" s="727"/>
      <c r="F634" s="727"/>
      <c r="G634" s="57"/>
    </row>
    <row r="635" spans="1:7" ht="13">
      <c r="A635" s="1884" t="s">
        <v>1175</v>
      </c>
      <c r="B635" s="1884"/>
      <c r="C635" s="1884"/>
      <c r="D635" s="1884"/>
      <c r="E635" s="1884"/>
      <c r="F635" s="1884"/>
      <c r="G635" s="1884"/>
    </row>
    <row r="636" spans="1:7">
      <c r="A636" s="135"/>
      <c r="B636" s="135"/>
      <c r="C636" s="266"/>
      <c r="D636" s="147"/>
      <c r="E636" s="147"/>
      <c r="F636" s="147"/>
      <c r="G636" s="57"/>
    </row>
    <row r="637" spans="1:7" ht="13">
      <c r="C637" s="267"/>
      <c r="D637" s="1925" t="s">
        <v>1334</v>
      </c>
      <c r="E637" s="1925"/>
      <c r="F637" s="1925"/>
      <c r="G637" s="57"/>
    </row>
    <row r="638" spans="1:7" ht="13">
      <c r="A638" s="260"/>
      <c r="B638" s="260"/>
      <c r="C638" s="260"/>
      <c r="D638" s="1926" t="s">
        <v>1335</v>
      </c>
      <c r="E638" s="1926"/>
      <c r="F638" s="1926"/>
      <c r="G638" s="57"/>
    </row>
    <row r="639" spans="1:7" s="719" customFormat="1" ht="13">
      <c r="A639" s="720"/>
      <c r="B639" s="720"/>
      <c r="C639" s="720"/>
      <c r="D639" s="734"/>
      <c r="E639" s="734"/>
      <c r="F639" s="734"/>
      <c r="G639" s="57"/>
    </row>
    <row r="640" spans="1:7" ht="14.5" customHeight="1">
      <c r="A640" s="261"/>
      <c r="B640" s="679" t="s">
        <v>316</v>
      </c>
      <c r="C640" s="266"/>
      <c r="D640" s="1872" t="s">
        <v>1336</v>
      </c>
      <c r="E640" s="1872"/>
      <c r="F640" s="1872"/>
      <c r="G640" s="57"/>
    </row>
    <row r="641" spans="1:11" ht="13">
      <c r="A641" s="261"/>
      <c r="B641" s="261"/>
      <c r="C641" s="266"/>
      <c r="D641" s="1872"/>
      <c r="E641" s="1872"/>
      <c r="F641" s="1872"/>
      <c r="G641" s="57"/>
    </row>
    <row r="642" spans="1:11" ht="13">
      <c r="A642" s="261"/>
      <c r="B642" s="261"/>
      <c r="C642" s="266"/>
      <c r="D642" s="1872"/>
      <c r="E642" s="1872"/>
      <c r="F642" s="1872"/>
      <c r="G642" s="57"/>
    </row>
    <row r="643" spans="1:11" ht="13">
      <c r="A643" s="261"/>
      <c r="B643" s="261"/>
      <c r="C643" s="266"/>
      <c r="D643" s="1872"/>
      <c r="E643" s="1872"/>
      <c r="F643" s="1872"/>
      <c r="G643" s="57"/>
    </row>
    <row r="644" spans="1:11" s="682" customFormat="1" ht="13">
      <c r="A644" s="261"/>
      <c r="B644" s="261"/>
      <c r="C644" s="266"/>
      <c r="D644" s="1872"/>
      <c r="E644" s="1872"/>
      <c r="F644" s="1872"/>
      <c r="G644" s="57"/>
    </row>
    <row r="645" spans="1:11" s="719" customFormat="1" ht="13">
      <c r="A645" s="714"/>
      <c r="B645" s="714"/>
      <c r="C645" s="266"/>
      <c r="D645" s="736"/>
      <c r="E645" s="736"/>
      <c r="F645" s="736"/>
      <c r="G645" s="57"/>
    </row>
    <row r="646" spans="1:11" s="682" customFormat="1" ht="13">
      <c r="A646" s="261"/>
      <c r="B646" s="679" t="s">
        <v>316</v>
      </c>
      <c r="C646" s="266"/>
      <c r="D646" s="1902" t="s">
        <v>1186</v>
      </c>
      <c r="E646" s="1902"/>
      <c r="F646" s="1902"/>
      <c r="G646" s="57"/>
    </row>
    <row r="647" spans="1:11" s="682" customFormat="1" ht="13">
      <c r="A647" s="261"/>
      <c r="B647" s="261"/>
      <c r="C647" s="266"/>
      <c r="D647" s="1903" t="s">
        <v>1337</v>
      </c>
      <c r="E647" s="1903"/>
      <c r="F647" s="1903"/>
      <c r="G647" s="57"/>
    </row>
    <row r="648" spans="1:11" s="682" customFormat="1" ht="13">
      <c r="A648" s="261"/>
      <c r="B648" s="261"/>
      <c r="C648" s="266"/>
      <c r="D648" s="1903"/>
      <c r="E648" s="1903"/>
      <c r="F648" s="1903"/>
      <c r="G648" s="57"/>
    </row>
    <row r="649" spans="1:11" s="682" customFormat="1" ht="13">
      <c r="A649" s="261"/>
      <c r="B649" s="261"/>
      <c r="C649" s="266"/>
      <c r="D649" s="1903"/>
      <c r="E649" s="1903"/>
      <c r="F649" s="1903"/>
      <c r="G649" s="57"/>
    </row>
    <row r="650" spans="1:11" s="682" customFormat="1" ht="13">
      <c r="A650" s="261"/>
      <c r="B650" s="261"/>
      <c r="C650" s="266"/>
      <c r="D650" s="1903"/>
      <c r="E650" s="1903"/>
      <c r="F650" s="1903"/>
      <c r="G650" s="57"/>
    </row>
    <row r="651" spans="1:11" s="682" customFormat="1" ht="13">
      <c r="A651" s="261"/>
      <c r="B651" s="261"/>
      <c r="C651" s="266"/>
      <c r="D651" s="1903"/>
      <c r="E651" s="1903"/>
      <c r="F651" s="1903"/>
      <c r="G651" s="57"/>
    </row>
    <row r="652" spans="1:11" s="682" customFormat="1" ht="13">
      <c r="A652" s="261"/>
      <c r="B652" s="261"/>
      <c r="C652" s="266"/>
      <c r="D652" s="1904" t="s">
        <v>1338</v>
      </c>
      <c r="E652" s="1904"/>
      <c r="F652" s="1904"/>
      <c r="G652" s="57"/>
    </row>
    <row r="653" spans="1:11">
      <c r="A653" s="266"/>
      <c r="B653" s="266"/>
      <c r="C653" s="266"/>
      <c r="D653" s="147"/>
      <c r="E653" s="147"/>
      <c r="F653" s="147"/>
      <c r="G653" s="57"/>
    </row>
    <row r="654" spans="1:11" ht="13">
      <c r="A654" s="1884" t="s">
        <v>1176</v>
      </c>
      <c r="B654" s="1884"/>
      <c r="C654" s="1884"/>
      <c r="D654" s="1884"/>
      <c r="E654" s="1884"/>
      <c r="F654" s="1884"/>
      <c r="G654" s="1884"/>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82" t="s">
        <v>104</v>
      </c>
      <c r="E656" s="1882"/>
      <c r="F656" s="1882"/>
      <c r="G656" s="57"/>
      <c r="H656" s="269"/>
      <c r="I656" s="269"/>
      <c r="J656" s="269"/>
      <c r="K656" s="269"/>
    </row>
    <row r="657" spans="1:11" ht="13">
      <c r="A657" s="267"/>
      <c r="B657" s="267"/>
      <c r="C657" s="267"/>
      <c r="D657" s="1882" t="s">
        <v>128</v>
      </c>
      <c r="E657" s="1882"/>
      <c r="F657" s="1882"/>
      <c r="G657" s="57"/>
      <c r="H657" s="269"/>
      <c r="I657" s="269"/>
      <c r="J657" s="269"/>
      <c r="K657" s="269"/>
    </row>
    <row r="658" spans="1:11" ht="13">
      <c r="A658" s="260"/>
      <c r="B658" s="260"/>
      <c r="C658" s="260"/>
      <c r="D658" s="1883" t="s">
        <v>1212</v>
      </c>
      <c r="E658" s="1883"/>
      <c r="F658" s="1883"/>
      <c r="G658" s="57"/>
      <c r="H658" s="269"/>
      <c r="I658" s="269"/>
      <c r="J658" s="269"/>
      <c r="K658" s="269"/>
    </row>
    <row r="659" spans="1:11" ht="13">
      <c r="A659" s="260"/>
      <c r="B659" s="260"/>
      <c r="C659" s="260"/>
      <c r="G659" s="57"/>
      <c r="H659" s="269"/>
      <c r="I659" s="269"/>
      <c r="J659" s="269"/>
      <c r="K659" s="269"/>
    </row>
    <row r="660" spans="1:11" ht="13">
      <c r="A660" s="261"/>
      <c r="B660" s="679" t="s">
        <v>316</v>
      </c>
      <c r="C660" s="260"/>
      <c r="D660" s="1883" t="s">
        <v>950</v>
      </c>
      <c r="E660" s="1883"/>
      <c r="F660" s="1883"/>
      <c r="G660" s="57"/>
      <c r="H660" s="269"/>
      <c r="I660" s="269"/>
      <c r="J660" s="269"/>
      <c r="K660" s="269"/>
    </row>
    <row r="661" spans="1:11" ht="13">
      <c r="A661" s="260"/>
      <c r="B661" s="260"/>
      <c r="C661" s="260"/>
      <c r="D661" s="1883" t="s">
        <v>961</v>
      </c>
      <c r="E661" s="1883"/>
      <c r="F661" s="1883"/>
      <c r="G661" s="57"/>
      <c r="H661" s="269"/>
      <c r="I661" s="269"/>
      <c r="J661" s="269"/>
      <c r="K661" s="269"/>
    </row>
    <row r="662" spans="1:11" ht="13">
      <c r="A662" s="260"/>
      <c r="B662" s="260"/>
      <c r="C662" s="260"/>
      <c r="D662" s="6"/>
      <c r="E662" s="1862" t="s">
        <v>1213</v>
      </c>
      <c r="F662" s="1862"/>
      <c r="G662" s="57"/>
      <c r="H662" s="269"/>
      <c r="I662" s="269"/>
      <c r="J662" s="269"/>
      <c r="K662" s="269"/>
    </row>
    <row r="663" spans="1:11" ht="13">
      <c r="A663" s="260"/>
      <c r="B663" s="260"/>
      <c r="C663" s="260"/>
      <c r="D663" s="6"/>
      <c r="E663" s="1862"/>
      <c r="F663" s="1862"/>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316</v>
      </c>
      <c r="C665" s="260"/>
      <c r="D665" s="1858" t="s">
        <v>1214</v>
      </c>
      <c r="E665" s="1858"/>
      <c r="F665" s="1858"/>
      <c r="G665" s="57"/>
      <c r="H665" s="269"/>
      <c r="I665" s="269"/>
      <c r="J665" s="269"/>
      <c r="K665" s="269"/>
    </row>
    <row r="666" spans="1:11" ht="13">
      <c r="A666" s="23"/>
      <c r="B666" s="675"/>
      <c r="C666" s="260"/>
      <c r="D666" s="1858"/>
      <c r="E666" s="1858"/>
      <c r="F666" s="1858"/>
      <c r="G666" s="57"/>
      <c r="H666" s="269"/>
      <c r="I666" s="269"/>
      <c r="J666" s="269"/>
      <c r="K666" s="269"/>
    </row>
    <row r="667" spans="1:11" ht="13">
      <c r="A667" s="260"/>
      <c r="B667" s="260"/>
      <c r="C667" s="260"/>
      <c r="D667" s="1858"/>
      <c r="E667" s="1858"/>
      <c r="F667" s="1858"/>
      <c r="G667" s="57"/>
      <c r="H667" s="269"/>
      <c r="I667" s="269"/>
      <c r="J667" s="269"/>
      <c r="K667" s="269"/>
    </row>
    <row r="668" spans="1:11" ht="13">
      <c r="A668" s="260"/>
      <c r="B668" s="260"/>
      <c r="C668" s="260"/>
      <c r="G668" s="57"/>
      <c r="H668" s="269"/>
      <c r="I668" s="269"/>
      <c r="J668" s="269"/>
      <c r="K668" s="269"/>
    </row>
    <row r="669" spans="1:11" ht="13">
      <c r="A669" s="261"/>
      <c r="B669" s="679" t="s">
        <v>316</v>
      </c>
      <c r="C669" s="260"/>
      <c r="D669" s="1883" t="s">
        <v>990</v>
      </c>
      <c r="E669" s="1883"/>
      <c r="F669" s="1883"/>
      <c r="G669" s="57"/>
      <c r="H669" s="269"/>
      <c r="I669" s="269"/>
      <c r="J669" s="269"/>
      <c r="K669" s="269"/>
    </row>
    <row r="670" spans="1:11" ht="13">
      <c r="A670" s="261"/>
      <c r="B670" s="261"/>
      <c r="C670" s="260"/>
      <c r="D670" s="1883" t="s">
        <v>961</v>
      </c>
      <c r="E670" s="1883"/>
      <c r="F670" s="1883"/>
      <c r="G670" s="57"/>
      <c r="H670" s="269"/>
      <c r="I670" s="269"/>
      <c r="J670" s="269"/>
      <c r="K670" s="269"/>
    </row>
    <row r="671" spans="1:11" ht="13">
      <c r="A671" s="260"/>
      <c r="B671" s="260"/>
      <c r="C671" s="260"/>
      <c r="D671" s="6"/>
      <c r="E671" s="1888" t="s">
        <v>1215</v>
      </c>
      <c r="F671" s="1888"/>
      <c r="G671" s="57"/>
      <c r="H671" s="269"/>
      <c r="I671" s="269"/>
      <c r="J671" s="269"/>
      <c r="K671" s="269"/>
    </row>
    <row r="672" spans="1:11" ht="13">
      <c r="A672" s="260"/>
      <c r="B672" s="260"/>
      <c r="C672" s="260"/>
      <c r="D672" s="50"/>
      <c r="G672" s="57"/>
      <c r="H672" s="269"/>
      <c r="I672" s="269"/>
      <c r="J672" s="269"/>
      <c r="K672" s="269"/>
    </row>
    <row r="673" spans="1:11" ht="13">
      <c r="A673" s="261"/>
      <c r="B673" s="679" t="s">
        <v>316</v>
      </c>
      <c r="C673" s="260"/>
      <c r="D673" s="1881" t="s">
        <v>1225</v>
      </c>
      <c r="E673" s="1881"/>
      <c r="F673" s="1881"/>
      <c r="G673" s="57"/>
      <c r="H673" s="269"/>
      <c r="I673" s="269"/>
      <c r="J673" s="269"/>
      <c r="K673" s="269"/>
    </row>
    <row r="674" spans="1:11" ht="13">
      <c r="A674" s="260"/>
      <c r="B674" s="260"/>
      <c r="C674" s="260"/>
      <c r="D674" s="1881"/>
      <c r="E674" s="1881"/>
      <c r="F674" s="1881"/>
      <c r="G674" s="57"/>
      <c r="H674" s="269"/>
      <c r="I674" s="269"/>
      <c r="J674" s="269"/>
      <c r="K674" s="269"/>
    </row>
    <row r="675" spans="1:11" ht="13">
      <c r="A675" s="260"/>
      <c r="B675" s="260"/>
      <c r="C675" s="260"/>
      <c r="D675" s="1881"/>
      <c r="E675" s="1881"/>
      <c r="F675" s="1881"/>
      <c r="G675" s="57"/>
      <c r="H675" s="269"/>
      <c r="I675" s="269"/>
      <c r="J675" s="269"/>
      <c r="K675" s="269"/>
    </row>
    <row r="676" spans="1:11" ht="13">
      <c r="A676" s="260"/>
      <c r="B676" s="260"/>
      <c r="C676" s="260"/>
      <c r="D676" s="1881"/>
      <c r="E676" s="1881"/>
      <c r="F676" s="1881"/>
      <c r="G676" s="57"/>
      <c r="H676" s="269"/>
      <c r="I676" s="269"/>
      <c r="J676" s="269"/>
      <c r="K676" s="269"/>
    </row>
    <row r="677" spans="1:11" ht="13">
      <c r="A677" s="260"/>
      <c r="B677" s="260"/>
      <c r="C677" s="260"/>
      <c r="D677" s="1881"/>
      <c r="E677" s="1881"/>
      <c r="F677" s="1881"/>
      <c r="G677" s="57"/>
      <c r="H677" s="269"/>
      <c r="I677" s="269"/>
      <c r="J677" s="269"/>
      <c r="K677" s="269"/>
    </row>
    <row r="678" spans="1:11" s="39" customFormat="1" ht="13">
      <c r="A678" s="487"/>
      <c r="B678" s="487"/>
      <c r="C678" s="487"/>
      <c r="D678" s="1881"/>
      <c r="E678" s="1881"/>
      <c r="F678" s="1881"/>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316</v>
      </c>
      <c r="C680" s="260"/>
      <c r="D680" s="1881" t="s">
        <v>1216</v>
      </c>
      <c r="E680" s="1881"/>
      <c r="F680" s="1881"/>
      <c r="G680" s="57"/>
      <c r="H680" s="269"/>
      <c r="I680" s="269"/>
      <c r="J680" s="269"/>
      <c r="K680" s="269"/>
    </row>
    <row r="681" spans="1:11" ht="13">
      <c r="A681" s="260"/>
      <c r="B681" s="260"/>
      <c r="C681" s="260"/>
      <c r="D681" s="1881"/>
      <c r="E681" s="1881"/>
      <c r="F681" s="1881"/>
      <c r="G681" s="57"/>
      <c r="H681" s="269"/>
      <c r="I681" s="269"/>
      <c r="J681" s="269"/>
      <c r="K681" s="269"/>
    </row>
    <row r="682" spans="1:11" ht="13">
      <c r="A682" s="260"/>
      <c r="B682" s="260"/>
      <c r="C682" s="260"/>
      <c r="D682" s="1881"/>
      <c r="E682" s="1881"/>
      <c r="F682" s="1881"/>
      <c r="G682" s="57"/>
      <c r="H682" s="269"/>
      <c r="I682" s="269"/>
      <c r="J682" s="269"/>
      <c r="K682" s="269"/>
    </row>
    <row r="683" spans="1:11" ht="15" customHeight="1">
      <c r="A683" s="260"/>
      <c r="B683" s="260"/>
      <c r="C683" s="260"/>
      <c r="D683" s="1881"/>
      <c r="E683" s="1881"/>
      <c r="F683" s="1881"/>
      <c r="G683" s="57"/>
      <c r="H683" s="269"/>
      <c r="I683" s="269"/>
      <c r="J683" s="269"/>
      <c r="K683" s="269"/>
    </row>
    <row r="684" spans="1:11" ht="15" customHeight="1">
      <c r="A684" s="260"/>
      <c r="B684" s="260"/>
      <c r="C684" s="260"/>
      <c r="D684" s="1881"/>
      <c r="E684" s="1881"/>
      <c r="F684" s="1881"/>
      <c r="G684" s="57"/>
      <c r="H684" s="269"/>
      <c r="I684" s="269"/>
      <c r="J684" s="269"/>
      <c r="K684" s="269"/>
    </row>
    <row r="685" spans="1:11" ht="13">
      <c r="A685" s="260"/>
      <c r="B685" s="260"/>
      <c r="C685" s="260"/>
      <c r="D685" s="1881"/>
      <c r="E685" s="1881"/>
      <c r="F685" s="1881"/>
      <c r="G685" s="57"/>
      <c r="H685" s="269"/>
      <c r="I685" s="269"/>
      <c r="J685" s="269"/>
      <c r="K685" s="269"/>
    </row>
    <row r="686" spans="1:11" ht="13">
      <c r="A686" s="260"/>
      <c r="B686" s="260"/>
      <c r="C686" s="260"/>
      <c r="D686" s="1881"/>
      <c r="E686" s="1881"/>
      <c r="F686" s="1881"/>
      <c r="G686" s="57"/>
      <c r="H686" s="269"/>
      <c r="I686" s="269"/>
      <c r="J686" s="269"/>
      <c r="K686" s="269"/>
    </row>
    <row r="687" spans="1:11" ht="13">
      <c r="A687" s="260"/>
      <c r="B687" s="260"/>
      <c r="C687" s="260"/>
      <c r="D687" s="1881"/>
      <c r="E687" s="1881"/>
      <c r="F687" s="1881"/>
      <c r="G687" s="57"/>
      <c r="H687" s="269"/>
      <c r="I687" s="269"/>
      <c r="J687" s="269"/>
      <c r="K687" s="269"/>
    </row>
    <row r="688" spans="1:11" ht="15" customHeight="1">
      <c r="A688" s="260"/>
      <c r="B688" s="260"/>
      <c r="C688" s="260"/>
      <c r="D688" s="1881"/>
      <c r="E688" s="1881"/>
      <c r="F688" s="1881"/>
      <c r="G688" s="57"/>
      <c r="H688" s="269"/>
      <c r="I688" s="269"/>
      <c r="J688" s="269"/>
      <c r="K688" s="269"/>
    </row>
    <row r="689" spans="1:11" ht="13">
      <c r="A689" s="260"/>
      <c r="B689" s="260"/>
      <c r="C689" s="260"/>
      <c r="D689" s="1881"/>
      <c r="E689" s="1881"/>
      <c r="F689" s="1881"/>
      <c r="G689" s="57"/>
      <c r="H689" s="269"/>
      <c r="I689" s="269"/>
      <c r="J689" s="269"/>
      <c r="K689" s="269"/>
    </row>
    <row r="690" spans="1:11" ht="13">
      <c r="A690" s="260"/>
      <c r="B690" s="260"/>
      <c r="C690" s="260"/>
      <c r="D690" s="1881"/>
      <c r="E690" s="1881"/>
      <c r="F690" s="1881"/>
      <c r="G690" s="57"/>
      <c r="H690" s="269"/>
      <c r="I690" s="269"/>
      <c r="J690" s="269"/>
      <c r="K690" s="269"/>
    </row>
    <row r="691" spans="1:11" ht="13">
      <c r="A691" s="260"/>
      <c r="B691" s="260"/>
      <c r="C691" s="260"/>
      <c r="D691" s="1881"/>
      <c r="E691" s="1881"/>
      <c r="F691" s="1881"/>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316</v>
      </c>
      <c r="C693" s="260"/>
      <c r="D693" s="1881" t="s">
        <v>1226</v>
      </c>
      <c r="E693" s="1881"/>
      <c r="F693" s="1881"/>
      <c r="G693" s="57"/>
      <c r="H693" s="269"/>
      <c r="I693" s="269"/>
      <c r="J693" s="269"/>
      <c r="K693" s="269"/>
    </row>
    <row r="694" spans="1:11" ht="13">
      <c r="A694" s="260"/>
      <c r="B694" s="260"/>
      <c r="C694" s="260"/>
      <c r="D694" s="1881"/>
      <c r="E694" s="1881"/>
      <c r="F694" s="1881"/>
      <c r="G694" s="57"/>
      <c r="H694" s="269"/>
      <c r="I694" s="269"/>
      <c r="J694" s="269"/>
      <c r="K694" s="269"/>
    </row>
    <row r="695" spans="1:11" ht="13">
      <c r="A695" s="260"/>
      <c r="B695" s="260"/>
      <c r="C695" s="260"/>
      <c r="D695" s="1881"/>
      <c r="E695" s="1881"/>
      <c r="F695" s="1881"/>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316</v>
      </c>
      <c r="C697" s="260"/>
      <c r="D697" s="1881" t="s">
        <v>1223</v>
      </c>
      <c r="E697" s="1881"/>
      <c r="F697" s="1881"/>
      <c r="G697" s="57"/>
      <c r="H697" s="269"/>
      <c r="I697" s="269"/>
      <c r="J697" s="269"/>
      <c r="K697" s="269"/>
    </row>
    <row r="698" spans="1:11" s="682" customFormat="1" ht="13">
      <c r="A698" s="260"/>
      <c r="B698" s="260"/>
      <c r="C698" s="260"/>
      <c r="D698" s="1881"/>
      <c r="E698" s="1881"/>
      <c r="F698" s="1881"/>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316</v>
      </c>
      <c r="C700" s="260"/>
      <c r="D700" s="1881" t="s">
        <v>1224</v>
      </c>
      <c r="E700" s="1881"/>
      <c r="F700" s="1881"/>
      <c r="G700" s="57"/>
      <c r="H700" s="269"/>
      <c r="I700" s="269"/>
      <c r="J700" s="269"/>
      <c r="K700" s="269"/>
    </row>
    <row r="701" spans="1:11" s="682" customFormat="1" ht="13">
      <c r="A701" s="260"/>
      <c r="B701" s="260"/>
      <c r="C701" s="260"/>
      <c r="D701" s="1881"/>
      <c r="E701" s="1881"/>
      <c r="F701" s="1881"/>
      <c r="G701" s="57"/>
      <c r="H701" s="269"/>
      <c r="I701" s="269"/>
      <c r="J701" s="269"/>
      <c r="K701" s="269"/>
    </row>
    <row r="702" spans="1:11" s="682" customFormat="1" ht="13">
      <c r="A702" s="260"/>
      <c r="B702" s="260"/>
      <c r="C702" s="260"/>
      <c r="D702" s="1881"/>
      <c r="E702" s="1881"/>
      <c r="F702" s="1881"/>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316</v>
      </c>
      <c r="C704" s="260"/>
      <c r="D704" s="1881" t="s">
        <v>1217</v>
      </c>
      <c r="E704" s="1881"/>
      <c r="F704" s="1881"/>
      <c r="G704" s="57"/>
      <c r="H704" s="269"/>
      <c r="I704" s="269"/>
      <c r="J704" s="269"/>
      <c r="K704" s="269"/>
    </row>
    <row r="705" spans="1:11" ht="13">
      <c r="A705" s="260"/>
      <c r="B705" s="260"/>
      <c r="C705" s="260"/>
      <c r="D705" s="1881"/>
      <c r="E705" s="1881"/>
      <c r="F705" s="1881"/>
      <c r="G705" s="57"/>
      <c r="H705" s="269"/>
      <c r="I705" s="269"/>
      <c r="J705" s="269"/>
      <c r="K705" s="269"/>
    </row>
    <row r="706" spans="1:11" ht="13">
      <c r="A706" s="260"/>
      <c r="B706" s="260"/>
      <c r="C706" s="260"/>
      <c r="D706" s="1881"/>
      <c r="E706" s="1881"/>
      <c r="F706" s="1881"/>
      <c r="G706" s="57"/>
      <c r="H706" s="269"/>
      <c r="I706" s="269"/>
      <c r="J706" s="269"/>
      <c r="K706" s="269"/>
    </row>
    <row r="707" spans="1:11" ht="13">
      <c r="A707" s="260"/>
      <c r="B707" s="260"/>
      <c r="C707" s="260"/>
      <c r="D707" s="130"/>
      <c r="G707" s="57"/>
      <c r="H707" s="269"/>
      <c r="I707" s="269"/>
      <c r="J707" s="269"/>
      <c r="K707" s="269"/>
    </row>
    <row r="708" spans="1:11" ht="13">
      <c r="A708" s="260"/>
      <c r="B708" s="679" t="s">
        <v>316</v>
      </c>
      <c r="C708" s="260"/>
      <c r="D708" s="1881" t="s">
        <v>1218</v>
      </c>
      <c r="E708" s="1881"/>
      <c r="F708" s="1881"/>
      <c r="G708" s="57"/>
      <c r="H708" s="269"/>
      <c r="I708" s="269"/>
      <c r="J708" s="269"/>
      <c r="K708" s="269"/>
    </row>
    <row r="709" spans="1:11" ht="13">
      <c r="A709" s="260"/>
      <c r="B709" s="260"/>
      <c r="C709" s="260"/>
      <c r="D709" s="1881"/>
      <c r="E709" s="1881"/>
      <c r="F709" s="1881"/>
      <c r="G709" s="57"/>
      <c r="H709" s="269"/>
      <c r="I709" s="269"/>
      <c r="J709" s="269"/>
      <c r="K709" s="269"/>
    </row>
    <row r="710" spans="1:11" ht="13">
      <c r="A710" s="260"/>
      <c r="B710" s="260"/>
      <c r="C710" s="260"/>
      <c r="D710" s="1881"/>
      <c r="E710" s="1881"/>
      <c r="F710" s="1881"/>
      <c r="G710" s="57"/>
      <c r="H710" s="269"/>
      <c r="I710" s="269"/>
      <c r="J710" s="269"/>
      <c r="K710" s="269"/>
    </row>
    <row r="711" spans="1:11" ht="13">
      <c r="A711" s="260"/>
      <c r="B711" s="260"/>
      <c r="C711" s="260"/>
      <c r="D711" s="12"/>
      <c r="G711" s="57"/>
      <c r="H711" s="269"/>
      <c r="I711" s="269"/>
      <c r="J711" s="269"/>
      <c r="K711" s="269"/>
    </row>
    <row r="712" spans="1:11" ht="13">
      <c r="A712" s="261"/>
      <c r="B712" s="679" t="s">
        <v>316</v>
      </c>
      <c r="C712" s="260"/>
      <c r="D712" s="1858" t="s">
        <v>1219</v>
      </c>
      <c r="E712" s="1858"/>
      <c r="F712" s="1858"/>
      <c r="G712" s="57"/>
      <c r="H712" s="269"/>
      <c r="I712" s="269"/>
      <c r="J712" s="269"/>
      <c r="K712" s="269"/>
    </row>
    <row r="713" spans="1:11" ht="13">
      <c r="A713" s="260"/>
      <c r="B713" s="260"/>
      <c r="C713" s="260"/>
      <c r="D713" s="1858"/>
      <c r="E713" s="1858"/>
      <c r="F713" s="1858"/>
      <c r="G713" s="57"/>
      <c r="H713" s="269"/>
      <c r="I713" s="269"/>
      <c r="J713" s="269"/>
      <c r="K713" s="269"/>
    </row>
    <row r="714" spans="1:11" ht="13">
      <c r="A714" s="260"/>
      <c r="B714" s="260"/>
      <c r="C714" s="260"/>
      <c r="D714" s="1858"/>
      <c r="E714" s="1858"/>
      <c r="F714" s="1858"/>
      <c r="G714" s="57"/>
      <c r="H714" s="269"/>
      <c r="I714" s="269"/>
      <c r="J714" s="269"/>
      <c r="K714" s="269"/>
    </row>
    <row r="715" spans="1:11" ht="13">
      <c r="A715" s="260"/>
      <c r="B715" s="260"/>
      <c r="C715" s="260"/>
      <c r="D715" s="1858"/>
      <c r="E715" s="1858"/>
      <c r="F715" s="1858"/>
      <c r="G715" s="57"/>
      <c r="H715" s="269"/>
      <c r="I715" s="269"/>
      <c r="J715" s="269"/>
      <c r="K715" s="269"/>
    </row>
    <row r="716" spans="1:11" ht="13">
      <c r="A716" s="260"/>
      <c r="B716" s="260"/>
      <c r="C716" s="260"/>
      <c r="D716" s="263"/>
      <c r="G716" s="57"/>
      <c r="H716" s="269"/>
      <c r="I716" s="269"/>
      <c r="J716" s="269"/>
      <c r="K716" s="269"/>
    </row>
    <row r="717" spans="1:11" ht="13">
      <c r="A717" s="261"/>
      <c r="B717" s="679" t="s">
        <v>316</v>
      </c>
      <c r="C717" s="260"/>
      <c r="D717" s="1881" t="s">
        <v>1352</v>
      </c>
      <c r="E717" s="1881"/>
      <c r="F717" s="1881"/>
      <c r="G717" s="57"/>
      <c r="H717" s="269"/>
      <c r="I717" s="269"/>
      <c r="J717" s="269"/>
      <c r="K717" s="269"/>
    </row>
    <row r="718" spans="1:11" ht="13">
      <c r="A718" s="260"/>
      <c r="B718" s="260"/>
      <c r="C718" s="260"/>
      <c r="D718" s="1881"/>
      <c r="E718" s="1881"/>
      <c r="F718" s="1881"/>
      <c r="G718" s="57"/>
      <c r="H718" s="269"/>
      <c r="I718" s="269"/>
      <c r="J718" s="269"/>
      <c r="K718" s="269"/>
    </row>
    <row r="719" spans="1:11" ht="13">
      <c r="A719" s="260"/>
      <c r="B719" s="260"/>
      <c r="C719" s="260"/>
      <c r="D719" s="1881"/>
      <c r="E719" s="1881"/>
      <c r="F719" s="1881"/>
      <c r="G719" s="57"/>
      <c r="H719" s="269"/>
      <c r="I719" s="269"/>
      <c r="J719" s="269"/>
      <c r="K719" s="269"/>
    </row>
    <row r="720" spans="1:11" ht="13">
      <c r="A720" s="260"/>
      <c r="B720" s="260"/>
      <c r="C720" s="260"/>
      <c r="D720" s="1881"/>
      <c r="E720" s="1881"/>
      <c r="F720" s="1881"/>
      <c r="G720" s="57"/>
      <c r="H720" s="269"/>
      <c r="I720" s="269"/>
      <c r="J720" s="269"/>
      <c r="K720" s="269"/>
    </row>
    <row r="721" spans="1:11" ht="13">
      <c r="A721" s="260"/>
      <c r="B721" s="260"/>
      <c r="C721" s="260"/>
      <c r="D721" s="1881"/>
      <c r="E721" s="1881"/>
      <c r="F721" s="1881"/>
      <c r="G721" s="57"/>
      <c r="H721" s="269"/>
      <c r="I721" s="269"/>
      <c r="J721" s="269"/>
      <c r="K721" s="269"/>
    </row>
    <row r="722" spans="1:11" ht="13">
      <c r="A722" s="260"/>
      <c r="B722" s="260"/>
      <c r="C722" s="260"/>
      <c r="D722" s="1881"/>
      <c r="E722" s="1881"/>
      <c r="F722" s="1881"/>
      <c r="G722" s="57"/>
      <c r="H722" s="269"/>
      <c r="I722" s="269"/>
      <c r="J722" s="269"/>
      <c r="K722" s="269"/>
    </row>
    <row r="723" spans="1:11" ht="13">
      <c r="A723" s="260"/>
      <c r="B723" s="260"/>
      <c r="C723" s="260"/>
      <c r="D723" s="1881"/>
      <c r="E723" s="1881"/>
      <c r="F723" s="1881"/>
      <c r="G723" s="57"/>
      <c r="H723" s="269"/>
      <c r="I723" s="269"/>
      <c r="J723" s="269"/>
      <c r="K723" s="269"/>
    </row>
    <row r="724" spans="1:11" ht="13">
      <c r="A724" s="260"/>
      <c r="B724" s="260"/>
      <c r="C724" s="260"/>
      <c r="D724" s="1892" t="s">
        <v>1220</v>
      </c>
      <c r="E724" s="1892"/>
      <c r="F724" s="1892"/>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885" t="s">
        <v>1177</v>
      </c>
      <c r="B726" s="1885"/>
      <c r="C726" s="1885"/>
      <c r="D726" s="1885"/>
      <c r="E726" s="1885"/>
      <c r="F726" s="1885"/>
      <c r="G726" s="1885"/>
      <c r="H726" s="269"/>
      <c r="I726" s="269"/>
      <c r="J726" s="269"/>
      <c r="K726" s="269"/>
    </row>
    <row r="727" spans="1:11" ht="13">
      <c r="A727" s="260"/>
      <c r="B727" s="260"/>
      <c r="C727" s="260"/>
      <c r="D727" s="263"/>
      <c r="G727" s="271"/>
      <c r="H727" s="269"/>
      <c r="I727" s="269"/>
      <c r="J727" s="269"/>
      <c r="K727" s="269"/>
    </row>
    <row r="728" spans="1:11" ht="13.15" customHeight="1">
      <c r="C728" s="260"/>
      <c r="D728" s="1900" t="s">
        <v>1193</v>
      </c>
      <c r="E728" s="1900"/>
      <c r="F728" s="1900"/>
      <c r="G728" s="271"/>
      <c r="H728" s="269"/>
      <c r="I728" s="269"/>
      <c r="J728" s="269"/>
      <c r="K728" s="269"/>
    </row>
    <row r="729" spans="1:11" ht="13">
      <c r="A729" s="260"/>
      <c r="B729" s="260"/>
      <c r="C729" s="260"/>
      <c r="D729" s="1887" t="s">
        <v>1194</v>
      </c>
      <c r="E729" s="1887"/>
      <c r="F729" s="1887"/>
      <c r="G729" s="271"/>
      <c r="H729" s="269"/>
      <c r="I729" s="269"/>
      <c r="J729" s="269"/>
      <c r="K729" s="269"/>
    </row>
    <row r="730" spans="1:11" ht="13">
      <c r="A730" s="260"/>
      <c r="B730" s="260"/>
      <c r="C730" s="260"/>
      <c r="G730" s="271"/>
      <c r="H730" s="269"/>
      <c r="I730" s="269"/>
      <c r="J730" s="269"/>
      <c r="K730" s="269"/>
    </row>
    <row r="731" spans="1:11" s="39" customFormat="1" ht="13">
      <c r="A731" s="261"/>
      <c r="B731" s="679" t="s">
        <v>316</v>
      </c>
      <c r="C731" s="132"/>
      <c r="D731" s="1858" t="s">
        <v>1195</v>
      </c>
      <c r="E731" s="1858"/>
      <c r="F731" s="1858"/>
      <c r="G731" s="271"/>
      <c r="H731" s="272"/>
      <c r="I731" s="272"/>
      <c r="J731" s="272"/>
      <c r="K731" s="272"/>
    </row>
    <row r="732" spans="1:11" s="39" customFormat="1" ht="10.5" customHeight="1">
      <c r="A732" s="132"/>
      <c r="B732" s="676"/>
      <c r="C732" s="132"/>
      <c r="D732" s="1858"/>
      <c r="E732" s="1858"/>
      <c r="F732" s="1858"/>
      <c r="G732" s="271"/>
      <c r="H732" s="272"/>
      <c r="I732" s="272"/>
      <c r="J732" s="272"/>
      <c r="K732" s="272"/>
    </row>
    <row r="733" spans="1:11" s="39" customFormat="1">
      <c r="A733" s="132"/>
      <c r="B733" s="676"/>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65" customHeight="1">
      <c r="A736" s="273"/>
      <c r="B736" s="273"/>
      <c r="C736" s="273"/>
      <c r="D736" s="1858"/>
      <c r="E736" s="1858"/>
      <c r="F736" s="1858"/>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316</v>
      </c>
      <c r="C738" s="408"/>
      <c r="D738" s="1860" t="s">
        <v>1196</v>
      </c>
      <c r="E738" s="1860"/>
      <c r="F738" s="1860"/>
      <c r="G738" s="311"/>
    </row>
    <row r="739" spans="1:11" s="409" customFormat="1">
      <c r="A739" s="408"/>
      <c r="B739" s="408"/>
      <c r="C739" s="408"/>
      <c r="D739" s="1860"/>
      <c r="E739" s="1860"/>
      <c r="F739" s="1860"/>
      <c r="G739" s="311"/>
    </row>
    <row r="740" spans="1:11" s="409" customFormat="1">
      <c r="A740" s="408"/>
      <c r="B740" s="408"/>
      <c r="C740" s="408"/>
      <c r="D740" s="1860"/>
      <c r="E740" s="1860"/>
      <c r="F740" s="1860"/>
      <c r="G740" s="311"/>
    </row>
    <row r="741" spans="1:11" s="409" customFormat="1">
      <c r="A741" s="408"/>
      <c r="B741" s="408"/>
      <c r="C741" s="408"/>
      <c r="D741" s="1860"/>
      <c r="E741" s="1860"/>
      <c r="F741" s="1860"/>
      <c r="G741" s="311"/>
    </row>
    <row r="742" spans="1:11" s="409" customFormat="1">
      <c r="A742" s="408"/>
      <c r="B742" s="408"/>
      <c r="C742" s="408"/>
      <c r="D742" s="377"/>
      <c r="E742" s="311"/>
      <c r="F742" s="311"/>
      <c r="G742" s="311"/>
    </row>
    <row r="743" spans="1:11" s="409" customFormat="1" ht="13">
      <c r="A743" s="261"/>
      <c r="B743" s="679" t="s">
        <v>316</v>
      </c>
      <c r="C743" s="408"/>
      <c r="D743" s="1901" t="s">
        <v>1197</v>
      </c>
      <c r="E743" s="1901"/>
      <c r="F743" s="1901"/>
      <c r="G743" s="311"/>
    </row>
    <row r="744" spans="1:11" s="409" customFormat="1">
      <c r="A744" s="408"/>
      <c r="B744" s="408"/>
      <c r="C744" s="408"/>
      <c r="D744" s="1901"/>
      <c r="E744" s="1901"/>
      <c r="F744" s="1901"/>
      <c r="G744" s="311"/>
    </row>
    <row r="745" spans="1:11" s="409" customFormat="1">
      <c r="A745" s="408"/>
      <c r="B745" s="408"/>
      <c r="C745" s="408"/>
      <c r="D745" s="1901"/>
      <c r="E745" s="1901"/>
      <c r="F745" s="1901"/>
      <c r="G745" s="311"/>
    </row>
    <row r="746" spans="1:11">
      <c r="A746" s="273"/>
      <c r="B746" s="273"/>
      <c r="C746" s="273"/>
      <c r="D746" s="377"/>
      <c r="E746" s="274"/>
      <c r="F746" s="274"/>
      <c r="G746" s="275"/>
      <c r="H746" s="269"/>
      <c r="I746" s="269"/>
      <c r="J746" s="269"/>
      <c r="K746" s="269"/>
    </row>
    <row r="747" spans="1:11" ht="13">
      <c r="A747" s="261"/>
      <c r="B747" s="679" t="s">
        <v>316</v>
      </c>
      <c r="C747" s="273"/>
      <c r="D747" s="1860" t="s">
        <v>1198</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0" t="s">
        <v>1199</v>
      </c>
      <c r="E750" s="1860"/>
      <c r="F750" s="1860"/>
      <c r="G750" s="275"/>
      <c r="H750" s="269"/>
      <c r="I750" s="269"/>
      <c r="J750" s="269"/>
      <c r="K750" s="269"/>
    </row>
    <row r="751" spans="1:11" s="682" customFormat="1">
      <c r="A751" s="273"/>
      <c r="B751" s="273"/>
      <c r="C751" s="273"/>
      <c r="D751" s="1860"/>
      <c r="E751" s="1860"/>
      <c r="F751" s="1860"/>
      <c r="G751" s="275"/>
      <c r="H751" s="269"/>
      <c r="I751" s="269"/>
      <c r="J751" s="269"/>
      <c r="K751" s="269"/>
    </row>
    <row r="752" spans="1:11" s="682" customFormat="1">
      <c r="A752" s="273"/>
      <c r="B752" s="273"/>
      <c r="C752" s="273"/>
      <c r="D752" s="1860"/>
      <c r="E752" s="1860"/>
      <c r="F752" s="1860"/>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895" t="s">
        <v>1200</v>
      </c>
      <c r="B754" s="1895"/>
      <c r="C754" s="1895"/>
      <c r="D754" s="1895"/>
      <c r="E754" s="1895"/>
      <c r="F754" s="1895"/>
      <c r="G754" s="1895"/>
    </row>
    <row r="755" spans="1:11" ht="13">
      <c r="A755" s="260"/>
      <c r="B755" s="260"/>
      <c r="C755" s="260"/>
      <c r="D755" s="276"/>
      <c r="F755" s="147"/>
      <c r="G755" s="271"/>
    </row>
    <row r="756" spans="1:11" ht="13">
      <c r="A756" s="273"/>
      <c r="B756" s="273"/>
      <c r="C756" s="442"/>
      <c r="D756" s="1896" t="s">
        <v>1184</v>
      </c>
      <c r="E756" s="1896"/>
      <c r="F756" s="1896"/>
      <c r="G756" s="271"/>
    </row>
    <row r="757" spans="1:11">
      <c r="A757" s="503"/>
      <c r="B757" s="503"/>
      <c r="C757" s="502"/>
      <c r="D757" s="1897" t="s">
        <v>1201</v>
      </c>
      <c r="E757" s="1897"/>
      <c r="F757" s="1897"/>
      <c r="G757" s="271"/>
    </row>
    <row r="758" spans="1:11">
      <c r="A758" s="273"/>
      <c r="B758" s="273"/>
      <c r="C758" s="442"/>
      <c r="D758" s="693"/>
      <c r="E758" s="693"/>
      <c r="F758" s="693"/>
      <c r="G758" s="271"/>
    </row>
    <row r="759" spans="1:11" ht="13">
      <c r="A759" s="261"/>
      <c r="B759" s="679" t="s">
        <v>316</v>
      </c>
      <c r="C759" s="442"/>
      <c r="D759" s="1898" t="s">
        <v>1069</v>
      </c>
      <c r="E759" s="1898"/>
      <c r="F759" s="1898"/>
      <c r="G759" s="271"/>
    </row>
    <row r="760" spans="1:11" ht="13">
      <c r="A760" s="273"/>
      <c r="B760" s="273"/>
      <c r="C760" s="442"/>
      <c r="D760" s="692"/>
      <c r="E760" s="1899" t="s">
        <v>1185</v>
      </c>
      <c r="F760" s="1899"/>
      <c r="G760" s="271"/>
    </row>
    <row r="761" spans="1:11" ht="13">
      <c r="A761" s="267"/>
      <c r="B761" s="267"/>
      <c r="C761" s="267"/>
      <c r="D761" s="135"/>
      <c r="F761" s="57"/>
      <c r="G761" s="271"/>
    </row>
    <row r="762" spans="1:11" ht="13">
      <c r="A762" s="1893" t="s">
        <v>470</v>
      </c>
      <c r="B762" s="1893"/>
      <c r="C762" s="1893"/>
      <c r="D762" s="1893"/>
      <c r="E762" s="1893"/>
      <c r="F762" s="1893"/>
      <c r="G762" s="1893"/>
    </row>
    <row r="763" spans="1:11" ht="13">
      <c r="A763" s="255"/>
      <c r="B763" s="673"/>
      <c r="C763" s="266"/>
      <c r="D763" s="271"/>
      <c r="E763" s="271"/>
      <c r="F763" s="271"/>
      <c r="G763" s="271"/>
    </row>
    <row r="764" spans="1:11">
      <c r="A764" s="135"/>
      <c r="B764" s="1894" t="s">
        <v>1068</v>
      </c>
      <c r="C764" s="1894"/>
      <c r="D764" s="1894"/>
      <c r="E764" s="1894"/>
      <c r="F764" s="1894"/>
      <c r="G764" s="271"/>
    </row>
    <row r="765" spans="1:11" ht="13">
      <c r="A765" s="23"/>
      <c r="B765" s="675"/>
      <c r="G765" s="271"/>
    </row>
    <row r="766" spans="1:11" ht="13">
      <c r="A766" s="1893" t="s">
        <v>471</v>
      </c>
      <c r="B766" s="1893"/>
      <c r="C766" s="1893"/>
      <c r="D766" s="1893"/>
      <c r="E766" s="1893"/>
      <c r="F766" s="1893"/>
      <c r="G766" s="1893"/>
    </row>
    <row r="767" spans="1:11" ht="13">
      <c r="A767" s="255"/>
      <c r="B767" s="673"/>
      <c r="C767" s="255"/>
      <c r="D767" s="263"/>
      <c r="G767" s="271"/>
    </row>
    <row r="768" spans="1:11">
      <c r="A768" s="135"/>
      <c r="B768" s="1890" t="s">
        <v>469</v>
      </c>
      <c r="C768" s="1890"/>
      <c r="D768" s="1890"/>
      <c r="E768" s="1890"/>
      <c r="F768" s="1890"/>
      <c r="G768" s="271"/>
    </row>
    <row r="769" spans="1:7" ht="13">
      <c r="A769" s="261"/>
      <c r="B769" s="261"/>
      <c r="D769" s="135"/>
      <c r="E769" s="135"/>
      <c r="F769" s="271"/>
      <c r="G769" s="271"/>
    </row>
    <row r="770" spans="1:7" ht="13">
      <c r="A770" s="1893" t="s">
        <v>472</v>
      </c>
      <c r="B770" s="1893"/>
      <c r="C770" s="1893"/>
      <c r="D770" s="1893"/>
      <c r="E770" s="1893"/>
      <c r="F770" s="1893"/>
      <c r="G770" s="1893"/>
    </row>
    <row r="771" spans="1:7" ht="13">
      <c r="C771" s="260"/>
      <c r="D771" s="259"/>
      <c r="E771" s="135"/>
      <c r="F771" s="271"/>
      <c r="G771" s="271"/>
    </row>
    <row r="772" spans="1:7">
      <c r="A772" s="135"/>
      <c r="B772" s="1890" t="s">
        <v>469</v>
      </c>
      <c r="C772" s="1890"/>
      <c r="D772" s="1890"/>
      <c r="E772" s="1890"/>
      <c r="F772" s="1890"/>
      <c r="G772" s="271"/>
    </row>
    <row r="773" spans="1:7">
      <c r="A773" s="135"/>
      <c r="B773" s="135"/>
      <c r="C773" s="266"/>
      <c r="D773" s="271"/>
      <c r="E773" s="271"/>
      <c r="F773" s="271"/>
      <c r="G773" s="271"/>
    </row>
    <row r="774" spans="1:7" ht="13">
      <c r="A774" s="1893" t="s">
        <v>473</v>
      </c>
      <c r="B774" s="1893"/>
      <c r="C774" s="1893"/>
      <c r="D774" s="1893"/>
      <c r="E774" s="1893"/>
      <c r="F774" s="1893"/>
      <c r="G774" s="1893"/>
    </row>
    <row r="775" spans="1:7">
      <c r="A775" s="135"/>
      <c r="B775" s="135"/>
    </row>
    <row r="776" spans="1:7">
      <c r="A776" s="135"/>
      <c r="B776" s="1890" t="s">
        <v>469</v>
      </c>
      <c r="C776" s="1890"/>
      <c r="D776" s="1890"/>
      <c r="E776" s="1890"/>
      <c r="F776" s="1890"/>
    </row>
    <row r="777" spans="1:7" ht="13">
      <c r="A777" s="266"/>
      <c r="B777" s="266"/>
      <c r="C777" s="266"/>
      <c r="D777" s="258"/>
      <c r="F777" s="271"/>
    </row>
    <row r="778" spans="1:7" ht="13">
      <c r="A778" s="1893" t="s">
        <v>474</v>
      </c>
      <c r="B778" s="1893"/>
      <c r="C778" s="1893"/>
      <c r="D778" s="1893"/>
      <c r="E778" s="1893"/>
      <c r="F778" s="1893"/>
      <c r="G778" s="1893"/>
    </row>
    <row r="779" spans="1:7">
      <c r="A779" s="135"/>
      <c r="B779" s="135"/>
    </row>
    <row r="780" spans="1:7">
      <c r="A780" s="135"/>
      <c r="B780" s="1890" t="s">
        <v>469</v>
      </c>
      <c r="C780" s="1890"/>
      <c r="D780" s="1890"/>
      <c r="E780" s="1890"/>
      <c r="F780" s="1890"/>
    </row>
    <row r="781" spans="1:7" ht="13">
      <c r="A781" s="266"/>
      <c r="B781" s="266"/>
      <c r="C781" s="266"/>
      <c r="D781" s="258"/>
      <c r="F781" s="271"/>
    </row>
    <row r="782" spans="1:7" ht="13">
      <c r="A782" s="1893" t="s">
        <v>475</v>
      </c>
      <c r="B782" s="1893"/>
      <c r="C782" s="1893"/>
      <c r="D782" s="1893"/>
      <c r="E782" s="1893"/>
      <c r="F782" s="1893"/>
      <c r="G782" s="1893"/>
    </row>
    <row r="783" spans="1:7">
      <c r="A783" s="135"/>
      <c r="B783" s="135"/>
    </row>
    <row r="784" spans="1:7">
      <c r="A784" s="135"/>
      <c r="B784" s="1890" t="s">
        <v>469</v>
      </c>
      <c r="C784" s="1890"/>
      <c r="D784" s="1890"/>
      <c r="E784" s="1890"/>
      <c r="F784" s="1890"/>
    </row>
    <row r="785" spans="1:7" ht="13">
      <c r="A785" s="265"/>
      <c r="B785" s="265"/>
      <c r="C785" s="265"/>
      <c r="D785" s="277"/>
      <c r="E785" s="57"/>
      <c r="F785" s="57"/>
      <c r="G785" s="57"/>
    </row>
    <row r="786" spans="1:7" ht="13">
      <c r="A786" s="1893" t="s">
        <v>192</v>
      </c>
      <c r="B786" s="1893"/>
      <c r="C786" s="1893"/>
      <c r="D786" s="1893"/>
      <c r="E786" s="1893"/>
      <c r="F786" s="1893"/>
      <c r="G786" s="1893"/>
    </row>
    <row r="787" spans="1:7">
      <c r="A787" s="135"/>
      <c r="B787" s="135"/>
    </row>
    <row r="788" spans="1:7">
      <c r="A788" s="135"/>
      <c r="B788" s="1890" t="s">
        <v>469</v>
      </c>
      <c r="C788" s="1890"/>
      <c r="D788" s="1890"/>
      <c r="E788" s="1890"/>
      <c r="F788" s="1890"/>
    </row>
    <row r="789" spans="1:7" ht="13">
      <c r="A789" s="135"/>
      <c r="B789" s="135"/>
      <c r="D789" s="258"/>
    </row>
    <row r="790" spans="1:7" ht="13">
      <c r="A790" s="1893" t="s">
        <v>937</v>
      </c>
      <c r="B790" s="1893"/>
      <c r="C790" s="1893"/>
      <c r="D790" s="1893"/>
      <c r="E790" s="1893"/>
      <c r="F790" s="1893"/>
      <c r="G790" s="1893"/>
    </row>
    <row r="791" spans="1:7">
      <c r="A791" s="135"/>
      <c r="B791" s="135"/>
    </row>
    <row r="792" spans="1:7">
      <c r="A792" s="135"/>
      <c r="B792" s="1890" t="s">
        <v>469</v>
      </c>
      <c r="C792" s="1890"/>
      <c r="D792" s="1890"/>
      <c r="E792" s="1890"/>
      <c r="F792" s="1890"/>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5">
      <c r="A2" s="1940" t="s">
        <v>2400</v>
      </c>
      <c r="B2" s="1941"/>
      <c r="C2" s="1941"/>
      <c r="D2" s="1941"/>
      <c r="E2" s="1941"/>
      <c r="F2" s="1941"/>
      <c r="G2" s="1941"/>
      <c r="H2" s="1941"/>
      <c r="I2" s="1941"/>
      <c r="J2" s="1941"/>
    </row>
    <row r="3" spans="1:10" ht="15.5">
      <c r="A3" s="1945" t="s">
        <v>1500</v>
      </c>
      <c r="B3" s="1946"/>
      <c r="C3" s="1946"/>
      <c r="D3" s="1946"/>
      <c r="E3" s="1946"/>
      <c r="F3" s="1946"/>
      <c r="G3" s="1946"/>
      <c r="H3" s="1946"/>
      <c r="I3" s="1946"/>
      <c r="J3" s="1946"/>
    </row>
    <row r="4" spans="1:10" ht="12.5"/>
    <row r="5" spans="1:10" ht="12.75" customHeight="1">
      <c r="A5" s="1942" t="s">
        <v>2403</v>
      </c>
      <c r="B5" s="1942"/>
      <c r="C5" s="1942"/>
      <c r="D5" s="1942"/>
      <c r="E5" s="1942"/>
      <c r="F5" s="1942"/>
      <c r="G5" s="1942"/>
      <c r="H5" s="1942"/>
      <c r="I5" s="1942"/>
      <c r="J5" s="1942"/>
    </row>
    <row r="6" spans="1:10" ht="12.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5"/>
    <row r="11" spans="1:10" ht="12.75" customHeight="1">
      <c r="A11" s="1947" t="s">
        <v>2406</v>
      </c>
      <c r="B11" s="1947"/>
      <c r="C11" s="1947"/>
      <c r="D11" s="1947"/>
      <c r="E11" s="1947"/>
      <c r="F11" s="1947"/>
      <c r="G11" s="1947"/>
      <c r="H11" s="1947"/>
      <c r="I11" s="1947"/>
      <c r="J11" s="1947"/>
    </row>
    <row r="12" spans="1:10" ht="12.5">
      <c r="A12" s="1947"/>
      <c r="B12" s="1947"/>
      <c r="C12" s="1947"/>
      <c r="D12" s="1947"/>
      <c r="E12" s="1947"/>
      <c r="F12" s="1947"/>
      <c r="G12" s="1947"/>
      <c r="H12" s="1947"/>
      <c r="I12" s="1947"/>
      <c r="J12" s="1947"/>
    </row>
    <row r="13" spans="1:10" s="1769" customFormat="1" ht="12.5">
      <c r="A13" s="1947"/>
      <c r="B13" s="1947"/>
      <c r="C13" s="1947"/>
      <c r="D13" s="1947"/>
      <c r="E13" s="1947"/>
      <c r="F13" s="1947"/>
      <c r="G13" s="1947"/>
      <c r="H13" s="1947"/>
      <c r="I13" s="1947"/>
      <c r="J13" s="1947"/>
    </row>
    <row r="14" spans="1:10" ht="12.5">
      <c r="A14" s="1948"/>
      <c r="B14" s="1948"/>
      <c r="C14" s="1948"/>
      <c r="D14" s="1948"/>
      <c r="E14" s="1948"/>
      <c r="F14" s="1948"/>
      <c r="G14" s="1948"/>
      <c r="H14" s="1948"/>
      <c r="I14" s="1948"/>
      <c r="J14" s="1948"/>
    </row>
    <row r="15" spans="1:10" ht="12.5">
      <c r="A15" s="1948"/>
      <c r="B15" s="1948"/>
      <c r="C15" s="1948"/>
      <c r="D15" s="1948"/>
      <c r="E15" s="1948"/>
      <c r="F15" s="1948"/>
      <c r="G15" s="1948"/>
      <c r="H15" s="1948"/>
      <c r="I15" s="1948"/>
      <c r="J15" s="1948"/>
    </row>
    <row r="16" spans="1:10" ht="12.5">
      <c r="A16" s="1948"/>
      <c r="B16" s="1948"/>
      <c r="C16" s="1948"/>
      <c r="D16" s="1948"/>
      <c r="E16" s="1948"/>
      <c r="F16" s="1948"/>
      <c r="G16" s="1948"/>
      <c r="H16" s="1948"/>
      <c r="I16" s="1948"/>
      <c r="J16" s="1948"/>
    </row>
    <row r="17" spans="1:10" s="1769" customFormat="1" ht="12.5">
      <c r="A17" s="1832"/>
      <c r="B17" s="1832"/>
      <c r="C17" s="1832"/>
      <c r="D17" s="1832"/>
      <c r="E17" s="1832"/>
      <c r="F17" s="1832"/>
      <c r="G17" s="1832"/>
      <c r="H17" s="1832"/>
      <c r="I17" s="1832"/>
      <c r="J17" s="1832"/>
    </row>
    <row r="18" spans="1:10" ht="12.5">
      <c r="A18" s="773" t="s">
        <v>2405</v>
      </c>
      <c r="B18" s="772"/>
      <c r="C18" s="772"/>
      <c r="D18" s="772"/>
      <c r="E18" s="772"/>
      <c r="F18" s="772"/>
      <c r="G18" s="772"/>
      <c r="H18" s="772"/>
      <c r="I18" s="772"/>
      <c r="J18" s="772"/>
    </row>
    <row r="19" spans="1:10" ht="12.5">
      <c r="A19" s="774" t="s">
        <v>256</v>
      </c>
      <c r="B19" s="774"/>
      <c r="C19" s="774"/>
      <c r="D19" s="774"/>
      <c r="E19" s="774"/>
      <c r="F19" s="774"/>
      <c r="G19" s="774"/>
      <c r="H19" s="774"/>
      <c r="I19" s="774"/>
      <c r="J19" s="774"/>
    </row>
    <row r="20" spans="1:10" ht="12.5">
      <c r="A20" s="1949" t="s">
        <v>1390</v>
      </c>
      <c r="B20" s="1946"/>
      <c r="C20" s="1946"/>
      <c r="D20" s="1946"/>
      <c r="E20" s="1946"/>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42" t="s">
        <v>1391</v>
      </c>
      <c r="B57" s="1943"/>
      <c r="C57" s="1943"/>
      <c r="D57" s="1943"/>
      <c r="E57" s="1943"/>
      <c r="F57" s="1943"/>
      <c r="G57" s="1943"/>
      <c r="H57" s="1943"/>
      <c r="I57" s="1943"/>
      <c r="J57" s="1943"/>
    </row>
    <row r="58" spans="1:10" ht="12.5">
      <c r="A58" s="1943"/>
      <c r="B58" s="1943"/>
      <c r="C58" s="1943"/>
      <c r="D58" s="1943"/>
      <c r="E58" s="1943"/>
      <c r="F58" s="1943"/>
      <c r="G58" s="1943"/>
      <c r="H58" s="1943"/>
      <c r="I58" s="1943"/>
      <c r="J58" s="1943"/>
    </row>
    <row r="59" spans="1:10" ht="12.5">
      <c r="A59" s="1943"/>
      <c r="B59" s="1943"/>
      <c r="C59" s="1943"/>
      <c r="D59" s="1943"/>
      <c r="E59" s="1943"/>
      <c r="F59" s="1943"/>
      <c r="G59" s="1943"/>
      <c r="H59" s="1943"/>
      <c r="I59" s="1943"/>
      <c r="J59" s="1943"/>
    </row>
    <row r="60" spans="1:10" ht="12.5"/>
    <row r="61" spans="1:10" ht="12.5">
      <c r="A61" s="672" t="s">
        <v>1390</v>
      </c>
    </row>
    <row r="62" spans="1:10" ht="12.5"/>
    <row r="63" spans="1:10" ht="12.5"/>
    <row r="64" spans="1:10" ht="12.5"/>
    <row r="65" spans="1:9" ht="12.5"/>
    <row r="66" spans="1:9" ht="12.5"/>
    <row r="67" spans="1:9" ht="12.5"/>
    <row r="68" spans="1:9" ht="12.5"/>
    <row r="69" spans="1:9" ht="12.5"/>
    <row r="70" spans="1:9" ht="12.5"/>
    <row r="71" spans="1:9" ht="12.5"/>
    <row r="72" spans="1:9" ht="13">
      <c r="A72" s="1944" t="s">
        <v>2401</v>
      </c>
      <c r="B72" s="1944"/>
      <c r="C72" s="1944"/>
      <c r="D72" s="1944"/>
      <c r="E72" s="1944"/>
      <c r="F72" s="1944"/>
      <c r="G72" s="1944"/>
      <c r="H72" s="1944"/>
      <c r="I72" s="1944"/>
    </row>
    <row r="73" spans="1:9" ht="12.5">
      <c r="A73" s="1866" t="s">
        <v>1093</v>
      </c>
      <c r="B73" s="1866"/>
      <c r="C73" s="1866"/>
      <c r="D73" s="1866"/>
      <c r="E73" s="1866"/>
    </row>
    <row r="74" spans="1:9" ht="12.5">
      <c r="A74" s="1866" t="s">
        <v>1392</v>
      </c>
      <c r="B74" s="1866"/>
      <c r="C74" s="1866"/>
      <c r="D74" s="1866"/>
      <c r="E74" s="1866"/>
    </row>
    <row r="75" spans="1:9" ht="12.5">
      <c r="A75" s="1866" t="s">
        <v>2402</v>
      </c>
      <c r="B75" s="1866"/>
      <c r="C75" s="1866"/>
      <c r="D75" s="1866"/>
      <c r="E75" s="1866"/>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274" zoomScaleNormal="100" zoomScaleSheetLayoutView="100" workbookViewId="0">
      <selection activeCell="D174" sqref="D174:F176"/>
    </sheetView>
  </sheetViews>
  <sheetFormatPr defaultColWidth="8.81640625" defaultRowHeight="13"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1950" t="s">
        <v>2241</v>
      </c>
      <c r="B2" s="1950"/>
      <c r="C2" s="1950"/>
      <c r="D2" s="1950"/>
      <c r="E2" s="1950"/>
      <c r="F2" s="1950"/>
      <c r="G2" s="1950"/>
      <c r="H2" s="1950"/>
      <c r="I2" s="1950"/>
    </row>
    <row r="3" spans="1:9">
      <c r="A3" s="1951" t="s">
        <v>2242</v>
      </c>
      <c r="B3" s="1951"/>
      <c r="C3" s="1951"/>
      <c r="D3" s="1951"/>
      <c r="E3" s="1951"/>
      <c r="F3" s="1951"/>
      <c r="G3" s="1951"/>
      <c r="H3" s="1951"/>
      <c r="I3" s="1951"/>
    </row>
    <row r="4" spans="1:9">
      <c r="A4" s="1976"/>
      <c r="B4" s="1976"/>
      <c r="C4" s="1980"/>
      <c r="D4" s="1980"/>
      <c r="E4" s="1980"/>
      <c r="F4" s="1980"/>
      <c r="G4" s="1980"/>
      <c r="I4" s="642"/>
    </row>
    <row r="5" spans="1:9" s="791" customFormat="1">
      <c r="A5" s="1976"/>
      <c r="B5" s="1976"/>
      <c r="C5" s="1977"/>
      <c r="D5" s="1977"/>
      <c r="E5" s="1977"/>
      <c r="F5" s="1977"/>
      <c r="G5" s="1977"/>
      <c r="I5" s="1837"/>
    </row>
    <row r="6" spans="1:9" s="791" customFormat="1">
      <c r="A6" s="1972" t="s">
        <v>1254</v>
      </c>
      <c r="B6" s="1972"/>
      <c r="C6" s="1973"/>
      <c r="D6" s="1973"/>
      <c r="E6" s="1973"/>
      <c r="F6" s="1973"/>
      <c r="G6" s="1973"/>
      <c r="I6" s="1836" t="s">
        <v>2416</v>
      </c>
    </row>
    <row r="7" spans="1:9" s="791" customFormat="1">
      <c r="A7" s="1972" t="s">
        <v>1255</v>
      </c>
      <c r="B7" s="1972"/>
      <c r="C7" s="1973"/>
      <c r="D7" s="1973"/>
      <c r="E7" s="1973"/>
      <c r="F7" s="1973"/>
      <c r="G7" s="1973"/>
      <c r="I7" s="1836" t="s">
        <v>2417</v>
      </c>
    </row>
    <row r="8" spans="1:9">
      <c r="A8" s="792"/>
      <c r="B8" s="792"/>
      <c r="C8" s="793"/>
      <c r="D8" s="793"/>
      <c r="E8" s="793"/>
      <c r="F8" s="793"/>
    </row>
    <row r="9" spans="1:9">
      <c r="A9" s="1914" t="s">
        <v>1257</v>
      </c>
      <c r="B9" s="1914"/>
      <c r="C9" s="1914"/>
      <c r="D9" s="1914"/>
      <c r="E9" s="1914"/>
      <c r="F9" s="1914"/>
      <c r="G9" s="1914"/>
      <c r="H9" s="1853"/>
      <c r="I9" s="1854"/>
    </row>
    <row r="10" spans="1:9">
      <c r="A10" s="793"/>
      <c r="B10" s="793"/>
      <c r="E10" s="794"/>
    </row>
    <row r="11" spans="1:9" ht="13.75" customHeight="1">
      <c r="C11" s="793"/>
      <c r="D11" s="1975" t="s">
        <v>1256</v>
      </c>
      <c r="E11" s="1975"/>
      <c r="F11" s="1975"/>
    </row>
    <row r="12" spans="1:9">
      <c r="C12" s="793"/>
      <c r="D12" s="1975"/>
      <c r="E12" s="1975"/>
      <c r="F12" s="1975"/>
    </row>
    <row r="13" spans="1:9">
      <c r="A13" s="795"/>
      <c r="B13" s="795"/>
      <c r="C13" s="795"/>
      <c r="D13" s="1924" t="s">
        <v>1239</v>
      </c>
      <c r="E13" s="1924"/>
      <c r="F13" s="1924"/>
    </row>
    <row r="14" spans="1:9">
      <c r="A14" s="795"/>
      <c r="B14" s="795"/>
      <c r="C14" s="795"/>
      <c r="D14" s="796"/>
    </row>
    <row r="15" spans="1:9">
      <c r="A15" s="797"/>
      <c r="B15" s="798" t="s">
        <v>2580</v>
      </c>
      <c r="C15" s="799"/>
      <c r="D15" s="1919" t="s">
        <v>1240</v>
      </c>
      <c r="E15" s="1919"/>
      <c r="F15" s="1919"/>
      <c r="I15" s="1774" t="s">
        <v>2418</v>
      </c>
    </row>
    <row r="16" spans="1:9">
      <c r="A16" s="795"/>
      <c r="B16" s="795"/>
      <c r="C16" s="799"/>
      <c r="D16" s="1919"/>
      <c r="E16" s="1919"/>
      <c r="F16" s="1919"/>
    </row>
    <row r="17" spans="1:9">
      <c r="A17" s="795"/>
      <c r="B17" s="795"/>
      <c r="C17" s="799"/>
      <c r="D17" s="1919"/>
      <c r="E17" s="1919"/>
      <c r="F17" s="1919"/>
    </row>
    <row r="18" spans="1:9">
      <c r="A18" s="795"/>
      <c r="B18" s="795"/>
      <c r="C18" s="795"/>
    </row>
    <row r="19" spans="1:9">
      <c r="A19" s="797"/>
      <c r="B19" s="798" t="s">
        <v>2642</v>
      </c>
      <c r="D19" s="1898" t="s">
        <v>1241</v>
      </c>
      <c r="E19" s="1898"/>
      <c r="F19" s="1898"/>
      <c r="I19" s="1774" t="s">
        <v>2419</v>
      </c>
    </row>
    <row r="20" spans="1:9">
      <c r="A20" s="797"/>
      <c r="B20" s="797"/>
      <c r="D20" s="800"/>
    </row>
    <row r="21" spans="1:9">
      <c r="A21" s="797"/>
      <c r="B21" s="798" t="s">
        <v>2580</v>
      </c>
      <c r="D21" s="1919" t="s">
        <v>1242</v>
      </c>
      <c r="E21" s="1919"/>
      <c r="F21" s="1919"/>
      <c r="I21" s="1774" t="s">
        <v>2419</v>
      </c>
    </row>
    <row r="22" spans="1:9">
      <c r="A22" s="797"/>
      <c r="B22" s="797"/>
      <c r="D22" s="1919"/>
      <c r="E22" s="1919"/>
      <c r="F22" s="1919"/>
    </row>
    <row r="23" spans="1:9"/>
    <row r="24" spans="1:9">
      <c r="A24" s="797"/>
      <c r="B24" s="798" t="s">
        <v>2642</v>
      </c>
      <c r="D24" s="1964" t="s">
        <v>1243</v>
      </c>
      <c r="E24" s="1964"/>
      <c r="F24" s="1964"/>
      <c r="I24" s="1774" t="s">
        <v>2422</v>
      </c>
    </row>
    <row r="25" spans="1:9">
      <c r="D25" s="1964"/>
      <c r="E25" s="1964"/>
      <c r="F25" s="1964"/>
    </row>
    <row r="26" spans="1:9">
      <c r="D26" s="1964"/>
      <c r="E26" s="1964"/>
      <c r="F26" s="1964"/>
    </row>
    <row r="27" spans="1:9">
      <c r="D27" s="1964"/>
      <c r="E27" s="1964"/>
      <c r="F27" s="1964"/>
    </row>
    <row r="28" spans="1:9">
      <c r="D28" s="1964"/>
      <c r="E28" s="1964"/>
      <c r="F28" s="1964"/>
    </row>
    <row r="29" spans="1:9" s="791" customFormat="1">
      <c r="A29" s="801"/>
      <c r="B29" s="801"/>
      <c r="C29" s="801"/>
      <c r="D29" s="733"/>
      <c r="E29" s="802"/>
      <c r="F29" s="802"/>
      <c r="G29" s="802"/>
      <c r="I29" s="1837"/>
    </row>
    <row r="30" spans="1:9" s="791" customFormat="1">
      <c r="A30" s="801"/>
      <c r="B30" s="798" t="s">
        <v>2580</v>
      </c>
      <c r="C30" s="801"/>
      <c r="D30" s="1876" t="s">
        <v>1244</v>
      </c>
      <c r="E30" s="1876"/>
      <c r="F30" s="1876"/>
      <c r="G30" s="802"/>
      <c r="I30" s="1837" t="s">
        <v>2418</v>
      </c>
    </row>
    <row r="31" spans="1:9" s="791" customFormat="1">
      <c r="A31" s="801"/>
      <c r="B31" s="801"/>
      <c r="C31" s="801"/>
      <c r="D31" s="1876"/>
      <c r="E31" s="1876"/>
      <c r="F31" s="1876"/>
      <c r="G31" s="802"/>
      <c r="I31" s="1837"/>
    </row>
    <row r="32" spans="1:9">
      <c r="A32" s="797"/>
      <c r="B32" s="797"/>
      <c r="D32" s="803"/>
    </row>
    <row r="33" spans="1:9" ht="14.5" customHeight="1">
      <c r="A33" s="797"/>
      <c r="B33" s="798" t="s">
        <v>2580</v>
      </c>
      <c r="D33" s="1876" t="s">
        <v>1423</v>
      </c>
      <c r="E33" s="1876"/>
      <c r="F33" s="1876"/>
      <c r="I33" s="1837" t="s">
        <v>2490</v>
      </c>
    </row>
    <row r="34" spans="1:9">
      <c r="A34" s="797"/>
      <c r="B34" s="797"/>
      <c r="D34" s="1876"/>
      <c r="E34" s="1876"/>
      <c r="F34" s="1876"/>
    </row>
    <row r="35" spans="1:9">
      <c r="A35" s="797"/>
      <c r="B35" s="797"/>
      <c r="D35" s="1876"/>
      <c r="E35" s="1876"/>
      <c r="F35" s="1876"/>
    </row>
    <row r="36" spans="1:9">
      <c r="A36" s="797"/>
      <c r="B36" s="797"/>
      <c r="D36" s="1876"/>
      <c r="E36" s="1876"/>
      <c r="F36" s="1876"/>
    </row>
    <row r="37" spans="1:9">
      <c r="A37" s="797"/>
      <c r="B37" s="797"/>
      <c r="D37" s="790"/>
    </row>
    <row r="38" spans="1:9">
      <c r="A38" s="797"/>
      <c r="B38" s="798" t="s">
        <v>2580</v>
      </c>
      <c r="D38" s="1876" t="s">
        <v>1246</v>
      </c>
      <c r="E38" s="1876"/>
      <c r="F38" s="1876"/>
    </row>
    <row r="39" spans="1:9">
      <c r="A39" s="797"/>
      <c r="B39" s="797"/>
      <c r="D39" s="1876"/>
      <c r="E39" s="1876"/>
      <c r="F39" s="1876"/>
    </row>
    <row r="40" spans="1:9">
      <c r="A40" s="797"/>
      <c r="B40" s="797"/>
      <c r="D40" s="1876"/>
      <c r="E40" s="1876"/>
      <c r="F40" s="1876"/>
    </row>
    <row r="41" spans="1:9">
      <c r="A41" s="797"/>
      <c r="B41" s="797"/>
      <c r="D41" s="1876"/>
      <c r="E41" s="1876"/>
      <c r="F41" s="1876"/>
    </row>
    <row r="42" spans="1:9">
      <c r="A42" s="797"/>
      <c r="B42" s="797"/>
      <c r="D42" s="1876"/>
      <c r="E42" s="1876"/>
      <c r="F42" s="1876"/>
    </row>
    <row r="43" spans="1:9">
      <c r="A43" s="797"/>
      <c r="B43" s="797"/>
      <c r="D43" s="781"/>
      <c r="E43" s="781"/>
      <c r="F43" s="781"/>
    </row>
    <row r="44" spans="1:9">
      <c r="A44" s="797"/>
      <c r="B44" s="798" t="s">
        <v>2580</v>
      </c>
      <c r="D44" s="1876" t="s">
        <v>1247</v>
      </c>
      <c r="E44" s="1876"/>
      <c r="F44" s="1876"/>
      <c r="I44" s="1837" t="s">
        <v>2490</v>
      </c>
    </row>
    <row r="45" spans="1:9">
      <c r="A45" s="797"/>
      <c r="B45" s="797"/>
      <c r="D45" s="1876"/>
      <c r="E45" s="1876"/>
      <c r="F45" s="1876"/>
    </row>
    <row r="46" spans="1:9">
      <c r="A46" s="797"/>
      <c r="B46" s="797"/>
      <c r="D46" s="1876"/>
      <c r="E46" s="1876"/>
      <c r="F46" s="1876"/>
    </row>
    <row r="47" spans="1:9" ht="23.25" customHeight="1">
      <c r="A47" s="797"/>
      <c r="B47" s="797"/>
      <c r="D47" s="1876"/>
      <c r="E47" s="1876"/>
      <c r="F47" s="1876"/>
    </row>
    <row r="48" spans="1:9">
      <c r="A48" s="797"/>
      <c r="B48" s="797"/>
      <c r="D48" s="785"/>
    </row>
    <row r="49" spans="1:9" ht="14.5" customHeight="1">
      <c r="A49" s="797"/>
      <c r="B49" s="798" t="s">
        <v>2580</v>
      </c>
      <c r="D49" s="1876" t="s">
        <v>1248</v>
      </c>
      <c r="E49" s="1876"/>
      <c r="F49" s="1876"/>
      <c r="I49" s="1837" t="s">
        <v>2490</v>
      </c>
    </row>
    <row r="50" spans="1:9">
      <c r="A50" s="797"/>
      <c r="B50" s="797"/>
      <c r="D50" s="1876"/>
      <c r="E50" s="1876"/>
      <c r="F50" s="1876"/>
    </row>
    <row r="51" spans="1:9">
      <c r="A51" s="797"/>
      <c r="B51" s="797"/>
      <c r="D51" s="1876"/>
      <c r="E51" s="1876"/>
      <c r="F51" s="1876"/>
    </row>
    <row r="52" spans="1:9" s="618" customFormat="1">
      <c r="A52" s="797"/>
      <c r="B52" s="797"/>
      <c r="C52" s="804"/>
      <c r="D52" s="802"/>
      <c r="E52" s="693"/>
      <c r="F52" s="693"/>
      <c r="G52" s="693"/>
      <c r="I52" s="642"/>
    </row>
    <row r="53" spans="1:9" s="618" customFormat="1">
      <c r="A53" s="805"/>
      <c r="B53" s="798" t="s">
        <v>2642</v>
      </c>
      <c r="C53" s="806"/>
      <c r="D53" s="1876" t="s">
        <v>1249</v>
      </c>
      <c r="E53" s="1876"/>
      <c r="F53" s="1876"/>
      <c r="G53" s="693"/>
      <c r="I53" s="1774"/>
    </row>
    <row r="54" spans="1:9" s="618" customFormat="1">
      <c r="A54" s="805"/>
      <c r="B54" s="805"/>
      <c r="C54" s="806"/>
      <c r="D54" s="1876"/>
      <c r="E54" s="1876"/>
      <c r="F54" s="1876"/>
      <c r="G54" s="693"/>
      <c r="I54" s="642"/>
    </row>
    <row r="55" spans="1:9" s="791" customFormat="1">
      <c r="A55" s="801"/>
      <c r="B55" s="801"/>
      <c r="C55" s="801"/>
      <c r="D55" s="733"/>
      <c r="E55" s="802"/>
      <c r="F55" s="802"/>
      <c r="G55" s="802"/>
      <c r="I55" s="1837"/>
    </row>
    <row r="56" spans="1:9">
      <c r="A56" s="797"/>
      <c r="B56" s="798" t="s">
        <v>2642</v>
      </c>
      <c r="D56" s="1876" t="s">
        <v>1250</v>
      </c>
      <c r="E56" s="1876"/>
      <c r="F56" s="1876"/>
      <c r="I56" s="1774" t="s">
        <v>2420</v>
      </c>
    </row>
    <row r="57" spans="1:9">
      <c r="D57" s="1876"/>
      <c r="E57" s="1876"/>
      <c r="F57" s="1876"/>
    </row>
    <row r="58" spans="1:9">
      <c r="D58" s="1876"/>
      <c r="E58" s="1876"/>
      <c r="F58" s="1876"/>
    </row>
    <row r="59" spans="1:9">
      <c r="D59" s="693"/>
    </row>
    <row r="60" spans="1:9">
      <c r="A60" s="797"/>
      <c r="B60" s="798" t="s">
        <v>2580</v>
      </c>
      <c r="D60" s="1876" t="s">
        <v>1251</v>
      </c>
      <c r="E60" s="1876"/>
      <c r="F60" s="1876"/>
      <c r="I60" s="1774" t="s">
        <v>2421</v>
      </c>
    </row>
    <row r="61" spans="1:9">
      <c r="D61" s="1876"/>
      <c r="E61" s="1876"/>
      <c r="F61" s="1876"/>
    </row>
    <row r="62" spans="1:9"/>
    <row r="63" spans="1:9">
      <c r="A63" s="797"/>
      <c r="B63" s="798" t="s">
        <v>2642</v>
      </c>
      <c r="D63" s="1876" t="s">
        <v>1252</v>
      </c>
      <c r="E63" s="1876"/>
      <c r="F63" s="1876"/>
    </row>
    <row r="64" spans="1:9">
      <c r="D64" s="1876"/>
      <c r="E64" s="1876"/>
      <c r="F64" s="1876"/>
      <c r="I64" s="1774" t="s">
        <v>2422</v>
      </c>
    </row>
    <row r="65" spans="1:9">
      <c r="D65" s="1876"/>
      <c r="E65" s="1876"/>
      <c r="F65" s="1876"/>
    </row>
    <row r="66" spans="1:9">
      <c r="D66" s="790"/>
    </row>
    <row r="67" spans="1:9">
      <c r="A67" s="797"/>
      <c r="B67" s="798" t="s">
        <v>2642</v>
      </c>
      <c r="D67" s="1919" t="s">
        <v>1253</v>
      </c>
      <c r="E67" s="1919"/>
      <c r="F67" s="1919"/>
      <c r="I67" s="1774" t="s">
        <v>2422</v>
      </c>
    </row>
    <row r="68" spans="1:9">
      <c r="D68" s="1919"/>
      <c r="E68" s="1919"/>
      <c r="F68" s="1919"/>
    </row>
    <row r="69" spans="1:9">
      <c r="A69" s="797"/>
      <c r="B69" s="797"/>
      <c r="D69" s="800"/>
    </row>
    <row r="70" spans="1:9">
      <c r="A70" s="1884" t="s">
        <v>1160</v>
      </c>
      <c r="B70" s="1884"/>
      <c r="C70" s="1884"/>
      <c r="D70" s="1884"/>
      <c r="E70" s="1884"/>
      <c r="F70" s="1884"/>
      <c r="G70" s="1884"/>
      <c r="H70" s="1853"/>
      <c r="I70" s="1854"/>
    </row>
    <row r="71" spans="1:9"/>
    <row r="72" spans="1:9">
      <c r="C72" s="807"/>
      <c r="D72" s="1957" t="s">
        <v>1258</v>
      </c>
      <c r="E72" s="1957"/>
      <c r="F72" s="1957"/>
    </row>
    <row r="73" spans="1:9">
      <c r="A73" s="800"/>
      <c r="B73" s="800"/>
      <c r="D73" s="1919" t="s">
        <v>1285</v>
      </c>
      <c r="E73" s="1919"/>
      <c r="F73" s="1919"/>
    </row>
    <row r="74" spans="1:9">
      <c r="A74" s="800"/>
      <c r="B74" s="800"/>
    </row>
    <row r="75" spans="1:9" ht="13.75" customHeight="1">
      <c r="A75" s="797"/>
      <c r="B75" s="798" t="s">
        <v>2642</v>
      </c>
      <c r="D75" s="1919" t="s">
        <v>1472</v>
      </c>
      <c r="E75" s="1919"/>
      <c r="F75" s="1919"/>
      <c r="I75" s="1774" t="s">
        <v>2423</v>
      </c>
    </row>
    <row r="76" spans="1:9">
      <c r="A76" s="797"/>
      <c r="B76" s="797"/>
      <c r="D76" s="1919"/>
      <c r="E76" s="1919"/>
      <c r="F76" s="1919"/>
    </row>
    <row r="77" spans="1:9">
      <c r="A77" s="797"/>
      <c r="B77" s="797"/>
      <c r="D77" s="1919"/>
      <c r="E77" s="1919"/>
      <c r="F77" s="1919"/>
    </row>
    <row r="78" spans="1:9">
      <c r="A78" s="797"/>
      <c r="B78" s="797"/>
      <c r="D78" s="1919"/>
      <c r="E78" s="1919"/>
      <c r="F78" s="1919"/>
    </row>
    <row r="79" spans="1:9">
      <c r="A79" s="797"/>
      <c r="B79" s="797"/>
      <c r="D79" s="1919"/>
      <c r="E79" s="1919"/>
      <c r="F79" s="1919"/>
    </row>
    <row r="80" spans="1:9">
      <c r="A80" s="797"/>
      <c r="B80" s="797"/>
      <c r="D80" s="1919"/>
      <c r="E80" s="1919"/>
      <c r="F80" s="1919"/>
    </row>
    <row r="81" spans="1:9">
      <c r="A81" s="797"/>
      <c r="B81" s="797"/>
      <c r="D81" s="1919"/>
      <c r="E81" s="1919"/>
      <c r="F81" s="1919"/>
    </row>
    <row r="82" spans="1:9">
      <c r="A82" s="797"/>
      <c r="B82" s="797"/>
      <c r="D82" s="1919"/>
      <c r="E82" s="1919"/>
      <c r="F82" s="1919"/>
    </row>
    <row r="83" spans="1:9">
      <c r="A83" s="797"/>
      <c r="B83" s="797"/>
      <c r="D83" s="878"/>
      <c r="E83" s="878"/>
      <c r="F83" s="878"/>
    </row>
    <row r="84" spans="1:9" ht="15" customHeight="1">
      <c r="A84" s="797"/>
      <c r="B84" s="798" t="s">
        <v>2642</v>
      </c>
      <c r="D84" s="1919" t="s">
        <v>2243</v>
      </c>
      <c r="E84" s="1919"/>
      <c r="F84" s="1919"/>
      <c r="I84" s="1774" t="s">
        <v>2424</v>
      </c>
    </row>
    <row r="85" spans="1:9">
      <c r="A85" s="797"/>
      <c r="B85" s="797"/>
      <c r="D85" s="1919"/>
      <c r="E85" s="1919"/>
      <c r="F85" s="1919"/>
    </row>
    <row r="86" spans="1:9">
      <c r="A86" s="797"/>
      <c r="B86" s="797"/>
      <c r="D86" s="1712"/>
      <c r="E86" s="1712"/>
      <c r="F86" s="1712"/>
    </row>
    <row r="87" spans="1:9">
      <c r="A87" s="797"/>
      <c r="B87" s="798" t="s">
        <v>2642</v>
      </c>
      <c r="D87" s="1919" t="s">
        <v>2247</v>
      </c>
      <c r="E87" s="1919"/>
      <c r="F87" s="1919"/>
      <c r="I87" s="1774" t="s">
        <v>2425</v>
      </c>
    </row>
    <row r="88" spans="1:9">
      <c r="A88" s="797"/>
      <c r="B88" s="797"/>
      <c r="D88" s="1919"/>
      <c r="E88" s="1919"/>
      <c r="F88" s="1919"/>
    </row>
    <row r="89" spans="1:9">
      <c r="A89" s="797"/>
      <c r="B89" s="797"/>
      <c r="D89" s="1919"/>
      <c r="E89" s="1919"/>
      <c r="F89" s="1919"/>
    </row>
    <row r="90" spans="1:9">
      <c r="A90" s="797"/>
      <c r="B90" s="797"/>
      <c r="D90" s="1712"/>
      <c r="E90" s="1712"/>
      <c r="F90" s="1712"/>
    </row>
    <row r="91" spans="1:9">
      <c r="A91" s="797"/>
      <c r="B91" s="798" t="s">
        <v>2642</v>
      </c>
      <c r="D91" s="1919" t="s">
        <v>2245</v>
      </c>
      <c r="E91" s="1919"/>
      <c r="F91" s="1919"/>
      <c r="I91" s="1774" t="s">
        <v>2470</v>
      </c>
    </row>
    <row r="92" spans="1:9" s="1729" customFormat="1">
      <c r="A92" s="1727"/>
      <c r="B92" s="1727"/>
      <c r="C92" s="1728"/>
      <c r="D92" s="1919"/>
      <c r="E92" s="1919"/>
      <c r="F92" s="1919"/>
      <c r="I92" s="1838"/>
    </row>
    <row r="93" spans="1:9">
      <c r="A93" s="797"/>
      <c r="B93" s="797"/>
      <c r="D93" s="1718"/>
      <c r="E93" s="1719" t="s">
        <v>2246</v>
      </c>
      <c r="F93" s="1712"/>
    </row>
    <row r="94" spans="1:9">
      <c r="A94" s="797"/>
      <c r="B94" s="797"/>
      <c r="D94" s="878"/>
      <c r="E94" s="878"/>
      <c r="F94" s="878"/>
    </row>
    <row r="95" spans="1:9">
      <c r="A95" s="797"/>
      <c r="B95" s="798" t="s">
        <v>2580</v>
      </c>
      <c r="D95" s="1919" t="s">
        <v>2244</v>
      </c>
      <c r="E95" s="1919"/>
      <c r="F95" s="1919"/>
      <c r="I95" s="1774" t="s">
        <v>2426</v>
      </c>
    </row>
    <row r="96" spans="1:9">
      <c r="A96" s="797"/>
      <c r="B96" s="797"/>
      <c r="D96" s="1919"/>
      <c r="E96" s="1919"/>
      <c r="F96" s="1919"/>
    </row>
    <row r="97" spans="1:9">
      <c r="A97" s="797"/>
      <c r="B97" s="797"/>
      <c r="D97" s="1712"/>
      <c r="E97" s="1712"/>
      <c r="F97" s="1712"/>
    </row>
    <row r="98" spans="1:9" ht="14.5" customHeight="1">
      <c r="A98" s="797"/>
      <c r="B98" s="798" t="s">
        <v>2580</v>
      </c>
      <c r="D98" s="1919" t="s">
        <v>1398</v>
      </c>
      <c r="E98" s="1919"/>
      <c r="F98" s="1919"/>
      <c r="G98" s="790"/>
      <c r="I98" s="1774" t="s">
        <v>2427</v>
      </c>
    </row>
    <row r="99" spans="1:9">
      <c r="A99" s="797"/>
      <c r="B99" s="797"/>
      <c r="D99" s="1919"/>
      <c r="E99" s="1919"/>
      <c r="F99" s="1919"/>
      <c r="G99" s="790"/>
    </row>
    <row r="100" spans="1:9">
      <c r="A100" s="797"/>
      <c r="B100" s="797"/>
      <c r="D100" s="1919"/>
      <c r="E100" s="1919"/>
      <c r="F100" s="1919"/>
      <c r="G100" s="790"/>
    </row>
    <row r="101" spans="1:9">
      <c r="A101" s="797"/>
      <c r="B101" s="797"/>
      <c r="D101" s="1919"/>
      <c r="E101" s="1919"/>
      <c r="F101" s="1919"/>
      <c r="G101" s="790"/>
    </row>
    <row r="102" spans="1:9">
      <c r="A102" s="797"/>
      <c r="B102" s="797"/>
      <c r="D102" s="1919"/>
      <c r="E102" s="1919"/>
      <c r="F102" s="1919"/>
      <c r="G102" s="790"/>
    </row>
    <row r="103" spans="1:9">
      <c r="A103" s="797"/>
      <c r="B103" s="797"/>
      <c r="D103" s="1919"/>
      <c r="E103" s="1919"/>
      <c r="F103" s="1919"/>
      <c r="G103" s="790"/>
    </row>
    <row r="104" spans="1:9">
      <c r="A104" s="797"/>
      <c r="B104" s="797"/>
      <c r="D104" s="1919"/>
      <c r="E104" s="1919"/>
      <c r="F104" s="1919"/>
      <c r="G104" s="790"/>
    </row>
    <row r="105" spans="1:9">
      <c r="A105" s="797"/>
      <c r="B105" s="797"/>
      <c r="D105" s="1919"/>
      <c r="E105" s="1919"/>
      <c r="F105" s="1919"/>
      <c r="G105" s="790"/>
    </row>
    <row r="106" spans="1:9">
      <c r="A106" s="797"/>
      <c r="B106" s="797"/>
      <c r="D106" s="1919"/>
      <c r="E106" s="1919"/>
      <c r="F106" s="1919"/>
      <c r="G106" s="790"/>
    </row>
    <row r="107" spans="1:9">
      <c r="A107" s="797"/>
      <c r="B107" s="797"/>
      <c r="D107" s="1919"/>
      <c r="E107" s="1919"/>
      <c r="F107" s="1919"/>
      <c r="G107" s="790"/>
    </row>
    <row r="108" spans="1:9">
      <c r="A108" s="797"/>
      <c r="B108" s="797"/>
      <c r="D108" s="1919"/>
      <c r="E108" s="1919"/>
      <c r="F108" s="1919"/>
      <c r="G108" s="790"/>
    </row>
    <row r="109" spans="1:9">
      <c r="A109" s="797"/>
      <c r="B109" s="797"/>
      <c r="D109" s="1919"/>
      <c r="E109" s="1919"/>
      <c r="F109" s="1919"/>
      <c r="G109" s="790"/>
    </row>
    <row r="110" spans="1:9">
      <c r="A110" s="797"/>
      <c r="B110" s="797"/>
      <c r="D110" s="1919"/>
      <c r="E110" s="1919"/>
      <c r="F110" s="1919"/>
      <c r="G110" s="790"/>
    </row>
    <row r="111" spans="1:9">
      <c r="A111" s="797"/>
      <c r="B111" s="797"/>
      <c r="D111" s="1919"/>
      <c r="E111" s="1919"/>
      <c r="F111" s="1919"/>
    </row>
    <row r="112" spans="1:9">
      <c r="A112" s="797"/>
      <c r="B112" s="797"/>
      <c r="D112" s="1919"/>
      <c r="E112" s="1919"/>
      <c r="F112" s="1919"/>
    </row>
    <row r="113" spans="1:11">
      <c r="A113" s="797"/>
      <c r="B113" s="797"/>
      <c r="D113" s="904"/>
      <c r="E113" s="904"/>
      <c r="F113" s="904"/>
    </row>
    <row r="114" spans="1:11" ht="14.25" customHeight="1">
      <c r="A114" s="797"/>
      <c r="B114" s="798" t="s">
        <v>2580</v>
      </c>
      <c r="D114" s="1917" t="s">
        <v>1260</v>
      </c>
      <c r="E114" s="1917"/>
      <c r="F114" s="1917"/>
    </row>
    <row r="115" spans="1:11">
      <c r="A115" s="797"/>
      <c r="B115" s="797"/>
      <c r="D115" s="1917"/>
      <c r="E115" s="1917"/>
      <c r="F115" s="1917"/>
    </row>
    <row r="116" spans="1:11">
      <c r="A116" s="797"/>
      <c r="B116" s="797"/>
      <c r="D116" s="1917"/>
      <c r="E116" s="1917"/>
      <c r="F116" s="1917"/>
    </row>
    <row r="117" spans="1:11">
      <c r="A117" s="797"/>
      <c r="B117" s="797"/>
      <c r="D117" s="1917"/>
      <c r="E117" s="1917"/>
      <c r="F117" s="1917"/>
    </row>
    <row r="118" spans="1:11">
      <c r="A118" s="797"/>
      <c r="B118" s="797"/>
      <c r="D118" s="1917"/>
      <c r="E118" s="1917"/>
      <c r="F118" s="1917"/>
    </row>
    <row r="119" spans="1:11">
      <c r="A119" s="797"/>
      <c r="B119" s="797"/>
      <c r="D119" s="1917"/>
      <c r="E119" s="1917"/>
      <c r="F119" s="1917"/>
    </row>
    <row r="120" spans="1:11">
      <c r="A120" s="797"/>
      <c r="B120" s="797"/>
      <c r="D120" s="1917"/>
      <c r="E120" s="1917"/>
      <c r="F120" s="1917"/>
    </row>
    <row r="121" spans="1:11">
      <c r="A121" s="797"/>
      <c r="B121" s="797"/>
      <c r="D121" s="1917"/>
      <c r="E121" s="1917"/>
      <c r="F121" s="1917"/>
    </row>
    <row r="122" spans="1:11">
      <c r="C122" s="722"/>
      <c r="D122" s="905"/>
      <c r="E122" s="905"/>
      <c r="F122" s="905"/>
      <c r="G122" s="722"/>
      <c r="H122" s="722"/>
      <c r="I122" s="622"/>
      <c r="J122" s="722"/>
      <c r="K122" s="722"/>
    </row>
    <row r="123" spans="1:11">
      <c r="A123" s="797"/>
      <c r="B123" s="798" t="s">
        <v>2642</v>
      </c>
      <c r="C123" s="722"/>
      <c r="D123" s="1917" t="s">
        <v>1262</v>
      </c>
      <c r="E123" s="1917"/>
      <c r="F123" s="1917"/>
      <c r="G123" s="722"/>
      <c r="H123" s="722"/>
      <c r="I123" s="622" t="s">
        <v>2428</v>
      </c>
      <c r="J123" s="722"/>
      <c r="K123" s="722"/>
    </row>
    <row r="124" spans="1:11">
      <c r="A124" s="797"/>
      <c r="B124" s="797"/>
      <c r="C124" s="722"/>
      <c r="D124" s="1917"/>
      <c r="E124" s="1917"/>
      <c r="F124" s="1917"/>
      <c r="G124" s="722"/>
      <c r="H124" s="722"/>
      <c r="I124" s="622"/>
      <c r="J124" s="722"/>
      <c r="K124" s="722"/>
    </row>
    <row r="125" spans="1:11"/>
    <row r="126" spans="1:11">
      <c r="A126" s="797"/>
      <c r="B126" s="798" t="s">
        <v>2642</v>
      </c>
      <c r="C126" s="804"/>
      <c r="D126" s="1919" t="s">
        <v>1263</v>
      </c>
      <c r="E126" s="1919"/>
      <c r="F126" s="1919"/>
      <c r="I126" s="622" t="s">
        <v>2428</v>
      </c>
    </row>
    <row r="127" spans="1:11">
      <c r="C127" s="804"/>
      <c r="D127" s="1919"/>
      <c r="E127" s="1919"/>
      <c r="F127" s="1919"/>
    </row>
    <row r="128" spans="1:11">
      <c r="C128" s="804"/>
      <c r="D128" s="1919"/>
      <c r="E128" s="1919"/>
      <c r="F128" s="1919"/>
    </row>
    <row r="129" spans="1:9">
      <c r="C129" s="804"/>
      <c r="D129" s="1919"/>
      <c r="E129" s="1919"/>
      <c r="F129" s="1919"/>
    </row>
    <row r="130" spans="1:9">
      <c r="C130" s="804"/>
      <c r="D130" s="1919"/>
      <c r="E130" s="1919"/>
      <c r="F130" s="1919"/>
    </row>
    <row r="131" spans="1:9">
      <c r="C131" s="804"/>
      <c r="D131" s="672"/>
      <c r="E131" s="672"/>
      <c r="F131" s="672"/>
    </row>
    <row r="132" spans="1:9" s="722" customFormat="1">
      <c r="A132" s="797"/>
      <c r="B132" s="798" t="s">
        <v>2642</v>
      </c>
      <c r="C132" s="804"/>
      <c r="D132" s="1876" t="s">
        <v>1264</v>
      </c>
      <c r="E132" s="1876"/>
      <c r="F132" s="1876"/>
      <c r="G132" s="672"/>
      <c r="I132" s="622" t="s">
        <v>2429</v>
      </c>
    </row>
    <row r="133" spans="1:9" s="812" customFormat="1" ht="13.75" customHeight="1">
      <c r="A133" s="809"/>
      <c r="B133" s="809"/>
      <c r="C133" s="810"/>
      <c r="D133" s="1876"/>
      <c r="E133" s="1876"/>
      <c r="F133" s="1876"/>
      <c r="G133" s="811"/>
      <c r="I133" s="1839"/>
    </row>
    <row r="134" spans="1:9" s="722" customFormat="1" ht="13.75" customHeight="1">
      <c r="A134" s="788"/>
      <c r="B134" s="788"/>
      <c r="C134" s="804"/>
      <c r="D134" s="1876"/>
      <c r="E134" s="1876"/>
      <c r="F134" s="1876"/>
      <c r="G134" s="672"/>
      <c r="I134" s="622"/>
    </row>
    <row r="135" spans="1:9" s="722" customFormat="1" ht="13.75" customHeight="1">
      <c r="A135" s="788"/>
      <c r="B135" s="788"/>
      <c r="C135" s="804"/>
      <c r="D135" s="1876"/>
      <c r="E135" s="1876"/>
      <c r="F135" s="1876"/>
      <c r="G135" s="672"/>
      <c r="I135" s="622"/>
    </row>
    <row r="136" spans="1:9" s="722" customFormat="1" ht="13.75" customHeight="1">
      <c r="A136" s="788"/>
      <c r="B136" s="788"/>
      <c r="C136" s="804"/>
      <c r="D136" s="1876"/>
      <c r="E136" s="1876"/>
      <c r="F136" s="1876"/>
      <c r="G136" s="672"/>
      <c r="I136" s="622"/>
    </row>
    <row r="137" spans="1:9" s="722" customFormat="1" ht="13.75" customHeight="1">
      <c r="A137" s="813"/>
      <c r="B137" s="813"/>
      <c r="C137" s="804"/>
      <c r="D137" s="1876"/>
      <c r="E137" s="1876"/>
      <c r="F137" s="1876"/>
      <c r="G137" s="672"/>
      <c r="I137" s="622"/>
    </row>
    <row r="138" spans="1:9" s="618" customFormat="1" ht="13.75" customHeight="1">
      <c r="A138" s="801"/>
      <c r="B138" s="801"/>
      <c r="C138" s="806"/>
      <c r="D138" s="1876"/>
      <c r="E138" s="1876"/>
      <c r="F138" s="1876"/>
      <c r="G138" s="693"/>
      <c r="I138" s="642"/>
    </row>
    <row r="139" spans="1:9" s="618" customFormat="1" ht="13.75" customHeight="1">
      <c r="A139" s="801"/>
      <c r="B139" s="801"/>
      <c r="C139" s="806"/>
      <c r="D139" s="1876"/>
      <c r="E139" s="1876"/>
      <c r="F139" s="1876"/>
      <c r="G139" s="693"/>
      <c r="I139" s="642"/>
    </row>
    <row r="140" spans="1:9" s="722" customFormat="1" ht="13.75" customHeight="1">
      <c r="A140" s="788"/>
      <c r="B140" s="788"/>
      <c r="C140" s="804"/>
      <c r="D140" s="1876"/>
      <c r="E140" s="1876"/>
      <c r="F140" s="1876"/>
      <c r="G140" s="672"/>
      <c r="I140" s="622"/>
    </row>
    <row r="141" spans="1:9" s="722" customFormat="1" ht="13.75" customHeight="1">
      <c r="A141" s="788"/>
      <c r="B141" s="788"/>
      <c r="C141" s="804"/>
      <c r="D141" s="1876"/>
      <c r="E141" s="1876"/>
      <c r="F141" s="1876"/>
      <c r="G141" s="672"/>
      <c r="I141" s="622"/>
    </row>
    <row r="142" spans="1:9" s="722" customFormat="1" ht="13.75" customHeight="1">
      <c r="A142" s="788"/>
      <c r="B142" s="788"/>
      <c r="C142" s="804"/>
      <c r="D142" s="1876"/>
      <c r="E142" s="1876"/>
      <c r="F142" s="1876"/>
      <c r="G142" s="672"/>
      <c r="I142" s="622"/>
    </row>
    <row r="143" spans="1:9" s="722" customFormat="1" ht="13.75" customHeight="1">
      <c r="A143" s="788"/>
      <c r="B143" s="788"/>
      <c r="C143" s="804"/>
      <c r="D143" s="1876"/>
      <c r="E143" s="1876"/>
      <c r="F143" s="1876"/>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2580</v>
      </c>
      <c r="C145" s="804"/>
      <c r="D145" s="1961" t="s">
        <v>1372</v>
      </c>
      <c r="E145" s="1961"/>
      <c r="F145" s="1961"/>
      <c r="G145" s="672"/>
      <c r="I145" s="622" t="s">
        <v>2430</v>
      </c>
    </row>
    <row r="146" spans="1:9" s="722" customFormat="1" ht="13.75" customHeight="1">
      <c r="A146" s="788"/>
      <c r="B146" s="788"/>
      <c r="C146" s="804"/>
      <c r="D146" s="1961"/>
      <c r="E146" s="1961"/>
      <c r="F146" s="1961"/>
      <c r="G146" s="672"/>
      <c r="I146" s="622"/>
    </row>
    <row r="147" spans="1:9" s="722" customFormat="1" ht="13.75" customHeight="1">
      <c r="A147" s="788"/>
      <c r="B147" s="788"/>
      <c r="C147" s="804"/>
      <c r="D147" s="1961"/>
      <c r="E147" s="1961"/>
      <c r="F147" s="1961"/>
      <c r="G147" s="672"/>
      <c r="I147" s="622"/>
    </row>
    <row r="148" spans="1:9" s="722" customFormat="1" ht="13.75" customHeight="1">
      <c r="A148" s="788"/>
      <c r="B148" s="788"/>
      <c r="C148" s="804"/>
      <c r="D148" s="1961"/>
      <c r="E148" s="1961"/>
      <c r="F148" s="1961"/>
      <c r="G148" s="672"/>
      <c r="I148" s="622"/>
    </row>
    <row r="149" spans="1:9" s="722" customFormat="1" ht="13.75" customHeight="1">
      <c r="A149" s="788"/>
      <c r="B149" s="788"/>
      <c r="C149" s="804"/>
      <c r="D149" s="1961"/>
      <c r="E149" s="1961"/>
      <c r="F149" s="1961"/>
      <c r="G149" s="672"/>
      <c r="I149" s="622"/>
    </row>
    <row r="150" spans="1:9" s="722" customFormat="1" ht="13.75" customHeight="1">
      <c r="A150" s="788"/>
      <c r="B150" s="788"/>
      <c r="C150" s="804"/>
      <c r="D150" s="1961"/>
      <c r="E150" s="1961"/>
      <c r="F150" s="1961"/>
      <c r="G150" s="672"/>
      <c r="I150" s="622"/>
    </row>
    <row r="151" spans="1:9" s="722" customFormat="1" ht="13.75" customHeight="1">
      <c r="A151" s="788"/>
      <c r="B151" s="788"/>
      <c r="C151" s="804"/>
      <c r="D151" s="1961"/>
      <c r="E151" s="1961"/>
      <c r="F151" s="1961"/>
      <c r="G151" s="672"/>
      <c r="I151" s="622"/>
    </row>
    <row r="152" spans="1:9" s="722" customFormat="1" ht="13.75" customHeight="1">
      <c r="A152" s="788"/>
      <c r="B152" s="788"/>
      <c r="C152" s="804"/>
      <c r="D152" s="1961"/>
      <c r="E152" s="1961"/>
      <c r="F152" s="1961"/>
      <c r="G152" s="672"/>
      <c r="I152" s="622"/>
    </row>
    <row r="153" spans="1:9" s="722" customFormat="1" ht="13.75" customHeight="1">
      <c r="A153" s="788"/>
      <c r="B153" s="788"/>
      <c r="C153" s="804"/>
      <c r="D153" s="1961"/>
      <c r="E153" s="1961"/>
      <c r="F153" s="1961"/>
      <c r="G153" s="672"/>
      <c r="I153" s="622"/>
    </row>
    <row r="154" spans="1:9" s="722" customFormat="1" ht="13.75" customHeight="1">
      <c r="A154" s="788"/>
      <c r="B154" s="788"/>
      <c r="C154" s="804"/>
      <c r="D154" s="1961"/>
      <c r="E154" s="1961"/>
      <c r="F154" s="1961"/>
      <c r="G154" s="672"/>
      <c r="I154" s="622"/>
    </row>
    <row r="155" spans="1:9" s="722" customFormat="1" ht="13.75" customHeight="1">
      <c r="A155" s="788"/>
      <c r="B155" s="788"/>
      <c r="C155" s="804"/>
      <c r="D155" s="1961"/>
      <c r="E155" s="1961"/>
      <c r="F155" s="1961"/>
      <c r="G155" s="672"/>
      <c r="I155" s="622"/>
    </row>
    <row r="156" spans="1:9" s="722" customFormat="1" ht="13.75" customHeight="1">
      <c r="A156" s="788"/>
      <c r="B156" s="788"/>
      <c r="C156" s="804"/>
      <c r="D156" s="1961"/>
      <c r="E156" s="1961"/>
      <c r="F156" s="1961"/>
      <c r="G156" s="672"/>
      <c r="I156" s="622"/>
    </row>
    <row r="157" spans="1:9" s="722" customFormat="1" ht="13.75" customHeight="1">
      <c r="A157" s="788"/>
      <c r="B157" s="788"/>
      <c r="C157" s="804"/>
      <c r="D157" s="1961"/>
      <c r="E157" s="1961"/>
      <c r="F157" s="1961"/>
      <c r="G157" s="672"/>
      <c r="I157" s="622"/>
    </row>
    <row r="158" spans="1:9" s="722" customFormat="1" ht="13.75" customHeight="1">
      <c r="A158" s="788"/>
      <c r="B158" s="788"/>
      <c r="C158" s="804"/>
      <c r="D158" s="1961"/>
      <c r="E158" s="1961"/>
      <c r="F158" s="1961"/>
      <c r="G158" s="672"/>
      <c r="I158" s="622"/>
    </row>
    <row r="159" spans="1:9" s="722" customFormat="1" ht="13.75" customHeight="1">
      <c r="A159" s="788"/>
      <c r="B159" s="788"/>
      <c r="C159" s="804"/>
      <c r="D159" s="1961"/>
      <c r="E159" s="1961"/>
      <c r="F159" s="1961"/>
      <c r="G159" s="672"/>
      <c r="I159" s="622"/>
    </row>
    <row r="160" spans="1:9" s="722" customFormat="1" ht="13.75" customHeight="1">
      <c r="A160" s="788"/>
      <c r="B160" s="788"/>
      <c r="C160" s="804"/>
      <c r="D160" s="1961"/>
      <c r="E160" s="1961"/>
      <c r="F160" s="1961"/>
      <c r="G160" s="672"/>
      <c r="I160" s="622"/>
    </row>
    <row r="161" spans="1:9" s="722" customFormat="1" ht="13.75" customHeight="1">
      <c r="A161" s="788"/>
      <c r="B161" s="788"/>
      <c r="C161" s="804"/>
      <c r="D161" s="1961"/>
      <c r="E161" s="1961"/>
      <c r="F161" s="1961"/>
      <c r="G161" s="672"/>
      <c r="I161" s="622"/>
    </row>
    <row r="162" spans="1:9" s="722" customFormat="1" ht="13.75" customHeight="1">
      <c r="A162" s="788"/>
      <c r="B162" s="788"/>
      <c r="C162" s="804"/>
      <c r="D162" s="1961"/>
      <c r="E162" s="1961"/>
      <c r="F162" s="1961"/>
      <c r="G162" s="672"/>
      <c r="I162" s="622"/>
    </row>
    <row r="163" spans="1:9" s="722" customFormat="1" ht="13.75" customHeight="1">
      <c r="A163" s="788"/>
      <c r="B163" s="788"/>
      <c r="C163" s="804"/>
      <c r="D163" s="1982" t="s">
        <v>1406</v>
      </c>
      <c r="E163" s="1982"/>
      <c r="F163" s="1982"/>
      <c r="G163" s="856"/>
      <c r="I163" s="622"/>
    </row>
    <row r="164" spans="1:9" s="722" customFormat="1" ht="13.75" customHeight="1">
      <c r="A164" s="788"/>
      <c r="B164" s="788"/>
      <c r="C164" s="804"/>
      <c r="D164" s="1981"/>
      <c r="E164" s="1981"/>
      <c r="F164" s="1981"/>
      <c r="G164" s="1981"/>
      <c r="I164" s="622"/>
    </row>
    <row r="165" spans="1:9" s="722" customFormat="1" ht="14.5" customHeight="1">
      <c r="A165" s="813"/>
      <c r="B165" s="798" t="s">
        <v>2580</v>
      </c>
      <c r="C165" s="814"/>
      <c r="D165" s="1918" t="s">
        <v>1434</v>
      </c>
      <c r="E165" s="1918"/>
      <c r="F165" s="1918"/>
      <c r="G165" s="815"/>
      <c r="I165" s="622" t="s">
        <v>2425</v>
      </c>
    </row>
    <row r="166" spans="1:9" s="722" customFormat="1" ht="14.5" customHeight="1">
      <c r="A166" s="813"/>
      <c r="B166" s="813"/>
      <c r="C166" s="814"/>
      <c r="D166" s="1918"/>
      <c r="E166" s="1918"/>
      <c r="F166" s="1918"/>
      <c r="G166" s="815"/>
      <c r="I166" s="622"/>
    </row>
    <row r="167" spans="1:9" s="722" customFormat="1" ht="13.75" customHeight="1">
      <c r="A167" s="813"/>
      <c r="B167" s="813"/>
      <c r="C167" s="814"/>
      <c r="D167" s="1918"/>
      <c r="E167" s="1918"/>
      <c r="F167" s="1918"/>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2642</v>
      </c>
      <c r="C169" s="814"/>
      <c r="D169" s="1861" t="s">
        <v>1266</v>
      </c>
      <c r="E169" s="1861"/>
      <c r="F169" s="1861"/>
      <c r="G169" s="815"/>
      <c r="I169" s="622" t="s">
        <v>2431</v>
      </c>
    </row>
    <row r="170" spans="1:9" s="722" customFormat="1" ht="13.75" customHeight="1">
      <c r="A170" s="813"/>
      <c r="B170" s="813"/>
      <c r="C170" s="814"/>
      <c r="D170" s="1861"/>
      <c r="E170" s="1861"/>
      <c r="F170" s="1861"/>
      <c r="G170" s="815"/>
      <c r="I170" s="622"/>
    </row>
    <row r="171" spans="1:9" s="722" customFormat="1" ht="13.75" customHeight="1">
      <c r="A171" s="813"/>
      <c r="B171" s="813"/>
      <c r="C171" s="814"/>
      <c r="D171" s="1861"/>
      <c r="E171" s="1861"/>
      <c r="F171" s="1861"/>
      <c r="G171" s="815"/>
      <c r="I171" s="622"/>
    </row>
    <row r="172" spans="1:9" s="722" customFormat="1" ht="13.75" customHeight="1">
      <c r="A172" s="813"/>
      <c r="B172" s="813"/>
      <c r="C172" s="814"/>
      <c r="D172" s="1861"/>
      <c r="E172" s="1861"/>
      <c r="F172" s="1861"/>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2580</v>
      </c>
      <c r="C174" s="804"/>
      <c r="D174" s="1906" t="s">
        <v>1267</v>
      </c>
      <c r="E174" s="1906"/>
      <c r="F174" s="1906"/>
      <c r="G174" s="672"/>
      <c r="I174" s="622" t="s">
        <v>2432</v>
      </c>
    </row>
    <row r="175" spans="1:9" s="722" customFormat="1" ht="13.75" customHeight="1">
      <c r="A175" s="788"/>
      <c r="B175" s="788"/>
      <c r="C175" s="804"/>
      <c r="D175" s="1906"/>
      <c r="E175" s="1906"/>
      <c r="F175" s="1906"/>
      <c r="G175" s="672"/>
      <c r="I175" s="622"/>
    </row>
    <row r="176" spans="1:9" s="722" customFormat="1" ht="13.75" customHeight="1">
      <c r="A176" s="788"/>
      <c r="B176" s="788"/>
      <c r="C176" s="804"/>
      <c r="D176" s="1906"/>
      <c r="E176" s="1906"/>
      <c r="F176" s="1906"/>
      <c r="G176" s="672"/>
      <c r="I176" s="622"/>
    </row>
    <row r="177" spans="1:9" s="722" customFormat="1" ht="13.75" customHeight="1">
      <c r="A177" s="816"/>
      <c r="B177" s="816"/>
      <c r="C177" s="804"/>
      <c r="D177" s="789"/>
      <c r="E177" s="785"/>
      <c r="F177" s="785"/>
      <c r="G177" s="672"/>
      <c r="I177" s="622"/>
    </row>
    <row r="178" spans="1:9">
      <c r="A178" s="1884" t="s">
        <v>2407</v>
      </c>
      <c r="B178" s="1884"/>
      <c r="C178" s="1884"/>
      <c r="D178" s="1884"/>
      <c r="E178" s="1884"/>
      <c r="F178" s="1884"/>
      <c r="G178" s="1884"/>
      <c r="H178" s="1853"/>
      <c r="I178" s="1854"/>
    </row>
    <row r="179" spans="1:9" ht="12" customHeight="1">
      <c r="D179" s="800"/>
      <c r="E179" s="800"/>
      <c r="F179" s="800"/>
    </row>
    <row r="180" spans="1:9">
      <c r="B180" s="1956" t="s">
        <v>469</v>
      </c>
      <c r="C180" s="1956"/>
      <c r="D180" s="1956"/>
      <c r="E180" s="1956"/>
      <c r="F180" s="1956"/>
    </row>
    <row r="181" spans="1:9" s="1772" customFormat="1">
      <c r="A181" s="788"/>
      <c r="B181" s="1831" t="s">
        <v>2408</v>
      </c>
      <c r="C181" s="1831"/>
      <c r="D181" s="1831"/>
      <c r="E181" s="1831"/>
      <c r="F181" s="1831"/>
      <c r="G181" s="1771"/>
      <c r="I181" s="1774"/>
    </row>
    <row r="182" spans="1:9" ht="12" customHeight="1">
      <c r="A182" s="793"/>
      <c r="B182" s="793"/>
      <c r="C182" s="793"/>
    </row>
    <row r="183" spans="1:9">
      <c r="A183" s="1884" t="s">
        <v>1162</v>
      </c>
      <c r="B183" s="1884"/>
      <c r="C183" s="1884"/>
      <c r="D183" s="1884"/>
      <c r="E183" s="1884"/>
      <c r="F183" s="1884"/>
      <c r="G183" s="1884"/>
      <c r="H183" s="1853"/>
      <c r="I183" s="1854"/>
    </row>
    <row r="184" spans="1:9" ht="12" customHeight="1">
      <c r="A184" s="817"/>
      <c r="B184" s="817"/>
      <c r="C184" s="818"/>
      <c r="D184" s="819"/>
      <c r="E184" s="820"/>
      <c r="F184" s="819"/>
      <c r="G184" s="819"/>
    </row>
    <row r="185" spans="1:9" ht="13.75" customHeight="1">
      <c r="A185" s="817"/>
      <c r="B185" s="817"/>
      <c r="C185" s="818"/>
      <c r="D185" s="1920" t="s">
        <v>2248</v>
      </c>
      <c r="E185" s="1920"/>
      <c r="F185" s="1920"/>
      <c r="G185" s="819"/>
    </row>
    <row r="186" spans="1:9">
      <c r="A186" s="817"/>
      <c r="B186" s="817"/>
      <c r="C186" s="818"/>
      <c r="D186" s="1920"/>
      <c r="E186" s="1920"/>
      <c r="F186" s="1920"/>
      <c r="G186" s="819"/>
    </row>
    <row r="187" spans="1:9">
      <c r="A187" s="817"/>
      <c r="B187" s="817"/>
      <c r="C187" s="818"/>
      <c r="D187" s="1921" t="s">
        <v>1399</v>
      </c>
      <c r="E187" s="1921"/>
      <c r="F187" s="1921"/>
      <c r="G187" s="819"/>
    </row>
    <row r="188" spans="1:9">
      <c r="A188" s="817"/>
      <c r="B188" s="817"/>
      <c r="C188" s="818"/>
      <c r="D188" s="1713"/>
      <c r="E188" s="1713"/>
      <c r="F188" s="1713"/>
      <c r="G188" s="819"/>
    </row>
    <row r="189" spans="1:9">
      <c r="A189" s="817"/>
      <c r="B189" s="798" t="s">
        <v>2580</v>
      </c>
      <c r="C189" s="818"/>
      <c r="D189" s="1883" t="s">
        <v>2249</v>
      </c>
      <c r="E189" s="1883"/>
      <c r="F189" s="1883"/>
      <c r="G189" s="819"/>
      <c r="I189" s="1774" t="s">
        <v>2481</v>
      </c>
    </row>
    <row r="190" spans="1:9">
      <c r="A190" s="817"/>
      <c r="B190" s="817"/>
      <c r="C190" s="818"/>
      <c r="D190" s="1887" t="s">
        <v>2250</v>
      </c>
      <c r="E190" s="1887"/>
      <c r="F190" s="1887"/>
      <c r="G190" s="819"/>
    </row>
    <row r="191" spans="1:9">
      <c r="A191" s="817"/>
      <c r="B191" s="817"/>
      <c r="C191" s="818"/>
      <c r="D191" s="1730" t="s">
        <v>2251</v>
      </c>
      <c r="E191" s="1974" t="s">
        <v>2252</v>
      </c>
      <c r="F191" s="1974"/>
      <c r="G191" s="819"/>
    </row>
    <row r="192" spans="1:9">
      <c r="A192" s="817"/>
      <c r="B192" s="817"/>
      <c r="C192" s="818"/>
      <c r="D192" s="155"/>
      <c r="E192" s="155"/>
      <c r="F192" s="155"/>
      <c r="G192" s="819"/>
    </row>
    <row r="193" spans="1:9">
      <c r="A193" s="817"/>
      <c r="B193" s="798" t="s">
        <v>2580</v>
      </c>
      <c r="C193" s="818"/>
      <c r="D193" s="1887" t="s">
        <v>2253</v>
      </c>
      <c r="E193" s="1887"/>
      <c r="F193" s="1887"/>
      <c r="G193" s="819"/>
      <c r="I193" s="1774" t="s">
        <v>2482</v>
      </c>
    </row>
    <row r="194" spans="1:9">
      <c r="A194" s="817"/>
      <c r="B194" s="817"/>
      <c r="C194" s="818"/>
      <c r="D194" s="1883" t="s">
        <v>2250</v>
      </c>
      <c r="E194" s="1883"/>
      <c r="F194" s="1883"/>
      <c r="G194" s="819"/>
    </row>
    <row r="195" spans="1:9">
      <c r="A195" s="817"/>
      <c r="B195" s="817"/>
      <c r="C195" s="818"/>
      <c r="D195" s="1711" t="s">
        <v>2254</v>
      </c>
      <c r="E195" s="1979" t="s">
        <v>2255</v>
      </c>
      <c r="F195" s="1979"/>
      <c r="G195" s="819"/>
    </row>
    <row r="196" spans="1:9">
      <c r="A196" s="817"/>
      <c r="B196" s="817"/>
      <c r="C196" s="818"/>
      <c r="D196" s="155"/>
      <c r="E196" s="155"/>
      <c r="F196" s="155"/>
      <c r="G196" s="819"/>
    </row>
    <row r="197" spans="1:9">
      <c r="A197" s="817"/>
      <c r="B197" s="798" t="s">
        <v>2580</v>
      </c>
      <c r="C197" s="818"/>
      <c r="D197" s="1887" t="s">
        <v>2256</v>
      </c>
      <c r="E197" s="1887"/>
      <c r="F197" s="1887"/>
      <c r="G197" s="819"/>
      <c r="I197" s="1774" t="s">
        <v>2483</v>
      </c>
    </row>
    <row r="198" spans="1:9">
      <c r="A198" s="817"/>
      <c r="B198" s="817"/>
      <c r="C198" s="818"/>
      <c r="D198" s="1708" t="s">
        <v>2250</v>
      </c>
      <c r="E198" s="155"/>
      <c r="F198" s="155"/>
      <c r="G198" s="819"/>
    </row>
    <row r="199" spans="1:9">
      <c r="A199" s="817"/>
      <c r="B199" s="817"/>
      <c r="C199" s="818"/>
      <c r="D199" s="1711" t="s">
        <v>2251</v>
      </c>
      <c r="E199" s="1979" t="s">
        <v>2257</v>
      </c>
      <c r="F199" s="1979"/>
      <c r="G199" s="819"/>
    </row>
    <row r="200" spans="1:9">
      <c r="A200" s="817"/>
      <c r="B200" s="817"/>
      <c r="C200" s="818"/>
      <c r="D200" s="1713"/>
      <c r="E200" s="1713"/>
      <c r="F200" s="1713"/>
      <c r="G200" s="819"/>
    </row>
    <row r="201" spans="1:9">
      <c r="A201" s="797"/>
      <c r="B201" s="798" t="s">
        <v>2580</v>
      </c>
      <c r="C201" s="818"/>
      <c r="D201" s="1919" t="s">
        <v>2258</v>
      </c>
      <c r="E201" s="1919"/>
      <c r="F201" s="1919"/>
      <c r="G201" s="819"/>
      <c r="I201" s="1774" t="s">
        <v>2484</v>
      </c>
    </row>
    <row r="202" spans="1:9">
      <c r="A202" s="797"/>
      <c r="B202" s="797"/>
      <c r="C202" s="818"/>
      <c r="D202" s="1919"/>
      <c r="E202" s="1919"/>
      <c r="F202" s="1919"/>
      <c r="G202" s="819"/>
    </row>
    <row r="203" spans="1:9">
      <c r="A203" s="818"/>
      <c r="B203" s="818"/>
      <c r="C203" s="818"/>
      <c r="D203" s="1919"/>
      <c r="E203" s="1919"/>
      <c r="F203" s="1919"/>
    </row>
    <row r="204" spans="1:9">
      <c r="A204" s="818"/>
      <c r="B204" s="818"/>
      <c r="C204" s="818"/>
      <c r="D204" s="803"/>
      <c r="E204" s="819"/>
      <c r="F204" s="819"/>
    </row>
    <row r="205" spans="1:9">
      <c r="A205" s="818"/>
      <c r="B205" s="798" t="s">
        <v>2580</v>
      </c>
      <c r="C205" s="818"/>
      <c r="D205" s="1887" t="s">
        <v>2259</v>
      </c>
      <c r="E205" s="1887"/>
      <c r="F205" s="1887"/>
      <c r="I205" s="1774" t="s">
        <v>2485</v>
      </c>
    </row>
    <row r="206" spans="1:9">
      <c r="A206" s="818"/>
      <c r="B206" s="818"/>
      <c r="C206" s="818"/>
      <c r="D206" s="1887" t="s">
        <v>2250</v>
      </c>
      <c r="E206" s="1887"/>
      <c r="F206" s="1887"/>
    </row>
    <row r="207" spans="1:9">
      <c r="A207" s="818"/>
      <c r="B207" s="818"/>
      <c r="C207" s="818"/>
      <c r="D207" s="1711" t="s">
        <v>2251</v>
      </c>
      <c r="E207" s="1979" t="s">
        <v>2260</v>
      </c>
      <c r="F207" s="1979"/>
    </row>
    <row r="208" spans="1:9">
      <c r="A208" s="818"/>
      <c r="B208" s="818"/>
      <c r="C208" s="818"/>
      <c r="D208" s="779"/>
      <c r="E208" s="779"/>
      <c r="F208" s="779"/>
    </row>
    <row r="209" spans="1:9" s="618" customFormat="1">
      <c r="A209" s="797"/>
      <c r="B209" s="798" t="s">
        <v>2580</v>
      </c>
      <c r="C209" s="806"/>
      <c r="D209" s="1919" t="s">
        <v>1425</v>
      </c>
      <c r="E209" s="1919"/>
      <c r="F209" s="1919"/>
      <c r="G209" s="693"/>
      <c r="I209" s="642"/>
    </row>
    <row r="210" spans="1:9" s="618" customFormat="1" ht="14.5" customHeight="1">
      <c r="A210" s="797"/>
      <c r="C210" s="806"/>
      <c r="D210" s="1919"/>
      <c r="E210" s="1919"/>
      <c r="F210" s="1919"/>
      <c r="G210" s="693"/>
      <c r="I210" s="642"/>
    </row>
    <row r="211" spans="1:9" s="618" customFormat="1">
      <c r="A211" s="797"/>
      <c r="B211" s="818"/>
      <c r="C211" s="806"/>
      <c r="D211" s="1919"/>
      <c r="E211" s="1919"/>
      <c r="F211" s="1919"/>
      <c r="G211" s="693"/>
      <c r="I211" s="642"/>
    </row>
    <row r="212" spans="1:9" s="618" customFormat="1">
      <c r="A212" s="797"/>
      <c r="B212" s="818"/>
      <c r="C212" s="806"/>
      <c r="D212" s="1919"/>
      <c r="E212" s="1919"/>
      <c r="F212" s="1919"/>
      <c r="G212" s="693"/>
      <c r="I212" s="642"/>
    </row>
    <row r="213" spans="1:9">
      <c r="A213" s="818"/>
      <c r="B213" s="818"/>
      <c r="C213" s="818"/>
      <c r="D213" s="779"/>
      <c r="E213" s="779"/>
      <c r="F213" s="779"/>
    </row>
    <row r="214" spans="1:9">
      <c r="A214" s="1884" t="s">
        <v>1163</v>
      </c>
      <c r="B214" s="1884"/>
      <c r="C214" s="1884"/>
      <c r="D214" s="1884"/>
      <c r="E214" s="1884"/>
      <c r="F214" s="1884"/>
      <c r="G214" s="1884"/>
      <c r="H214" s="1853"/>
      <c r="I214" s="1854"/>
    </row>
    <row r="215" spans="1:9" ht="12" customHeight="1">
      <c r="D215" s="800"/>
      <c r="E215" s="800"/>
      <c r="F215" s="800"/>
    </row>
    <row r="216" spans="1:9">
      <c r="C216" s="807"/>
      <c r="D216" s="1978" t="s">
        <v>214</v>
      </c>
      <c r="E216" s="1978"/>
      <c r="F216" s="1978"/>
    </row>
    <row r="217" spans="1:9">
      <c r="A217" s="793"/>
      <c r="B217" s="793"/>
      <c r="C217" s="793"/>
      <c r="D217" s="1958" t="s">
        <v>1292</v>
      </c>
      <c r="E217" s="1958"/>
      <c r="F217" s="1958"/>
    </row>
    <row r="218" spans="1:9" ht="12" customHeight="1">
      <c r="A218" s="816"/>
      <c r="B218" s="816"/>
      <c r="C218" s="816"/>
    </row>
    <row r="219" spans="1:9" ht="13.75" customHeight="1">
      <c r="A219" s="816"/>
      <c r="C219" s="816"/>
      <c r="D219" s="1874" t="s">
        <v>578</v>
      </c>
      <c r="E219" s="1874"/>
      <c r="F219" s="1874"/>
      <c r="I219" s="1774" t="s">
        <v>2433</v>
      </c>
    </row>
    <row r="220" spans="1:9">
      <c r="A220" s="797"/>
      <c r="B220" s="798" t="s">
        <v>2642</v>
      </c>
      <c r="D220" s="1919" t="s">
        <v>2261</v>
      </c>
      <c r="E220" s="1919"/>
      <c r="F220" s="1919"/>
    </row>
    <row r="221" spans="1:9" ht="14.25" customHeight="1">
      <c r="A221" s="797"/>
      <c r="B221" s="797"/>
      <c r="D221" s="1919"/>
      <c r="E221" s="1919"/>
      <c r="F221" s="1919"/>
    </row>
    <row r="222" spans="1:9" ht="14.25" customHeight="1">
      <c r="A222" s="797"/>
      <c r="B222" s="797"/>
      <c r="D222" s="1919"/>
      <c r="E222" s="1919"/>
      <c r="F222" s="1919"/>
    </row>
    <row r="223" spans="1:9">
      <c r="A223" s="797"/>
      <c r="B223" s="797"/>
      <c r="D223" s="1919"/>
      <c r="E223" s="1919"/>
      <c r="F223" s="1919"/>
    </row>
    <row r="224" spans="1:9">
      <c r="A224" s="797"/>
      <c r="B224" s="797"/>
      <c r="D224" s="1712"/>
      <c r="E224" s="1712"/>
      <c r="F224" s="1712"/>
    </row>
    <row r="225" spans="1:9">
      <c r="A225" s="797"/>
      <c r="B225" s="798" t="s">
        <v>2642</v>
      </c>
      <c r="D225" s="1919" t="s">
        <v>2262</v>
      </c>
      <c r="E225" s="1919"/>
      <c r="F225" s="1919"/>
      <c r="I225" s="1774" t="s">
        <v>2434</v>
      </c>
    </row>
    <row r="226" spans="1:9">
      <c r="A226" s="797"/>
      <c r="B226" s="797"/>
      <c r="D226" s="1919"/>
      <c r="E226" s="1919"/>
      <c r="F226" s="1919"/>
    </row>
    <row r="227" spans="1:9">
      <c r="A227" s="797"/>
      <c r="B227" s="797"/>
      <c r="D227" s="1919"/>
      <c r="E227" s="1919"/>
      <c r="F227" s="1919"/>
    </row>
    <row r="228" spans="1:9">
      <c r="A228" s="797"/>
      <c r="B228" s="797"/>
      <c r="D228" s="1919"/>
      <c r="E228" s="1919"/>
      <c r="F228" s="1919"/>
    </row>
    <row r="229" spans="1:9" ht="14.25" customHeight="1">
      <c r="A229" s="797"/>
      <c r="B229" s="797"/>
      <c r="D229" s="1919"/>
      <c r="E229" s="1919"/>
      <c r="F229" s="1919"/>
    </row>
    <row r="230" spans="1:9" ht="14.25" customHeight="1">
      <c r="A230" s="797"/>
      <c r="B230" s="797"/>
      <c r="D230" s="1712"/>
      <c r="E230" s="1712"/>
      <c r="F230" s="1712"/>
    </row>
    <row r="231" spans="1:9">
      <c r="A231" s="797"/>
      <c r="B231" s="797"/>
      <c r="D231" s="1919" t="s">
        <v>1288</v>
      </c>
      <c r="E231" s="1919"/>
      <c r="F231" s="1919"/>
      <c r="I231" s="1774" t="s">
        <v>2433</v>
      </c>
    </row>
    <row r="232" spans="1:9">
      <c r="A232" s="797"/>
      <c r="B232" s="797"/>
      <c r="D232" s="1919"/>
      <c r="E232" s="1919"/>
      <c r="F232" s="1919"/>
    </row>
    <row r="233" spans="1:9">
      <c r="A233" s="797"/>
      <c r="B233" s="797"/>
      <c r="D233" s="1919"/>
      <c r="E233" s="1919"/>
      <c r="F233" s="1919"/>
    </row>
    <row r="234" spans="1:9">
      <c r="A234" s="797"/>
      <c r="B234" s="797"/>
      <c r="D234" s="1919"/>
      <c r="E234" s="1919"/>
      <c r="F234" s="1919"/>
    </row>
    <row r="235" spans="1:9">
      <c r="A235" s="797"/>
      <c r="B235" s="797"/>
      <c r="D235" s="1919"/>
      <c r="E235" s="1919"/>
      <c r="F235" s="1919"/>
    </row>
    <row r="236" spans="1:9">
      <c r="A236" s="797"/>
      <c r="B236" s="797"/>
      <c r="D236" s="800"/>
      <c r="E236" s="800"/>
      <c r="F236" s="800"/>
    </row>
    <row r="237" spans="1:9">
      <c r="A237" s="797"/>
      <c r="B237" s="798" t="s">
        <v>2580</v>
      </c>
      <c r="D237" s="1955" t="s">
        <v>2266</v>
      </c>
      <c r="E237" s="1955"/>
      <c r="F237" s="1955"/>
      <c r="I237" s="1774" t="s">
        <v>2472</v>
      </c>
    </row>
    <row r="238" spans="1:9">
      <c r="A238" s="797"/>
      <c r="B238" s="797"/>
      <c r="D238" s="1955"/>
      <c r="E238" s="1955"/>
      <c r="F238" s="1955"/>
    </row>
    <row r="239" spans="1:9">
      <c r="A239" s="797"/>
      <c r="B239" s="797"/>
      <c r="D239" s="1955"/>
      <c r="E239" s="1955"/>
      <c r="F239" s="1955"/>
    </row>
    <row r="240" spans="1:9">
      <c r="A240" s="797"/>
      <c r="B240" s="797"/>
      <c r="D240" s="1956" t="s">
        <v>962</v>
      </c>
      <c r="E240" s="1956"/>
      <c r="F240" s="1956"/>
    </row>
    <row r="241" spans="1:9">
      <c r="A241" s="797"/>
      <c r="B241" s="797"/>
      <c r="D241" s="800"/>
      <c r="E241" s="800"/>
      <c r="F241" s="800"/>
    </row>
    <row r="242" spans="1:9" ht="14.5" customHeight="1">
      <c r="A242" s="797"/>
      <c r="B242" s="798" t="s">
        <v>2580</v>
      </c>
      <c r="D242" s="1955" t="s">
        <v>1291</v>
      </c>
      <c r="E242" s="1955"/>
      <c r="F242" s="1955"/>
      <c r="I242" s="1774" t="s">
        <v>2492</v>
      </c>
    </row>
    <row r="243" spans="1:9">
      <c r="A243" s="797"/>
      <c r="B243" s="797"/>
      <c r="D243" s="1955"/>
      <c r="E243" s="1955"/>
      <c r="F243" s="1955"/>
    </row>
    <row r="244" spans="1:9">
      <c r="A244" s="797"/>
      <c r="B244" s="797"/>
      <c r="D244" s="1955"/>
      <c r="E244" s="1955"/>
      <c r="F244" s="1955"/>
    </row>
    <row r="245" spans="1:9">
      <c r="A245" s="797"/>
      <c r="B245" s="797"/>
      <c r="D245" s="1955"/>
      <c r="E245" s="1955"/>
      <c r="F245" s="1955"/>
    </row>
    <row r="246" spans="1:9">
      <c r="A246" s="797"/>
      <c r="B246" s="797"/>
      <c r="D246" s="1955"/>
      <c r="E246" s="1955"/>
      <c r="F246" s="1955"/>
    </row>
    <row r="247" spans="1:9">
      <c r="A247" s="797"/>
      <c r="B247" s="797"/>
      <c r="D247" s="1724"/>
      <c r="E247" s="1724"/>
      <c r="F247" s="1724"/>
    </row>
    <row r="248" spans="1:9">
      <c r="A248" s="797"/>
      <c r="B248" s="798" t="s">
        <v>2642</v>
      </c>
      <c r="D248" s="1723" t="s">
        <v>2263</v>
      </c>
      <c r="E248" s="1724"/>
      <c r="F248" s="1724"/>
      <c r="I248" s="1774" t="s">
        <v>2471</v>
      </c>
    </row>
    <row r="249" spans="1:9">
      <c r="A249" s="797"/>
      <c r="B249" s="797"/>
      <c r="D249" s="1723"/>
      <c r="E249" s="1731" t="s">
        <v>2264</v>
      </c>
      <c r="F249" s="1724"/>
    </row>
    <row r="250" spans="1:9">
      <c r="D250" s="800"/>
      <c r="E250" s="800"/>
      <c r="F250" s="800"/>
    </row>
    <row r="251" spans="1:9">
      <c r="A251" s="797"/>
      <c r="B251" s="798" t="s">
        <v>2642</v>
      </c>
      <c r="D251" s="1919" t="s">
        <v>1290</v>
      </c>
      <c r="E251" s="1919"/>
      <c r="F251" s="1919"/>
    </row>
    <row r="252" spans="1:9">
      <c r="A252" s="797"/>
      <c r="B252" s="797"/>
      <c r="D252" s="1919"/>
      <c r="E252" s="1919"/>
      <c r="F252" s="1919"/>
    </row>
    <row r="253" spans="1:9">
      <c r="D253" s="821"/>
    </row>
    <row r="254" spans="1:9">
      <c r="A254" s="1884" t="s">
        <v>1164</v>
      </c>
      <c r="B254" s="1884"/>
      <c r="C254" s="1884"/>
      <c r="D254" s="1884"/>
      <c r="E254" s="1884"/>
      <c r="F254" s="1884"/>
      <c r="G254" s="1884"/>
      <c r="H254" s="1853"/>
      <c r="I254" s="1854"/>
    </row>
    <row r="255" spans="1:9">
      <c r="D255" s="821"/>
    </row>
    <row r="256" spans="1:9">
      <c r="C256" s="807"/>
      <c r="D256" s="1874" t="s">
        <v>1293</v>
      </c>
      <c r="E256" s="1874"/>
      <c r="F256" s="1874"/>
    </row>
    <row r="257" spans="1:9">
      <c r="A257" s="793"/>
      <c r="B257" s="793"/>
      <c r="C257" s="793"/>
      <c r="D257" s="800"/>
      <c r="E257" s="800"/>
      <c r="F257" s="800"/>
    </row>
    <row r="258" spans="1:9">
      <c r="A258" s="795"/>
      <c r="B258" s="795"/>
      <c r="C258" s="795"/>
      <c r="D258" s="1874" t="s">
        <v>275</v>
      </c>
      <c r="E258" s="1874"/>
      <c r="F258" s="1874"/>
      <c r="I258" s="1774" t="s">
        <v>2473</v>
      </c>
    </row>
    <row r="259" spans="1:9" ht="14.5" customHeight="1">
      <c r="A259" s="797"/>
      <c r="B259" s="798" t="s">
        <v>2642</v>
      </c>
      <c r="D259" s="1987" t="s">
        <v>1400</v>
      </c>
      <c r="E259" s="1987"/>
      <c r="F259" s="1987"/>
    </row>
    <row r="260" spans="1:9">
      <c r="D260" s="1987"/>
      <c r="E260" s="1987"/>
      <c r="F260" s="1987"/>
    </row>
    <row r="261" spans="1:9">
      <c r="D261" s="1958" t="s">
        <v>953</v>
      </c>
      <c r="E261" s="1958"/>
      <c r="F261" s="1958"/>
    </row>
    <row r="262" spans="1:9">
      <c r="D262" s="800"/>
      <c r="E262" s="800"/>
      <c r="F262" s="800"/>
    </row>
    <row r="263" spans="1:9" ht="14.5" customHeight="1">
      <c r="A263" s="797"/>
      <c r="B263" s="798" t="s">
        <v>2580</v>
      </c>
      <c r="D263" s="1955" t="s">
        <v>2265</v>
      </c>
      <c r="E263" s="1955"/>
      <c r="F263" s="1955"/>
      <c r="I263" s="1774" t="s">
        <v>2493</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800"/>
      <c r="E269" s="800"/>
      <c r="F269" s="800"/>
    </row>
    <row r="270" spans="1:9">
      <c r="A270" s="797"/>
      <c r="B270" s="798" t="s">
        <v>2580</v>
      </c>
      <c r="D270" s="1919" t="s">
        <v>1296</v>
      </c>
      <c r="E270" s="1919"/>
      <c r="F270" s="1919"/>
    </row>
    <row r="271" spans="1:9">
      <c r="D271" s="1919"/>
      <c r="E271" s="1919"/>
      <c r="F271" s="1919"/>
    </row>
    <row r="272" spans="1:9">
      <c r="D272" s="1919"/>
      <c r="E272" s="1919"/>
      <c r="F272" s="1919"/>
    </row>
    <row r="273" spans="1:9">
      <c r="D273" s="822"/>
      <c r="E273" s="800"/>
      <c r="F273" s="800"/>
    </row>
    <row r="274" spans="1:9">
      <c r="A274" s="1884" t="s">
        <v>1165</v>
      </c>
      <c r="B274" s="1884"/>
      <c r="C274" s="1884"/>
      <c r="D274" s="1884"/>
      <c r="E274" s="1884"/>
      <c r="F274" s="1884"/>
      <c r="G274" s="1884"/>
      <c r="H274" s="1853"/>
      <c r="I274" s="1854"/>
    </row>
    <row r="275" spans="1:9">
      <c r="D275" s="822"/>
      <c r="E275" s="800"/>
      <c r="F275" s="800"/>
    </row>
    <row r="276" spans="1:9">
      <c r="C276" s="793"/>
      <c r="D276" s="1957" t="s">
        <v>1298</v>
      </c>
      <c r="E276" s="1957"/>
      <c r="F276" s="1957"/>
    </row>
    <row r="277" spans="1:9">
      <c r="C277" s="793"/>
      <c r="D277" s="1957"/>
      <c r="E277" s="1957"/>
      <c r="F277" s="1957"/>
    </row>
    <row r="278" spans="1:9">
      <c r="A278" s="795"/>
      <c r="B278" s="795"/>
      <c r="C278" s="795"/>
      <c r="D278" s="622"/>
      <c r="E278" s="672"/>
      <c r="F278" s="672"/>
    </row>
    <row r="279" spans="1:9">
      <c r="C279" s="795"/>
      <c r="D279" s="1874" t="s">
        <v>215</v>
      </c>
      <c r="E279" s="1874"/>
      <c r="F279" s="1874"/>
    </row>
    <row r="280" spans="1:9" ht="15.75" customHeight="1">
      <c r="A280" s="797"/>
      <c r="B280" s="797"/>
      <c r="D280" s="1967" t="s">
        <v>1299</v>
      </c>
      <c r="E280" s="1967"/>
      <c r="F280" s="1967"/>
    </row>
    <row r="281" spans="1:9">
      <c r="E281" s="800"/>
      <c r="F281" s="800"/>
    </row>
    <row r="282" spans="1:9">
      <c r="A282" s="797"/>
      <c r="B282" s="798" t="s">
        <v>2580</v>
      </c>
      <c r="D282" s="1919" t="s">
        <v>1300</v>
      </c>
      <c r="E282" s="1919"/>
      <c r="F282" s="1919"/>
      <c r="I282" s="1774" t="s">
        <v>2435</v>
      </c>
    </row>
    <row r="283" spans="1:9">
      <c r="A283" s="797"/>
      <c r="B283" s="797"/>
      <c r="D283" s="1919"/>
      <c r="E283" s="1919"/>
      <c r="F283" s="1919"/>
    </row>
    <row r="284" spans="1:9">
      <c r="D284" s="800"/>
      <c r="E284" s="800"/>
      <c r="F284" s="800"/>
    </row>
    <row r="285" spans="1:9">
      <c r="A285" s="797"/>
      <c r="B285" s="798" t="s">
        <v>2580</v>
      </c>
      <c r="D285" s="1955" t="s">
        <v>1301</v>
      </c>
      <c r="E285" s="1955"/>
      <c r="F285" s="1955"/>
      <c r="I285" s="1774" t="s">
        <v>2435</v>
      </c>
    </row>
    <row r="286" spans="1:9">
      <c r="A286" s="797"/>
      <c r="B286" s="797"/>
      <c r="D286" s="1955"/>
      <c r="E286" s="1955"/>
      <c r="F286" s="1955"/>
    </row>
    <row r="287" spans="1:9">
      <c r="A287" s="797"/>
      <c r="B287" s="797"/>
      <c r="D287" s="1955"/>
      <c r="E287" s="1955"/>
      <c r="F287" s="1955"/>
    </row>
    <row r="288" spans="1:9">
      <c r="D288" s="800"/>
      <c r="E288" s="800"/>
      <c r="F288" s="800"/>
    </row>
    <row r="289" spans="1:9">
      <c r="A289" s="797"/>
      <c r="B289" s="798" t="s">
        <v>2580</v>
      </c>
      <c r="D289" s="1919" t="s">
        <v>1302</v>
      </c>
      <c r="E289" s="1919"/>
      <c r="F289" s="1919"/>
      <c r="I289" s="1774" t="s">
        <v>2435</v>
      </c>
    </row>
    <row r="290" spans="1:9">
      <c r="A290" s="797"/>
      <c r="B290" s="797"/>
      <c r="D290" s="1919"/>
      <c r="E290" s="1919"/>
      <c r="F290" s="1919"/>
    </row>
    <row r="291" spans="1:9">
      <c r="A291" s="816"/>
      <c r="B291" s="816"/>
      <c r="E291" s="800"/>
      <c r="F291" s="800"/>
    </row>
    <row r="292" spans="1:9">
      <c r="A292" s="1884" t="s">
        <v>1166</v>
      </c>
      <c r="B292" s="1884"/>
      <c r="C292" s="1884"/>
      <c r="D292" s="1884"/>
      <c r="E292" s="1884"/>
      <c r="F292" s="1884"/>
      <c r="G292" s="1884"/>
      <c r="H292" s="1853"/>
      <c r="I292" s="1854"/>
    </row>
    <row r="293" spans="1:9">
      <c r="A293" s="816"/>
      <c r="B293" s="816"/>
      <c r="D293" s="800"/>
      <c r="E293" s="800"/>
      <c r="F293" s="800"/>
    </row>
    <row r="294" spans="1:9">
      <c r="C294" s="816"/>
      <c r="D294" s="1874" t="s">
        <v>718</v>
      </c>
      <c r="E294" s="1874"/>
      <c r="F294" s="1874"/>
    </row>
    <row r="295" spans="1:9">
      <c r="C295" s="816"/>
      <c r="D295" s="1924" t="s">
        <v>1303</v>
      </c>
      <c r="E295" s="1924"/>
      <c r="F295" s="1924"/>
    </row>
    <row r="296" spans="1:9">
      <c r="C296" s="816"/>
      <c r="D296" s="823"/>
    </row>
    <row r="297" spans="1:9">
      <c r="A297" s="801"/>
      <c r="B297" s="798" t="s">
        <v>2580</v>
      </c>
      <c r="D297" s="1924" t="s">
        <v>1304</v>
      </c>
      <c r="E297" s="1924"/>
      <c r="F297" s="1924"/>
      <c r="I297" s="1774" t="s">
        <v>2436</v>
      </c>
    </row>
    <row r="298" spans="1:9" s="791" customFormat="1">
      <c r="A298" s="805"/>
      <c r="B298" s="805"/>
      <c r="C298" s="801"/>
      <c r="D298" s="824"/>
      <c r="E298" s="825"/>
      <c r="F298" s="825"/>
      <c r="G298" s="802"/>
      <c r="I298" s="1837"/>
    </row>
    <row r="299" spans="1:9" s="791" customFormat="1" ht="13.75" customHeight="1">
      <c r="A299" s="801"/>
      <c r="B299" s="798" t="s">
        <v>2580</v>
      </c>
      <c r="C299" s="801"/>
      <c r="D299" s="1962" t="s">
        <v>1429</v>
      </c>
      <c r="E299" s="1962"/>
      <c r="F299" s="1962"/>
      <c r="G299" s="802"/>
      <c r="I299" s="1837" t="s">
        <v>2436</v>
      </c>
    </row>
    <row r="300" spans="1:9" s="791" customFormat="1">
      <c r="A300" s="805"/>
      <c r="B300" s="805"/>
      <c r="C300" s="801"/>
      <c r="D300" s="1962"/>
      <c r="E300" s="1962"/>
      <c r="F300" s="1962"/>
      <c r="G300" s="802"/>
      <c r="I300" s="1837"/>
    </row>
    <row r="301" spans="1:9" s="791" customFormat="1">
      <c r="A301" s="805"/>
      <c r="B301" s="805"/>
      <c r="C301" s="801"/>
      <c r="D301" s="1962"/>
      <c r="E301" s="1962"/>
      <c r="F301" s="1962"/>
      <c r="G301" s="802"/>
      <c r="I301" s="1837"/>
    </row>
    <row r="302" spans="1:9" s="791" customFormat="1">
      <c r="A302" s="805"/>
      <c r="B302" s="805"/>
      <c r="C302" s="801"/>
      <c r="D302" s="1962"/>
      <c r="E302" s="1962"/>
      <c r="F302" s="1962"/>
      <c r="G302" s="802"/>
      <c r="I302" s="1837"/>
    </row>
    <row r="303" spans="1:9" s="791" customFormat="1">
      <c r="A303" s="805"/>
      <c r="B303" s="805"/>
      <c r="C303" s="801"/>
      <c r="D303" s="1962"/>
      <c r="E303" s="1962"/>
      <c r="F303" s="1962"/>
      <c r="G303" s="802"/>
      <c r="I303" s="1837"/>
    </row>
    <row r="304" spans="1:9" s="791" customFormat="1">
      <c r="A304" s="805"/>
      <c r="B304" s="805"/>
      <c r="C304" s="801"/>
      <c r="D304" s="824"/>
      <c r="E304" s="825"/>
      <c r="F304" s="825"/>
      <c r="G304" s="802"/>
      <c r="I304" s="1837"/>
    </row>
    <row r="305" spans="1:9" s="791" customFormat="1" ht="13.75" customHeight="1">
      <c r="A305" s="801"/>
      <c r="B305" s="798" t="s">
        <v>2580</v>
      </c>
      <c r="C305" s="801"/>
      <c r="D305" s="1962" t="s">
        <v>1306</v>
      </c>
      <c r="E305" s="1962"/>
      <c r="F305" s="1962"/>
      <c r="G305" s="802"/>
      <c r="I305" s="1837" t="s">
        <v>2436</v>
      </c>
    </row>
    <row r="306" spans="1:9" s="791" customFormat="1">
      <c r="A306" s="801"/>
      <c r="B306" s="801"/>
      <c r="C306" s="801"/>
      <c r="D306" s="1962"/>
      <c r="E306" s="1962"/>
      <c r="F306" s="1962"/>
      <c r="G306" s="802"/>
      <c r="I306" s="1837"/>
    </row>
    <row r="307" spans="1:9" s="791" customFormat="1">
      <c r="A307" s="805"/>
      <c r="B307" s="805"/>
      <c r="C307" s="801"/>
      <c r="D307" s="824"/>
      <c r="E307" s="825"/>
      <c r="F307" s="825"/>
      <c r="G307" s="802"/>
      <c r="I307" s="1837"/>
    </row>
    <row r="308" spans="1:9">
      <c r="A308" s="801"/>
      <c r="B308" s="798" t="s">
        <v>2580</v>
      </c>
      <c r="D308" s="1924" t="s">
        <v>1307</v>
      </c>
      <c r="E308" s="1924"/>
      <c r="F308" s="1924"/>
      <c r="I308" s="1774" t="s">
        <v>2422</v>
      </c>
    </row>
    <row r="309" spans="1:9">
      <c r="E309" s="800"/>
      <c r="F309" s="800"/>
    </row>
    <row r="310" spans="1:9">
      <c r="A310" s="797"/>
      <c r="B310" s="798" t="s">
        <v>2580</v>
      </c>
      <c r="D310" s="1955" t="s">
        <v>1456</v>
      </c>
      <c r="E310" s="1955"/>
      <c r="F310" s="1955"/>
      <c r="I310" s="1774" t="s">
        <v>2437</v>
      </c>
    </row>
    <row r="311" spans="1:9">
      <c r="A311" s="797"/>
      <c r="B311" s="797"/>
      <c r="D311" s="1955"/>
      <c r="E311" s="1955"/>
      <c r="F311" s="1955"/>
    </row>
    <row r="312" spans="1:9">
      <c r="A312" s="797"/>
      <c r="B312" s="797"/>
      <c r="D312" s="1955"/>
      <c r="E312" s="1955"/>
      <c r="F312" s="1955"/>
    </row>
    <row r="313" spans="1:9">
      <c r="A313" s="797"/>
      <c r="B313" s="797"/>
      <c r="D313" s="1955"/>
      <c r="E313" s="1955"/>
      <c r="F313" s="1955"/>
    </row>
    <row r="314" spans="1:9">
      <c r="A314" s="797"/>
      <c r="B314" s="797"/>
      <c r="D314" s="1955"/>
      <c r="E314" s="1955"/>
      <c r="F314" s="1955"/>
    </row>
    <row r="315" spans="1:9">
      <c r="A315" s="797"/>
      <c r="B315" s="797"/>
      <c r="D315" s="1955"/>
      <c r="E315" s="1955"/>
      <c r="F315" s="1955"/>
    </row>
    <row r="316" spans="1:9">
      <c r="A316" s="797"/>
      <c r="B316" s="797"/>
      <c r="D316" s="1955"/>
      <c r="E316" s="1955"/>
      <c r="F316" s="1955"/>
    </row>
    <row r="317" spans="1:9">
      <c r="A317" s="797"/>
      <c r="B317" s="797"/>
      <c r="D317" s="1955"/>
      <c r="E317" s="1955"/>
      <c r="F317" s="1955"/>
    </row>
    <row r="318" spans="1:9">
      <c r="A318" s="797"/>
      <c r="B318" s="797"/>
      <c r="D318" s="1955"/>
      <c r="E318" s="1955"/>
      <c r="F318" s="1955"/>
    </row>
    <row r="319" spans="1:9">
      <c r="A319" s="797"/>
      <c r="B319" s="797"/>
      <c r="D319" s="1955"/>
      <c r="E319" s="1955"/>
      <c r="F319" s="1955"/>
    </row>
    <row r="320" spans="1:9">
      <c r="A320" s="797"/>
      <c r="B320" s="797"/>
      <c r="D320" s="1955"/>
      <c r="E320" s="1955"/>
      <c r="F320" s="1955"/>
    </row>
    <row r="321" spans="1:9">
      <c r="A321" s="797"/>
      <c r="B321" s="797"/>
      <c r="D321" s="1955"/>
      <c r="E321" s="1955"/>
      <c r="F321" s="1955"/>
    </row>
    <row r="322" spans="1:9">
      <c r="A322" s="797"/>
      <c r="B322" s="797"/>
      <c r="D322" s="1955"/>
      <c r="E322" s="1955"/>
      <c r="F322" s="1955"/>
    </row>
    <row r="323" spans="1:9">
      <c r="A323" s="797"/>
      <c r="B323" s="797"/>
      <c r="D323" s="1955"/>
      <c r="E323" s="1955"/>
      <c r="F323" s="1955"/>
    </row>
    <row r="324" spans="1:9">
      <c r="A324" s="797"/>
      <c r="B324" s="797"/>
      <c r="D324" s="1955"/>
      <c r="E324" s="1955"/>
      <c r="F324" s="1955"/>
    </row>
    <row r="325" spans="1:9">
      <c r="D325" s="800"/>
      <c r="E325" s="800"/>
      <c r="F325" s="800"/>
    </row>
    <row r="326" spans="1:9">
      <c r="A326" s="797"/>
      <c r="B326" s="798" t="s">
        <v>2580</v>
      </c>
      <c r="D326" s="1955" t="s">
        <v>1309</v>
      </c>
      <c r="E326" s="1955"/>
      <c r="F326" s="1955"/>
      <c r="I326" s="1774" t="s">
        <v>2437</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800"/>
      <c r="E335" s="800"/>
      <c r="F335" s="800"/>
    </row>
    <row r="336" spans="1:9">
      <c r="A336" s="797"/>
      <c r="B336" s="798" t="s">
        <v>2580</v>
      </c>
      <c r="D336" s="1919" t="s">
        <v>1506</v>
      </c>
      <c r="E336" s="1919"/>
      <c r="F336" s="1919"/>
      <c r="I336" s="1774" t="s">
        <v>2474</v>
      </c>
    </row>
    <row r="337" spans="1:9">
      <c r="D337" s="1919"/>
      <c r="E337" s="1919"/>
      <c r="F337" s="1919"/>
      <c r="G337" s="790"/>
    </row>
    <row r="338" spans="1:9">
      <c r="D338" s="1919"/>
      <c r="E338" s="1919"/>
      <c r="F338" s="1919"/>
      <c r="G338" s="790"/>
    </row>
    <row r="339" spans="1:9">
      <c r="D339" s="1919"/>
      <c r="E339" s="1919"/>
      <c r="F339" s="1919"/>
      <c r="G339" s="790"/>
    </row>
    <row r="340" spans="1:9">
      <c r="D340" s="1919"/>
      <c r="E340" s="1919"/>
      <c r="F340" s="1919"/>
      <c r="G340" s="790"/>
    </row>
    <row r="341" spans="1:9">
      <c r="D341" s="1919"/>
      <c r="E341" s="1919"/>
      <c r="F341" s="1919"/>
      <c r="G341" s="790"/>
    </row>
    <row r="342" spans="1:9" s="1772" customFormat="1">
      <c r="A342" s="788"/>
      <c r="B342" s="788"/>
      <c r="C342" s="788"/>
      <c r="D342" s="1827"/>
      <c r="E342" s="1827"/>
      <c r="F342" s="1827"/>
      <c r="I342" s="1774"/>
    </row>
    <row r="343" spans="1:9" ht="13.5" thickBot="1">
      <c r="A343" s="1828"/>
      <c r="B343" s="1828"/>
      <c r="C343" s="1828"/>
      <c r="D343" s="1986" t="s">
        <v>1059</v>
      </c>
      <c r="E343" s="1986"/>
      <c r="F343" s="1986"/>
      <c r="G343" s="1851"/>
      <c r="H343" s="1851"/>
      <c r="I343" s="1852"/>
    </row>
    <row r="344" spans="1:9" ht="13.5" thickTop="1">
      <c r="D344" s="1963" t="s">
        <v>1311</v>
      </c>
      <c r="E344" s="1963"/>
      <c r="F344" s="1963"/>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c r="A347" s="797"/>
      <c r="B347" s="798" t="s">
        <v>2580</v>
      </c>
      <c r="C347" s="829"/>
      <c r="D347" s="1924" t="s">
        <v>1320</v>
      </c>
      <c r="E347" s="1924"/>
      <c r="F347" s="1924"/>
      <c r="I347" s="1952" t="s">
        <v>2489</v>
      </c>
    </row>
    <row r="348" spans="1:9" ht="12.75" customHeight="1">
      <c r="D348" s="1928" t="s">
        <v>1454</v>
      </c>
      <c r="E348" s="1928"/>
      <c r="F348" s="1928"/>
      <c r="I348" s="1953"/>
    </row>
    <row r="349" spans="1:9" ht="12.5">
      <c r="D349" s="1955" t="s">
        <v>1453</v>
      </c>
      <c r="E349" s="1955"/>
      <c r="F349" s="1955"/>
      <c r="I349" s="1953"/>
    </row>
    <row r="350" spans="1:9" ht="12.5">
      <c r="D350" s="1955"/>
      <c r="E350" s="1955"/>
      <c r="F350" s="1955"/>
      <c r="I350" s="1953"/>
    </row>
    <row r="351" spans="1:9" ht="12.5">
      <c r="D351" s="1955"/>
      <c r="E351" s="1955"/>
      <c r="F351" s="1955"/>
      <c r="I351" s="1954"/>
    </row>
    <row r="352" spans="1:9">
      <c r="A352" s="797"/>
      <c r="B352" s="798" t="s">
        <v>2580</v>
      </c>
      <c r="C352" s="814"/>
      <c r="D352" s="1931" t="s">
        <v>1312</v>
      </c>
      <c r="E352" s="1931"/>
      <c r="F352" s="1931"/>
      <c r="G352" s="790"/>
      <c r="I352" s="619"/>
    </row>
    <row r="353" spans="1:9">
      <c r="A353" s="814"/>
      <c r="B353" s="814"/>
      <c r="C353" s="814"/>
      <c r="D353" s="786"/>
      <c r="E353" s="786"/>
      <c r="F353" s="800"/>
      <c r="G353" s="790"/>
    </row>
    <row r="354" spans="1:9">
      <c r="A354" s="814"/>
      <c r="B354" s="798" t="s">
        <v>2580</v>
      </c>
      <c r="C354" s="814"/>
      <c r="D354" s="1915" t="s">
        <v>1432</v>
      </c>
      <c r="E354" s="1915"/>
      <c r="F354" s="1915"/>
      <c r="G354" s="790"/>
    </row>
    <row r="355" spans="1:9">
      <c r="A355" s="814"/>
      <c r="B355" s="814"/>
      <c r="C355" s="814"/>
      <c r="D355" s="1915"/>
      <c r="E355" s="1915"/>
      <c r="F355" s="1915"/>
      <c r="G355" s="790"/>
    </row>
    <row r="356" spans="1:9">
      <c r="A356" s="814"/>
      <c r="B356" s="814"/>
      <c r="C356" s="814"/>
      <c r="D356" s="1915"/>
      <c r="E356" s="1915"/>
      <c r="F356" s="1915"/>
      <c r="G356" s="790"/>
    </row>
    <row r="357" spans="1:9">
      <c r="A357" s="814"/>
      <c r="B357" s="814"/>
      <c r="C357" s="814"/>
      <c r="D357" s="1915"/>
      <c r="E357" s="1915"/>
      <c r="F357" s="1915"/>
      <c r="G357" s="790"/>
    </row>
    <row r="358" spans="1:9">
      <c r="A358" s="814"/>
      <c r="B358" s="814"/>
      <c r="C358" s="814"/>
      <c r="D358" s="1915"/>
      <c r="E358" s="1915"/>
      <c r="F358" s="1915"/>
      <c r="G358" s="790"/>
    </row>
    <row r="359" spans="1:9">
      <c r="A359" s="814"/>
      <c r="B359" s="814"/>
      <c r="C359" s="814"/>
      <c r="D359" s="1915"/>
      <c r="E359" s="1915"/>
      <c r="F359" s="1915"/>
      <c r="G359" s="790"/>
    </row>
    <row r="360" spans="1:9">
      <c r="A360" s="814"/>
      <c r="B360" s="814"/>
      <c r="C360" s="814"/>
      <c r="D360" s="1915"/>
      <c r="E360" s="1915"/>
      <c r="F360" s="1915"/>
      <c r="G360" s="790"/>
    </row>
    <row r="361" spans="1:9">
      <c r="A361" s="814"/>
      <c r="B361" s="814"/>
      <c r="C361" s="814"/>
      <c r="D361" s="1915"/>
      <c r="E361" s="1915"/>
      <c r="F361" s="1915"/>
      <c r="G361" s="790"/>
    </row>
    <row r="362" spans="1:9">
      <c r="A362" s="814"/>
      <c r="B362" s="814"/>
      <c r="C362" s="814"/>
      <c r="D362" s="1915"/>
      <c r="E362" s="1915"/>
      <c r="F362" s="1915"/>
      <c r="G362" s="790"/>
    </row>
    <row r="363" spans="1:9">
      <c r="A363" s="814"/>
      <c r="B363" s="814"/>
      <c r="C363" s="814"/>
      <c r="D363" s="1915"/>
      <c r="E363" s="1915"/>
      <c r="F363" s="1915"/>
      <c r="G363" s="790"/>
    </row>
    <row r="364" spans="1:9">
      <c r="A364" s="814"/>
      <c r="B364" s="814"/>
      <c r="C364" s="814"/>
      <c r="D364" s="1915"/>
      <c r="E364" s="1915"/>
      <c r="F364" s="1915"/>
      <c r="G364" s="790"/>
    </row>
    <row r="365" spans="1:9">
      <c r="A365" s="814"/>
      <c r="B365" s="814"/>
      <c r="C365" s="814"/>
      <c r="D365" s="1915"/>
      <c r="E365" s="1915"/>
      <c r="F365" s="1915"/>
      <c r="G365" s="790"/>
    </row>
    <row r="366" spans="1:9" s="1772" customFormat="1">
      <c r="A366" s="1777"/>
      <c r="B366" s="1777"/>
      <c r="C366" s="1777"/>
      <c r="D366" s="1779"/>
      <c r="E366" s="1779"/>
      <c r="F366" s="1779"/>
      <c r="I366" s="1774"/>
    </row>
    <row r="367" spans="1:9" ht="12.4" customHeight="1">
      <c r="A367" s="814"/>
      <c r="B367" s="798" t="s">
        <v>2580</v>
      </c>
      <c r="C367" s="814"/>
      <c r="D367" s="1959" t="s">
        <v>1433</v>
      </c>
      <c r="E367" s="1959"/>
      <c r="F367" s="1959"/>
      <c r="G367" s="790"/>
    </row>
    <row r="368" spans="1:9">
      <c r="A368" s="814"/>
      <c r="B368" s="814"/>
      <c r="C368" s="814"/>
      <c r="D368" s="1959"/>
      <c r="E368" s="1959"/>
      <c r="F368" s="1959"/>
      <c r="G368" s="790"/>
    </row>
    <row r="369" spans="1:9">
      <c r="A369" s="814"/>
      <c r="B369" s="814"/>
      <c r="C369" s="814"/>
      <c r="D369" s="1959"/>
      <c r="E369" s="1959"/>
      <c r="F369" s="1959"/>
      <c r="G369" s="790"/>
    </row>
    <row r="370" spans="1:9">
      <c r="A370" s="814"/>
      <c r="B370" s="814"/>
      <c r="C370" s="814"/>
      <c r="D370" s="1959"/>
      <c r="E370" s="1959"/>
      <c r="F370" s="1959"/>
      <c r="G370" s="790"/>
    </row>
    <row r="371" spans="1:9" s="1772" customFormat="1">
      <c r="A371" s="1777"/>
      <c r="B371" s="1777"/>
      <c r="C371" s="1777"/>
      <c r="D371" s="1778"/>
      <c r="E371" s="1778"/>
      <c r="F371" s="1778"/>
      <c r="I371" s="1774"/>
    </row>
    <row r="372" spans="1:9" s="1772" customFormat="1">
      <c r="A372" s="1777"/>
      <c r="B372" s="1775" t="s">
        <v>2580</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c r="A379" s="797"/>
      <c r="B379" s="798" t="s">
        <v>2580</v>
      </c>
      <c r="C379" s="814"/>
      <c r="D379" s="1934" t="s">
        <v>1314</v>
      </c>
      <c r="E379" s="1934"/>
      <c r="F379" s="1934"/>
      <c r="G379" s="790"/>
    </row>
    <row r="380" spans="1:9">
      <c r="A380" s="814"/>
      <c r="B380" s="814"/>
      <c r="C380" s="814"/>
      <c r="D380" s="1934"/>
      <c r="E380" s="1934"/>
      <c r="F380" s="1934"/>
      <c r="G380" s="790"/>
    </row>
    <row r="381" spans="1:9">
      <c r="A381" s="814"/>
      <c r="B381" s="814"/>
      <c r="C381" s="814"/>
      <c r="D381" s="1934"/>
      <c r="E381" s="1934"/>
      <c r="F381" s="1934"/>
      <c r="G381" s="790"/>
    </row>
    <row r="382" spans="1:9">
      <c r="A382" s="814"/>
      <c r="B382" s="814"/>
      <c r="C382" s="814"/>
      <c r="D382" s="1934"/>
      <c r="E382" s="1934"/>
      <c r="F382" s="1934"/>
      <c r="G382" s="790"/>
    </row>
    <row r="383" spans="1:9">
      <c r="A383" s="814"/>
      <c r="B383" s="814"/>
      <c r="C383" s="814"/>
      <c r="D383" s="826"/>
      <c r="E383" s="786"/>
      <c r="F383" s="800"/>
      <c r="G383" s="790"/>
    </row>
    <row r="384" spans="1:9">
      <c r="A384" s="814"/>
      <c r="B384" s="814"/>
      <c r="C384" s="814"/>
      <c r="D384" s="1934" t="s">
        <v>1315</v>
      </c>
      <c r="E384" s="1934"/>
      <c r="F384" s="1934"/>
      <c r="G384" s="790"/>
    </row>
    <row r="385" spans="1:7">
      <c r="A385" s="814"/>
      <c r="B385" s="814"/>
      <c r="C385" s="814"/>
      <c r="D385" s="1934"/>
      <c r="E385" s="1934"/>
      <c r="F385" s="1934"/>
      <c r="G385" s="790"/>
    </row>
    <row r="386" spans="1:7">
      <c r="A386" s="814"/>
      <c r="B386" s="814"/>
      <c r="C386" s="814"/>
      <c r="D386" s="1934"/>
      <c r="E386" s="1934"/>
      <c r="F386" s="1934"/>
      <c r="G386" s="790"/>
    </row>
    <row r="387" spans="1:7">
      <c r="A387" s="814"/>
      <c r="B387" s="814"/>
      <c r="C387" s="814"/>
      <c r="D387" s="1934"/>
      <c r="E387" s="1934"/>
      <c r="F387" s="1934"/>
      <c r="G387" s="790"/>
    </row>
    <row r="388" spans="1:7" ht="18" customHeight="1">
      <c r="A388" s="814"/>
      <c r="B388" s="814"/>
      <c r="C388" s="814"/>
      <c r="D388" s="1934"/>
      <c r="E388" s="1934"/>
      <c r="F388" s="1934"/>
      <c r="G388" s="790"/>
    </row>
    <row r="389" spans="1:7">
      <c r="A389" s="814"/>
      <c r="B389" s="814"/>
      <c r="C389" s="814"/>
      <c r="D389" s="1934"/>
      <c r="E389" s="1934"/>
      <c r="F389" s="1934"/>
      <c r="G389" s="790"/>
    </row>
    <row r="390" spans="1:7">
      <c r="A390" s="814"/>
      <c r="B390" s="814"/>
      <c r="C390" s="814"/>
      <c r="D390" s="1934"/>
      <c r="E390" s="1934"/>
      <c r="F390" s="1934"/>
      <c r="G390" s="790"/>
    </row>
    <row r="391" spans="1:7">
      <c r="A391" s="814"/>
      <c r="B391" s="814"/>
      <c r="C391" s="814"/>
      <c r="D391" s="1934"/>
      <c r="E391" s="1934"/>
      <c r="F391" s="1934"/>
      <c r="G391" s="790"/>
    </row>
    <row r="392" spans="1:7" ht="8.25" customHeight="1">
      <c r="A392" s="814"/>
      <c r="B392" s="814"/>
      <c r="C392" s="814"/>
      <c r="D392" s="1934"/>
      <c r="E392" s="1934"/>
      <c r="F392" s="1934"/>
      <c r="G392" s="790"/>
    </row>
    <row r="393" spans="1:7" ht="13.75" customHeight="1">
      <c r="A393" s="814"/>
      <c r="B393" s="814"/>
      <c r="C393" s="814"/>
      <c r="D393" s="1927" t="s">
        <v>1316</v>
      </c>
      <c r="E393" s="1927"/>
      <c r="F393" s="1927"/>
      <c r="G393" s="790"/>
    </row>
    <row r="394" spans="1:7">
      <c r="A394" s="814"/>
      <c r="B394" s="814"/>
      <c r="C394" s="814"/>
      <c r="D394" s="1927"/>
      <c r="E394" s="1927"/>
      <c r="F394" s="1927"/>
      <c r="G394" s="790"/>
    </row>
    <row r="395" spans="1:7">
      <c r="A395" s="814"/>
      <c r="B395" s="814"/>
      <c r="C395" s="814"/>
      <c r="D395" s="1927"/>
      <c r="E395" s="1927"/>
      <c r="F395" s="1927"/>
      <c r="G395" s="790"/>
    </row>
    <row r="396" spans="1:7">
      <c r="A396" s="814"/>
      <c r="B396" s="814"/>
      <c r="C396" s="814"/>
      <c r="D396" s="1927"/>
      <c r="E396" s="1927"/>
      <c r="F396" s="1927"/>
      <c r="G396" s="790"/>
    </row>
    <row r="397" spans="1:7">
      <c r="A397" s="814"/>
      <c r="B397" s="814"/>
      <c r="C397" s="814"/>
      <c r="D397" s="1927"/>
      <c r="E397" s="1927"/>
      <c r="F397" s="1927"/>
      <c r="G397" s="790"/>
    </row>
    <row r="398" spans="1:7">
      <c r="A398" s="814"/>
      <c r="B398" s="814"/>
      <c r="C398" s="814"/>
      <c r="D398" s="1927"/>
      <c r="E398" s="1927"/>
      <c r="F398" s="1927"/>
      <c r="G398" s="790"/>
    </row>
    <row r="399" spans="1:7">
      <c r="A399" s="814"/>
      <c r="B399" s="814"/>
      <c r="C399" s="814"/>
      <c r="D399" s="1927"/>
      <c r="E399" s="1927"/>
      <c r="F399" s="1927"/>
      <c r="G399" s="790"/>
    </row>
    <row r="400" spans="1:7">
      <c r="A400" s="814"/>
      <c r="B400" s="814"/>
      <c r="C400" s="814"/>
      <c r="D400" s="1927"/>
      <c r="E400" s="1927"/>
      <c r="F400" s="1927"/>
      <c r="G400" s="790"/>
    </row>
    <row r="401" spans="1:7">
      <c r="A401" s="814"/>
      <c r="B401" s="814"/>
      <c r="C401" s="814"/>
      <c r="D401" s="1927"/>
      <c r="E401" s="1927"/>
      <c r="F401" s="1927"/>
      <c r="G401" s="790"/>
    </row>
    <row r="402" spans="1:7">
      <c r="A402" s="814"/>
      <c r="B402" s="814"/>
      <c r="C402" s="814"/>
      <c r="D402" s="1927"/>
      <c r="E402" s="1927"/>
      <c r="F402" s="1927"/>
      <c r="G402" s="790"/>
    </row>
    <row r="403" spans="1:7">
      <c r="A403" s="814"/>
      <c r="B403" s="814"/>
      <c r="C403" s="814"/>
      <c r="D403" s="1927"/>
      <c r="E403" s="1927"/>
      <c r="F403" s="1927"/>
      <c r="G403" s="790"/>
    </row>
    <row r="404" spans="1:7">
      <c r="A404" s="814"/>
      <c r="B404" s="814"/>
      <c r="C404" s="814"/>
      <c r="D404" s="1927"/>
      <c r="E404" s="1927"/>
      <c r="F404" s="1927"/>
      <c r="G404" s="790"/>
    </row>
    <row r="405" spans="1:7">
      <c r="A405" s="814"/>
      <c r="B405" s="814"/>
      <c r="C405" s="827"/>
      <c r="D405" s="1927"/>
      <c r="E405" s="1927"/>
      <c r="F405" s="1927"/>
      <c r="G405" s="790"/>
    </row>
    <row r="406" spans="1:7">
      <c r="A406" s="814"/>
      <c r="B406" s="814"/>
      <c r="C406" s="827"/>
      <c r="D406" s="1927"/>
      <c r="E406" s="1927"/>
      <c r="F406" s="1927"/>
      <c r="G406" s="790"/>
    </row>
    <row r="407" spans="1:7">
      <c r="A407" s="814"/>
      <c r="B407" s="814"/>
      <c r="C407" s="814"/>
      <c r="D407" s="1927"/>
      <c r="E407" s="1927"/>
      <c r="F407" s="1927"/>
      <c r="G407" s="790"/>
    </row>
    <row r="408" spans="1:7">
      <c r="A408" s="814"/>
      <c r="B408" s="814"/>
      <c r="C408" s="827"/>
      <c r="D408" s="1927"/>
      <c r="E408" s="1927"/>
      <c r="F408" s="1927"/>
      <c r="G408" s="790"/>
    </row>
    <row r="409" spans="1:7">
      <c r="A409" s="814"/>
      <c r="B409" s="814"/>
      <c r="C409" s="827"/>
      <c r="D409" s="1927"/>
      <c r="E409" s="1927"/>
      <c r="F409" s="1927"/>
      <c r="G409" s="790"/>
    </row>
    <row r="410" spans="1:7">
      <c r="A410" s="814"/>
      <c r="B410" s="814"/>
      <c r="C410" s="827"/>
      <c r="D410" s="1927"/>
      <c r="E410" s="1927"/>
      <c r="F410" s="1927"/>
      <c r="G410" s="790"/>
    </row>
    <row r="411" spans="1:7">
      <c r="A411" s="814"/>
      <c r="B411" s="814"/>
      <c r="C411" s="814"/>
      <c r="D411" s="826"/>
      <c r="E411" s="786"/>
      <c r="F411" s="800"/>
      <c r="G411" s="790"/>
    </row>
    <row r="412" spans="1:7">
      <c r="A412" s="814"/>
      <c r="B412" s="798" t="s">
        <v>2580</v>
      </c>
      <c r="C412" s="814"/>
      <c r="D412" s="1927" t="s">
        <v>1317</v>
      </c>
      <c r="E412" s="1927"/>
      <c r="F412" s="1927"/>
      <c r="G412" s="790"/>
    </row>
    <row r="413" spans="1:7">
      <c r="A413" s="814"/>
      <c r="B413" s="814"/>
      <c r="C413" s="814"/>
      <c r="D413" s="1927"/>
      <c r="E413" s="1927"/>
      <c r="F413" s="1927"/>
      <c r="G413" s="790"/>
    </row>
    <row r="414" spans="1:7">
      <c r="A414" s="814"/>
      <c r="B414" s="814"/>
      <c r="C414" s="814"/>
      <c r="D414" s="903"/>
      <c r="E414" s="903"/>
      <c r="F414" s="903"/>
      <c r="G414" s="790"/>
    </row>
    <row r="415" spans="1:7" ht="14.5" customHeight="1">
      <c r="A415" s="797"/>
      <c r="B415" s="798" t="s">
        <v>2580</v>
      </c>
      <c r="D415" s="1927" t="s">
        <v>2475</v>
      </c>
      <c r="E415" s="1927"/>
      <c r="F415" s="1927"/>
    </row>
    <row r="416" spans="1:7" ht="14.5" customHeight="1">
      <c r="A416" s="797"/>
      <c r="D416" s="1927"/>
      <c r="E416" s="1927"/>
      <c r="F416" s="1927"/>
    </row>
    <row r="417" spans="1:7" ht="14.5" customHeight="1">
      <c r="A417" s="797"/>
      <c r="D417" s="1927"/>
      <c r="E417" s="1927"/>
      <c r="F417" s="1927"/>
    </row>
    <row r="418" spans="1:7" ht="14.5" customHeight="1">
      <c r="A418" s="797"/>
      <c r="D418" s="1927"/>
      <c r="E418" s="1927"/>
      <c r="F418" s="1927"/>
    </row>
    <row r="419" spans="1:7" ht="14.5" customHeight="1">
      <c r="A419" s="797"/>
      <c r="D419" s="1927"/>
      <c r="E419" s="1927"/>
      <c r="F419" s="1927"/>
    </row>
    <row r="420" spans="1:7" ht="14.5" customHeight="1">
      <c r="A420" s="797"/>
      <c r="D420" s="878"/>
      <c r="E420" s="878"/>
      <c r="F420" s="878"/>
    </row>
    <row r="421" spans="1:7" ht="13.75" customHeight="1">
      <c r="A421" s="797"/>
      <c r="B421" s="798" t="s">
        <v>2580</v>
      </c>
      <c r="C421" s="814"/>
      <c r="D421" s="1915" t="s">
        <v>1457</v>
      </c>
      <c r="E421" s="1915"/>
      <c r="F421" s="1915"/>
      <c r="G421" s="790"/>
    </row>
    <row r="422" spans="1:7">
      <c r="A422" s="828"/>
      <c r="B422" s="828"/>
      <c r="C422" s="814"/>
      <c r="D422" s="1915"/>
      <c r="E422" s="1915"/>
      <c r="F422" s="1915"/>
      <c r="G422" s="790"/>
    </row>
    <row r="423" spans="1:7">
      <c r="A423" s="828"/>
      <c r="B423" s="828"/>
      <c r="C423" s="814"/>
      <c r="D423" s="1915"/>
      <c r="E423" s="1915"/>
      <c r="F423" s="1915"/>
      <c r="G423" s="790"/>
    </row>
    <row r="424" spans="1:7">
      <c r="A424" s="828"/>
      <c r="B424" s="828"/>
      <c r="C424" s="814"/>
      <c r="D424" s="1915"/>
      <c r="E424" s="1915"/>
      <c r="F424" s="1915"/>
      <c r="G424" s="790"/>
    </row>
    <row r="425" spans="1:7" ht="15.75" customHeight="1">
      <c r="A425" s="828"/>
      <c r="B425" s="828"/>
      <c r="C425" s="814"/>
      <c r="D425" s="1965" t="s">
        <v>1507</v>
      </c>
      <c r="E425" s="1915"/>
      <c r="F425" s="1915"/>
      <c r="G425" s="790"/>
    </row>
    <row r="426" spans="1:7">
      <c r="D426" s="800"/>
      <c r="E426" s="800"/>
      <c r="F426" s="800"/>
      <c r="G426" s="790"/>
    </row>
    <row r="427" spans="1:7">
      <c r="A427" s="797"/>
      <c r="B427" s="798" t="s">
        <v>2580</v>
      </c>
      <c r="C427" s="829"/>
      <c r="D427" s="1919" t="s">
        <v>1319</v>
      </c>
      <c r="E427" s="1919"/>
      <c r="F427" s="1919"/>
      <c r="G427" s="790"/>
    </row>
    <row r="428" spans="1:7">
      <c r="A428" s="797"/>
      <c r="B428" s="797"/>
      <c r="D428" s="1919"/>
      <c r="E428" s="1919"/>
      <c r="F428" s="1919"/>
      <c r="G428" s="790"/>
    </row>
    <row r="429" spans="1:7">
      <c r="D429" s="1919"/>
      <c r="E429" s="1919"/>
      <c r="F429" s="1919"/>
      <c r="G429" s="790"/>
    </row>
    <row r="430" spans="1:7">
      <c r="D430" s="1919"/>
      <c r="E430" s="1919"/>
      <c r="F430" s="1919"/>
      <c r="G430" s="790"/>
    </row>
    <row r="431" spans="1:7">
      <c r="D431" s="1919"/>
      <c r="E431" s="1919"/>
      <c r="F431" s="1919"/>
      <c r="G431" s="790"/>
    </row>
    <row r="432" spans="1:7">
      <c r="D432" s="1919"/>
      <c r="E432" s="1919"/>
      <c r="F432" s="1919"/>
      <c r="G432" s="790"/>
    </row>
    <row r="433" spans="1:7">
      <c r="D433" s="1919"/>
      <c r="E433" s="1919"/>
      <c r="F433" s="1919"/>
      <c r="G433" s="790"/>
    </row>
    <row r="434" spans="1:7">
      <c r="D434" s="1919"/>
      <c r="E434" s="1919"/>
      <c r="F434" s="1919"/>
      <c r="G434" s="790"/>
    </row>
    <row r="435" spans="1:7">
      <c r="D435" s="1919"/>
      <c r="E435" s="1919"/>
      <c r="F435" s="1919"/>
      <c r="G435" s="790"/>
    </row>
    <row r="436" spans="1:7">
      <c r="D436" s="1919"/>
      <c r="E436" s="1919"/>
      <c r="F436" s="1919"/>
      <c r="G436" s="790"/>
    </row>
    <row r="437" spans="1:7">
      <c r="D437" s="1919"/>
      <c r="E437" s="1919"/>
      <c r="F437" s="1919"/>
      <c r="G437" s="790"/>
    </row>
    <row r="438" spans="1:7">
      <c r="D438" s="1919"/>
      <c r="E438" s="1919"/>
      <c r="F438" s="1919"/>
      <c r="G438" s="790"/>
    </row>
    <row r="439" spans="1:7">
      <c r="D439" s="1919"/>
      <c r="E439" s="1919"/>
      <c r="F439" s="1919"/>
      <c r="G439" s="790"/>
    </row>
    <row r="440" spans="1:7">
      <c r="A440" s="790"/>
      <c r="B440" s="790"/>
      <c r="C440" s="790"/>
      <c r="D440" s="1919"/>
      <c r="E440" s="1919"/>
      <c r="F440" s="1919"/>
      <c r="G440" s="790"/>
    </row>
    <row r="441" spans="1:7">
      <c r="A441" s="790"/>
      <c r="B441" s="790"/>
      <c r="C441" s="790"/>
      <c r="D441" s="1919"/>
      <c r="E441" s="1919"/>
      <c r="F441" s="1919"/>
      <c r="G441" s="790"/>
    </row>
    <row r="442" spans="1:7">
      <c r="A442" s="790"/>
      <c r="B442" s="790"/>
      <c r="C442" s="790"/>
      <c r="D442" s="1919"/>
      <c r="E442" s="1919"/>
      <c r="F442" s="1919"/>
      <c r="G442" s="790"/>
    </row>
    <row r="443" spans="1:7">
      <c r="A443" s="790"/>
      <c r="B443" s="790"/>
      <c r="C443" s="790"/>
      <c r="D443" s="1919"/>
      <c r="E443" s="1919"/>
      <c r="F443" s="1919"/>
      <c r="G443" s="790"/>
    </row>
    <row r="444" spans="1:7">
      <c r="A444" s="790"/>
      <c r="B444" s="790"/>
      <c r="C444" s="790"/>
      <c r="D444" s="1919"/>
      <c r="E444" s="1919"/>
      <c r="F444" s="1919"/>
      <c r="G444" s="790"/>
    </row>
    <row r="445" spans="1:7">
      <c r="A445" s="790"/>
      <c r="B445" s="790"/>
      <c r="C445" s="790"/>
      <c r="D445" s="1919"/>
      <c r="E445" s="1919"/>
      <c r="F445" s="1919"/>
      <c r="G445" s="790"/>
    </row>
    <row r="446" spans="1:7">
      <c r="A446" s="790"/>
      <c r="B446" s="790"/>
      <c r="C446" s="790"/>
      <c r="D446" s="1919"/>
      <c r="E446" s="1919"/>
      <c r="F446" s="1919"/>
      <c r="G446" s="790"/>
    </row>
    <row r="447" spans="1:7">
      <c r="A447" s="790"/>
      <c r="B447" s="790"/>
      <c r="C447" s="790"/>
      <c r="D447" s="1919"/>
      <c r="E447" s="1919"/>
      <c r="F447" s="1919"/>
      <c r="G447" s="790"/>
    </row>
    <row r="448" spans="1:7">
      <c r="A448" s="790"/>
      <c r="B448" s="790"/>
      <c r="C448" s="790"/>
      <c r="D448" s="1919"/>
      <c r="E448" s="1919"/>
      <c r="F448" s="1919"/>
      <c r="G448" s="790"/>
    </row>
    <row r="449" spans="1:9">
      <c r="A449" s="790"/>
      <c r="B449" s="790"/>
      <c r="C449" s="790"/>
      <c r="D449" s="1919"/>
      <c r="E449" s="1919"/>
      <c r="F449" s="1919"/>
      <c r="G449" s="790"/>
    </row>
    <row r="450" spans="1:9">
      <c r="A450" s="790"/>
      <c r="B450" s="790"/>
      <c r="C450" s="790"/>
      <c r="D450" s="1919"/>
      <c r="E450" s="1919"/>
      <c r="F450" s="1919"/>
      <c r="G450" s="790"/>
    </row>
    <row r="451" spans="1:9">
      <c r="A451" s="790"/>
      <c r="B451" s="790"/>
      <c r="C451" s="790"/>
      <c r="D451" s="1919"/>
      <c r="E451" s="1919"/>
      <c r="F451" s="1919"/>
      <c r="G451" s="790"/>
    </row>
    <row r="452" spans="1:9">
      <c r="A452" s="790"/>
      <c r="B452" s="790"/>
      <c r="C452" s="790"/>
      <c r="D452" s="1919"/>
      <c r="E452" s="1919"/>
      <c r="F452" s="1919"/>
      <c r="G452" s="790"/>
    </row>
    <row r="453" spans="1:9">
      <c r="A453" s="790"/>
      <c r="B453" s="790"/>
      <c r="C453" s="790"/>
      <c r="D453" s="1919"/>
      <c r="E453" s="1919"/>
      <c r="F453" s="1919"/>
      <c r="G453" s="790"/>
    </row>
    <row r="454" spans="1:9">
      <c r="A454" s="790"/>
      <c r="B454" s="790"/>
      <c r="C454" s="790"/>
      <c r="D454" s="1919"/>
      <c r="E454" s="1919"/>
      <c r="F454" s="1919"/>
      <c r="G454" s="790"/>
    </row>
    <row r="455" spans="1:9">
      <c r="A455" s="790"/>
      <c r="B455" s="790"/>
      <c r="C455" s="790"/>
      <c r="D455" s="1919"/>
      <c r="E455" s="1919"/>
      <c r="F455" s="1919"/>
      <c r="G455" s="790"/>
    </row>
    <row r="456" spans="1:9" s="831" customFormat="1">
      <c r="A456" s="788"/>
      <c r="B456" s="788"/>
      <c r="C456" s="788"/>
      <c r="D456" s="1919"/>
      <c r="E456" s="1919"/>
      <c r="F456" s="1919"/>
      <c r="G456" s="830"/>
      <c r="I456" s="1840"/>
    </row>
    <row r="457" spans="1:9" s="831" customFormat="1" ht="40.75" customHeight="1">
      <c r="A457" s="788"/>
      <c r="B457" s="788"/>
      <c r="C457" s="788"/>
      <c r="D457" s="1919"/>
      <c r="E457" s="1919"/>
      <c r="F457" s="1919"/>
      <c r="G457" s="830"/>
      <c r="I457" s="1840"/>
    </row>
    <row r="458" spans="1:9">
      <c r="D458" s="800"/>
      <c r="E458" s="800"/>
      <c r="F458" s="800"/>
      <c r="G458" s="790"/>
    </row>
    <row r="459" spans="1:9">
      <c r="A459" s="797"/>
      <c r="B459" s="798" t="s">
        <v>2580</v>
      </c>
      <c r="C459" s="829"/>
      <c r="D459" s="1919" t="s">
        <v>1322</v>
      </c>
      <c r="E459" s="1919"/>
      <c r="F459" s="1919"/>
      <c r="G459" s="790"/>
    </row>
    <row r="460" spans="1:9">
      <c r="D460" s="1919"/>
      <c r="E460" s="1919"/>
      <c r="F460" s="1919"/>
      <c r="G460" s="790"/>
    </row>
    <row r="461" spans="1:9">
      <c r="D461" s="1919"/>
      <c r="E461" s="1919"/>
      <c r="F461" s="1919"/>
      <c r="G461" s="790"/>
    </row>
    <row r="462" spans="1:9">
      <c r="D462" s="784"/>
      <c r="E462" s="784"/>
      <c r="F462" s="784"/>
      <c r="G462" s="790"/>
    </row>
    <row r="463" spans="1:9">
      <c r="B463" s="798" t="s">
        <v>2580</v>
      </c>
      <c r="C463" s="797"/>
      <c r="D463" s="1955" t="s">
        <v>1401</v>
      </c>
      <c r="E463" s="1955"/>
      <c r="F463" s="1955"/>
      <c r="G463" s="790"/>
    </row>
    <row r="464" spans="1:9">
      <c r="D464" s="1955"/>
      <c r="E464" s="1955"/>
      <c r="F464" s="1955"/>
      <c r="G464" s="790"/>
    </row>
    <row r="465" spans="1:7">
      <c r="D465" s="800"/>
      <c r="E465" s="800"/>
      <c r="F465" s="800"/>
      <c r="G465" s="790"/>
    </row>
    <row r="466" spans="1:7">
      <c r="B466" s="798" t="s">
        <v>2580</v>
      </c>
      <c r="C466" s="797"/>
      <c r="D466" s="1955" t="s">
        <v>1324</v>
      </c>
      <c r="E466" s="1955"/>
      <c r="F466" s="1955"/>
      <c r="G466" s="790"/>
    </row>
    <row r="467" spans="1:7">
      <c r="D467" s="1955"/>
      <c r="E467" s="1955"/>
      <c r="F467" s="1955"/>
      <c r="G467" s="790"/>
    </row>
    <row r="468" spans="1:7">
      <c r="D468" s="1955"/>
      <c r="E468" s="1955"/>
      <c r="F468" s="1955"/>
      <c r="G468" s="790"/>
    </row>
    <row r="469" spans="1:7">
      <c r="D469" s="1955"/>
      <c r="E469" s="1955"/>
      <c r="F469" s="1955"/>
      <c r="G469" s="790"/>
    </row>
    <row r="470" spans="1:7">
      <c r="B470" s="798" t="s">
        <v>2580</v>
      </c>
      <c r="D470" s="1955"/>
      <c r="E470" s="1955"/>
      <c r="F470" s="1955"/>
      <c r="G470" s="790"/>
    </row>
    <row r="471" spans="1:7">
      <c r="A471" s="790"/>
      <c r="B471" s="790"/>
      <c r="C471" s="790"/>
      <c r="D471" s="1955"/>
      <c r="E471" s="1955"/>
      <c r="F471" s="1955"/>
      <c r="G471" s="790"/>
    </row>
    <row r="472" spans="1:7">
      <c r="A472" s="790"/>
      <c r="C472" s="790"/>
      <c r="D472" s="1955"/>
      <c r="E472" s="1955"/>
      <c r="F472" s="1955"/>
      <c r="G472" s="790"/>
    </row>
    <row r="473" spans="1:7">
      <c r="A473" s="790"/>
      <c r="B473" s="798" t="s">
        <v>2580</v>
      </c>
      <c r="C473" s="790"/>
      <c r="D473" s="1955"/>
      <c r="E473" s="1955"/>
      <c r="F473" s="1955"/>
      <c r="G473" s="790"/>
    </row>
    <row r="474" spans="1:7">
      <c r="A474" s="790"/>
      <c r="B474" s="790"/>
      <c r="C474" s="790"/>
      <c r="D474" s="1955"/>
      <c r="E474" s="1955"/>
      <c r="F474" s="1955"/>
      <c r="G474" s="790"/>
    </row>
    <row r="475" spans="1:7">
      <c r="A475" s="790"/>
      <c r="C475" s="790"/>
      <c r="D475" s="1955"/>
      <c r="E475" s="1955"/>
      <c r="F475" s="1955"/>
      <c r="G475" s="790"/>
    </row>
    <row r="476" spans="1:7">
      <c r="A476" s="790"/>
      <c r="C476" s="790"/>
      <c r="D476" s="1955"/>
      <c r="E476" s="1955"/>
      <c r="F476" s="1955"/>
      <c r="G476" s="790"/>
    </row>
    <row r="477" spans="1:7">
      <c r="A477" s="790"/>
      <c r="C477" s="790"/>
      <c r="D477" s="1955"/>
      <c r="E477" s="1955"/>
      <c r="F477" s="1955"/>
      <c r="G477" s="790"/>
    </row>
    <row r="478" spans="1:7">
      <c r="A478" s="790"/>
      <c r="B478" s="798" t="s">
        <v>2580</v>
      </c>
      <c r="C478" s="790"/>
      <c r="D478" s="1955"/>
      <c r="E478" s="1955"/>
      <c r="F478" s="1955"/>
      <c r="G478" s="790"/>
    </row>
    <row r="479" spans="1:7">
      <c r="A479" s="790"/>
      <c r="C479" s="790"/>
      <c r="D479" s="1955"/>
      <c r="E479" s="1955"/>
      <c r="F479" s="1955"/>
      <c r="G479" s="790"/>
    </row>
    <row r="480" spans="1:7">
      <c r="A480" s="790"/>
      <c r="B480" s="798" t="s">
        <v>2580</v>
      </c>
      <c r="C480" s="790"/>
      <c r="D480" s="1955" t="s">
        <v>1325</v>
      </c>
      <c r="E480" s="1955"/>
      <c r="F480" s="1955"/>
      <c r="G480" s="790"/>
    </row>
    <row r="481" spans="1:9">
      <c r="A481" s="790"/>
      <c r="B481" s="790"/>
      <c r="C481" s="790"/>
      <c r="D481" s="1955"/>
      <c r="E481" s="1955"/>
      <c r="F481" s="1955"/>
      <c r="G481" s="790"/>
    </row>
    <row r="482" spans="1:9">
      <c r="A482" s="790"/>
      <c r="B482" s="790"/>
      <c r="C482" s="790"/>
      <c r="D482" s="1955"/>
      <c r="E482" s="1955"/>
      <c r="F482" s="1955"/>
      <c r="G482" s="790"/>
    </row>
    <row r="483" spans="1:9">
      <c r="A483" s="790"/>
      <c r="B483" s="790"/>
      <c r="C483" s="790"/>
      <c r="D483" s="1955"/>
      <c r="E483" s="1955"/>
      <c r="F483" s="1955"/>
      <c r="G483" s="790"/>
    </row>
    <row r="484" spans="1:9">
      <c r="D484" s="1955"/>
      <c r="E484" s="1955"/>
      <c r="F484" s="1955"/>
    </row>
    <row r="485" spans="1:9">
      <c r="D485" s="800"/>
      <c r="E485" s="800"/>
      <c r="F485" s="800"/>
    </row>
    <row r="486" spans="1:9">
      <c r="B486" s="798" t="s">
        <v>2580</v>
      </c>
      <c r="D486" s="1958" t="s">
        <v>1326</v>
      </c>
      <c r="E486" s="1958"/>
      <c r="F486" s="1958"/>
    </row>
    <row r="487" spans="1:9">
      <c r="A487" s="800"/>
      <c r="B487" s="800"/>
    </row>
    <row r="488" spans="1:9">
      <c r="A488" s="1884" t="s">
        <v>1167</v>
      </c>
      <c r="B488" s="1884"/>
      <c r="C488" s="1884"/>
      <c r="D488" s="1884"/>
      <c r="E488" s="1884"/>
      <c r="F488" s="1884"/>
      <c r="G488" s="1884"/>
      <c r="H488" s="1853"/>
      <c r="I488" s="1854"/>
    </row>
    <row r="489" spans="1:9">
      <c r="A489" s="800"/>
      <c r="B489" s="800"/>
    </row>
    <row r="490" spans="1:9">
      <c r="D490" s="1935" t="s">
        <v>947</v>
      </c>
      <c r="E490" s="1935"/>
      <c r="F490" s="1935"/>
    </row>
    <row r="491" spans="1:9" s="791" customFormat="1">
      <c r="A491" s="805"/>
      <c r="B491" s="805"/>
      <c r="C491" s="801"/>
      <c r="D491" s="1936" t="s">
        <v>1327</v>
      </c>
      <c r="E491" s="1936"/>
      <c r="F491" s="1936"/>
      <c r="G491" s="802"/>
      <c r="I491" s="1837"/>
    </row>
    <row r="492" spans="1:9" s="791" customFormat="1">
      <c r="A492" s="805"/>
      <c r="B492" s="805"/>
      <c r="C492" s="801"/>
      <c r="D492" s="787"/>
      <c r="E492" s="672"/>
      <c r="F492" s="672"/>
      <c r="G492" s="802"/>
      <c r="I492" s="1837"/>
    </row>
    <row r="493" spans="1:9" s="791" customFormat="1">
      <c r="A493" s="797"/>
      <c r="B493" s="798" t="s">
        <v>2580</v>
      </c>
      <c r="C493" s="801"/>
      <c r="D493" s="1937" t="s">
        <v>1328</v>
      </c>
      <c r="E493" s="1937"/>
      <c r="F493" s="1937"/>
      <c r="G493" s="802"/>
      <c r="I493" s="1837" t="s">
        <v>2439</v>
      </c>
    </row>
    <row r="494" spans="1:9" s="791" customFormat="1">
      <c r="A494" s="797"/>
      <c r="B494" s="797"/>
      <c r="C494" s="801"/>
      <c r="D494" s="1937"/>
      <c r="E494" s="1937"/>
      <c r="F494" s="1937"/>
      <c r="G494" s="802"/>
      <c r="I494" s="1837"/>
    </row>
    <row r="495" spans="1:9" s="791" customFormat="1">
      <c r="A495" s="797"/>
      <c r="B495" s="797"/>
      <c r="C495" s="801"/>
      <c r="D495" s="785"/>
      <c r="E495" s="672"/>
      <c r="F495" s="672"/>
      <c r="G495" s="802"/>
      <c r="I495" s="1837"/>
    </row>
    <row r="496" spans="1:9" ht="12.75" customHeight="1">
      <c r="B496" s="798" t="s">
        <v>2642</v>
      </c>
      <c r="D496" s="1907" t="s">
        <v>1508</v>
      </c>
      <c r="E496" s="1907"/>
      <c r="F496" s="1907"/>
      <c r="I496" s="1774" t="s">
        <v>2440</v>
      </c>
    </row>
    <row r="497" spans="1:9">
      <c r="A497" s="797"/>
      <c r="D497" s="1907"/>
      <c r="E497" s="1907"/>
      <c r="F497" s="1907"/>
    </row>
    <row r="498" spans="1:9">
      <c r="A498" s="797"/>
      <c r="B498" s="797"/>
      <c r="D498" s="1907"/>
      <c r="E498" s="1907"/>
      <c r="F498" s="1907"/>
    </row>
    <row r="499" spans="1:9">
      <c r="A499" s="797"/>
      <c r="B499" s="797"/>
      <c r="D499" s="1907"/>
      <c r="E499" s="1907"/>
      <c r="F499" s="1907"/>
    </row>
    <row r="500" spans="1:9">
      <c r="A500" s="797"/>
      <c r="D500" s="893"/>
      <c r="E500" s="893"/>
      <c r="F500" s="893"/>
      <c r="G500" s="790"/>
    </row>
    <row r="501" spans="1:9">
      <c r="A501" s="797"/>
      <c r="B501" s="798" t="s">
        <v>2580</v>
      </c>
      <c r="D501" s="1924" t="s">
        <v>1331</v>
      </c>
      <c r="E501" s="1924"/>
      <c r="F501" s="1924"/>
      <c r="G501" s="790"/>
      <c r="I501" s="1774" t="s">
        <v>2441</v>
      </c>
    </row>
    <row r="502" spans="1:9">
      <c r="A502" s="797"/>
      <c r="B502" s="797"/>
      <c r="D502" s="785"/>
      <c r="E502" s="672"/>
      <c r="F502" s="672"/>
      <c r="G502" s="790"/>
    </row>
    <row r="503" spans="1:9">
      <c r="A503" s="797"/>
      <c r="B503" s="798" t="s">
        <v>2580</v>
      </c>
      <c r="D503" s="1919" t="s">
        <v>1332</v>
      </c>
      <c r="E503" s="1919"/>
      <c r="F503" s="1919"/>
      <c r="G503" s="790"/>
      <c r="I503" s="1774" t="s">
        <v>2441</v>
      </c>
    </row>
    <row r="504" spans="1:9">
      <c r="A504" s="797"/>
      <c r="D504" s="1919"/>
      <c r="E504" s="1919"/>
      <c r="F504" s="1919"/>
      <c r="G504" s="790"/>
    </row>
    <row r="505" spans="1:9">
      <c r="A505" s="816"/>
      <c r="B505" s="816"/>
      <c r="D505" s="733"/>
      <c r="E505" s="672"/>
      <c r="F505" s="672"/>
      <c r="G505" s="790"/>
    </row>
    <row r="506" spans="1:9">
      <c r="A506" s="816"/>
      <c r="B506" s="798" t="s">
        <v>2580</v>
      </c>
      <c r="D506" s="1924" t="s">
        <v>1333</v>
      </c>
      <c r="E506" s="1924"/>
      <c r="F506" s="1924"/>
      <c r="G506" s="790"/>
      <c r="I506" s="1774" t="s">
        <v>2496</v>
      </c>
    </row>
    <row r="507" spans="1:9">
      <c r="A507" s="797"/>
      <c r="B507" s="797"/>
      <c r="D507" s="800"/>
    </row>
    <row r="508" spans="1:9">
      <c r="A508" s="1884" t="s">
        <v>1168</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0" t="s">
        <v>850</v>
      </c>
      <c r="E510" s="1960"/>
      <c r="F510" s="1960"/>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2642</v>
      </c>
      <c r="C514" s="799"/>
      <c r="D514" s="1918" t="s">
        <v>2267</v>
      </c>
      <c r="E514" s="1918"/>
      <c r="F514" s="1918"/>
      <c r="G514" s="672"/>
      <c r="I514" s="622" t="s">
        <v>2476</v>
      </c>
    </row>
    <row r="515" spans="1:9" s="722" customFormat="1">
      <c r="A515" s="795"/>
      <c r="B515" s="795"/>
      <c r="C515" s="799"/>
      <c r="D515" s="1918"/>
      <c r="E515" s="1918"/>
      <c r="F515" s="1918"/>
      <c r="G515" s="672"/>
      <c r="I515" s="622"/>
    </row>
    <row r="516" spans="1:9" s="722" customFormat="1">
      <c r="A516" s="795"/>
      <c r="B516" s="795"/>
      <c r="C516" s="799"/>
      <c r="D516" s="1707"/>
      <c r="E516" s="1707"/>
      <c r="F516" s="1707"/>
      <c r="G516" s="672"/>
    </row>
    <row r="517" spans="1:9" s="722" customFormat="1">
      <c r="A517" s="795"/>
      <c r="B517" s="798" t="s">
        <v>2580</v>
      </c>
      <c r="C517" s="804"/>
      <c r="D517" s="1918" t="s">
        <v>1206</v>
      </c>
      <c r="E517" s="1918"/>
      <c r="F517" s="1918"/>
      <c r="G517" s="672"/>
      <c r="I517" s="622" t="s">
        <v>2442</v>
      </c>
    </row>
    <row r="518" spans="1:9" s="722" customFormat="1">
      <c r="A518" s="795"/>
      <c r="B518" s="795"/>
      <c r="C518" s="804"/>
      <c r="D518" s="1918"/>
      <c r="E518" s="1918"/>
      <c r="F518" s="1918"/>
      <c r="G518" s="672"/>
      <c r="I518" s="622"/>
    </row>
    <row r="519" spans="1:9" s="722" customFormat="1">
      <c r="A519" s="795"/>
      <c r="B519" s="795"/>
      <c r="C519" s="799"/>
      <c r="D519" s="1918"/>
      <c r="E519" s="1918"/>
      <c r="F519" s="1918"/>
      <c r="G519" s="672"/>
      <c r="I519" s="622"/>
    </row>
    <row r="520" spans="1:9" s="722" customFormat="1">
      <c r="A520" s="795"/>
      <c r="B520" s="795"/>
      <c r="C520" s="799"/>
      <c r="D520" s="833"/>
      <c r="E520" s="672"/>
      <c r="F520" s="785"/>
      <c r="G520" s="672"/>
      <c r="I520" s="622"/>
    </row>
    <row r="521" spans="1:9" s="722" customFormat="1" ht="13.15" customHeight="1">
      <c r="A521" s="795"/>
      <c r="B521" s="798" t="s">
        <v>2580</v>
      </c>
      <c r="C521" s="799"/>
      <c r="D521" s="1964" t="s">
        <v>1232</v>
      </c>
      <c r="E521" s="1964"/>
      <c r="F521" s="1964"/>
      <c r="G521" s="672"/>
      <c r="I521" s="622" t="s">
        <v>2442</v>
      </c>
    </row>
    <row r="522" spans="1:9" s="722" customFormat="1">
      <c r="A522" s="795"/>
      <c r="B522" s="795"/>
      <c r="C522" s="799"/>
      <c r="D522" s="1964"/>
      <c r="E522" s="1964"/>
      <c r="F522" s="1964"/>
      <c r="G522" s="672"/>
      <c r="I522" s="622"/>
    </row>
    <row r="523" spans="1:9" s="722" customFormat="1" ht="12" customHeight="1">
      <c r="A523" s="800"/>
      <c r="B523" s="800"/>
      <c r="C523" s="808"/>
      <c r="D523" s="800"/>
      <c r="E523" s="672"/>
      <c r="F523" s="835"/>
      <c r="G523" s="672"/>
      <c r="I523" s="622"/>
    </row>
    <row r="524" spans="1:9">
      <c r="A524" s="1884" t="s">
        <v>1169</v>
      </c>
      <c r="B524" s="1884"/>
      <c r="C524" s="1884"/>
      <c r="D524" s="1884"/>
      <c r="E524" s="1884"/>
      <c r="F524" s="1884"/>
      <c r="G524" s="1884"/>
      <c r="H524" s="1853"/>
      <c r="I524" s="1854"/>
    </row>
    <row r="525" spans="1:9">
      <c r="A525" s="800"/>
      <c r="B525" s="800"/>
      <c r="C525" s="829"/>
      <c r="F525" s="836"/>
    </row>
    <row r="526" spans="1:9">
      <c r="B526" s="1956" t="s">
        <v>469</v>
      </c>
      <c r="C526" s="1956"/>
      <c r="D526" s="1956"/>
      <c r="E526" s="1956"/>
      <c r="F526" s="1956"/>
    </row>
    <row r="527" spans="1:9">
      <c r="A527" s="800"/>
      <c r="B527" s="800"/>
      <c r="C527" s="829"/>
      <c r="D527" s="800"/>
      <c r="F527" s="800"/>
    </row>
    <row r="528" spans="1:9">
      <c r="A528" s="1885" t="s">
        <v>1170</v>
      </c>
      <c r="B528" s="1885"/>
      <c r="C528" s="1885"/>
      <c r="D528" s="1885"/>
      <c r="E528" s="1885"/>
      <c r="F528" s="1885"/>
      <c r="G528" s="1885"/>
      <c r="H528" s="1853"/>
      <c r="I528" s="1854"/>
    </row>
    <row r="529" spans="1:9">
      <c r="A529" s="800"/>
      <c r="B529" s="800"/>
      <c r="C529" s="829"/>
      <c r="D529" s="800"/>
      <c r="F529" s="800"/>
    </row>
    <row r="530" spans="1:9">
      <c r="C530" s="829"/>
      <c r="D530" s="1874" t="s">
        <v>719</v>
      </c>
      <c r="E530" s="1874"/>
      <c r="F530" s="1874"/>
    </row>
    <row r="531" spans="1:9">
      <c r="C531" s="829"/>
      <c r="D531" s="1924" t="s">
        <v>1227</v>
      </c>
      <c r="E531" s="1924"/>
      <c r="F531" s="1924"/>
    </row>
    <row r="532" spans="1:9">
      <c r="C532" s="829"/>
      <c r="D532" s="785"/>
      <c r="E532" s="785"/>
      <c r="F532" s="785"/>
    </row>
    <row r="533" spans="1:9" ht="13.75" customHeight="1">
      <c r="A533" s="797"/>
      <c r="B533" s="798" t="s">
        <v>2642</v>
      </c>
      <c r="C533" s="829"/>
      <c r="D533" s="1924" t="s">
        <v>948</v>
      </c>
      <c r="E533" s="1924"/>
      <c r="F533" s="1924"/>
      <c r="G533" s="790"/>
      <c r="I533" s="1774" t="s">
        <v>2494</v>
      </c>
    </row>
    <row r="534" spans="1:9" ht="13.75" customHeight="1">
      <c r="A534" s="829"/>
      <c r="B534" s="829"/>
      <c r="C534" s="829"/>
      <c r="D534" s="785"/>
      <c r="E534" s="618"/>
      <c r="F534" s="618"/>
      <c r="G534" s="790"/>
    </row>
    <row r="535" spans="1:9">
      <c r="A535" s="797"/>
      <c r="B535" s="798" t="s">
        <v>2642</v>
      </c>
      <c r="C535" s="829"/>
      <c r="D535" s="1919" t="s">
        <v>1228</v>
      </c>
      <c r="E535" s="1919"/>
      <c r="F535" s="1919"/>
      <c r="G535" s="790"/>
      <c r="I535" s="1774" t="s">
        <v>2494</v>
      </c>
    </row>
    <row r="536" spans="1:9">
      <c r="A536" s="829"/>
      <c r="B536" s="829"/>
      <c r="C536" s="829"/>
      <c r="D536" s="1919"/>
      <c r="E536" s="1919"/>
      <c r="F536" s="1919"/>
      <c r="G536" s="790"/>
    </row>
    <row r="537" spans="1:9">
      <c r="A537" s="829"/>
      <c r="B537" s="829"/>
      <c r="C537" s="829"/>
      <c r="D537" s="800"/>
      <c r="E537" s="800"/>
      <c r="F537" s="800"/>
      <c r="G537" s="790"/>
    </row>
    <row r="538" spans="1:9">
      <c r="A538" s="797"/>
      <c r="B538" s="798" t="s">
        <v>2642</v>
      </c>
      <c r="C538" s="829"/>
      <c r="D538" s="1919" t="s">
        <v>1229</v>
      </c>
      <c r="E538" s="1919"/>
      <c r="F538" s="1919"/>
      <c r="G538" s="790"/>
      <c r="I538" s="1774" t="s">
        <v>2443</v>
      </c>
    </row>
    <row r="539" spans="1:9">
      <c r="A539" s="829"/>
      <c r="B539" s="829"/>
      <c r="C539" s="829"/>
      <c r="D539" s="1919"/>
      <c r="E539" s="1919"/>
      <c r="F539" s="1919"/>
      <c r="G539" s="790"/>
    </row>
    <row r="540" spans="1:9">
      <c r="A540" s="829"/>
      <c r="B540" s="829"/>
      <c r="C540" s="829"/>
      <c r="D540" s="800"/>
      <c r="E540" s="800"/>
      <c r="F540" s="800"/>
      <c r="G540" s="790"/>
    </row>
    <row r="541" spans="1:9">
      <c r="A541" s="797"/>
      <c r="B541" s="798" t="s">
        <v>2642</v>
      </c>
      <c r="C541" s="829"/>
      <c r="D541" s="1919" t="s">
        <v>1230</v>
      </c>
      <c r="E541" s="1919"/>
      <c r="F541" s="1919"/>
      <c r="G541" s="790"/>
      <c r="I541" s="1774" t="s">
        <v>2444</v>
      </c>
    </row>
    <row r="542" spans="1:9">
      <c r="A542" s="829"/>
      <c r="B542" s="829"/>
      <c r="C542" s="829"/>
      <c r="D542" s="1919"/>
      <c r="E542" s="1919"/>
      <c r="F542" s="1919"/>
      <c r="G542" s="790"/>
    </row>
    <row r="543" spans="1:9">
      <c r="A543" s="829"/>
      <c r="B543" s="829"/>
      <c r="C543" s="829"/>
      <c r="D543" s="800"/>
      <c r="E543" s="800"/>
      <c r="F543" s="800"/>
      <c r="G543" s="790"/>
    </row>
    <row r="544" spans="1:9">
      <c r="A544" s="797"/>
      <c r="B544" s="798" t="s">
        <v>2642</v>
      </c>
      <c r="C544" s="829"/>
      <c r="D544" s="1919" t="s">
        <v>1231</v>
      </c>
      <c r="E544" s="1919"/>
      <c r="F544" s="1919"/>
      <c r="G544" s="790"/>
      <c r="I544" s="1774" t="s">
        <v>2495</v>
      </c>
    </row>
    <row r="545" spans="1:9">
      <c r="A545" s="829"/>
      <c r="B545" s="829"/>
      <c r="C545" s="829"/>
      <c r="D545" s="1919"/>
      <c r="E545" s="1919"/>
      <c r="F545" s="1919"/>
      <c r="G545" s="790"/>
    </row>
    <row r="546" spans="1:9">
      <c r="A546" s="829"/>
      <c r="B546" s="829"/>
      <c r="C546" s="829"/>
      <c r="D546" s="1919"/>
      <c r="E546" s="1919"/>
      <c r="F546" s="1919"/>
      <c r="G546" s="790"/>
    </row>
    <row r="547" spans="1:9">
      <c r="A547" s="829"/>
      <c r="B547" s="829"/>
      <c r="C547" s="829"/>
      <c r="D547" s="800"/>
      <c r="E547" s="800"/>
      <c r="F547" s="800"/>
    </row>
    <row r="548" spans="1:9">
      <c r="A548" s="797"/>
      <c r="B548" s="798" t="s">
        <v>2580</v>
      </c>
      <c r="C548" s="829"/>
      <c r="D548" s="1964" t="s">
        <v>1349</v>
      </c>
      <c r="E548" s="1964"/>
      <c r="F548" s="1964"/>
      <c r="I548" s="1774" t="s">
        <v>2494</v>
      </c>
    </row>
    <row r="549" spans="1:9">
      <c r="A549" s="829"/>
      <c r="B549" s="829"/>
      <c r="C549" s="829"/>
      <c r="D549" s="1964"/>
      <c r="E549" s="1964"/>
      <c r="F549" s="1964"/>
    </row>
    <row r="550" spans="1:9">
      <c r="A550" s="829"/>
      <c r="B550" s="829"/>
      <c r="C550" s="829"/>
      <c r="D550" s="800"/>
      <c r="E550" s="800"/>
      <c r="F550" s="800"/>
    </row>
    <row r="551" spans="1:9">
      <c r="A551" s="797"/>
      <c r="B551" s="798" t="s">
        <v>2642</v>
      </c>
      <c r="C551" s="829"/>
      <c r="D551" s="1919" t="s">
        <v>1233</v>
      </c>
      <c r="E551" s="1919"/>
      <c r="F551" s="1919"/>
      <c r="I551" s="1774" t="s">
        <v>2494</v>
      </c>
    </row>
    <row r="552" spans="1:9">
      <c r="A552" s="829"/>
      <c r="B552" s="829"/>
      <c r="C552" s="829"/>
      <c r="D552" s="1919"/>
      <c r="E552" s="1919"/>
      <c r="F552" s="1919"/>
      <c r="G552" s="819"/>
    </row>
    <row r="553" spans="1:9">
      <c r="A553" s="829"/>
      <c r="B553" s="829"/>
      <c r="C553" s="829"/>
      <c r="D553" s="800"/>
      <c r="E553" s="800"/>
      <c r="F553" s="800"/>
      <c r="G553" s="819"/>
    </row>
    <row r="554" spans="1:9">
      <c r="A554" s="797"/>
      <c r="B554" s="798" t="s">
        <v>2642</v>
      </c>
      <c r="C554" s="829"/>
      <c r="D554" s="1924" t="s">
        <v>1234</v>
      </c>
      <c r="E554" s="1924"/>
      <c r="F554" s="1924"/>
      <c r="G554" s="819"/>
      <c r="I554" s="1774" t="s">
        <v>2497</v>
      </c>
    </row>
    <row r="555" spans="1:9">
      <c r="A555" s="816"/>
      <c r="B555" s="816"/>
      <c r="C555" s="829"/>
      <c r="D555" s="1924" t="s">
        <v>880</v>
      </c>
      <c r="E555" s="1924"/>
      <c r="F555" s="1924"/>
      <c r="G555" s="819"/>
    </row>
    <row r="556" spans="1:9">
      <c r="A556" s="816"/>
      <c r="B556" s="816"/>
      <c r="C556" s="829"/>
      <c r="D556" s="672"/>
      <c r="E556" s="1967" t="s">
        <v>1235</v>
      </c>
      <c r="F556" s="1967"/>
      <c r="G556" s="819"/>
    </row>
    <row r="557" spans="1:9">
      <c r="A557" s="797"/>
      <c r="B557" s="797"/>
      <c r="C557" s="829"/>
      <c r="E557" s="800"/>
      <c r="F557" s="800"/>
      <c r="G557" s="819"/>
    </row>
    <row r="558" spans="1:9">
      <c r="A558" s="797"/>
      <c r="B558" s="798" t="s">
        <v>2642</v>
      </c>
      <c r="C558" s="829"/>
      <c r="D558" s="1966" t="s">
        <v>1236</v>
      </c>
      <c r="E558" s="1966"/>
      <c r="F558" s="1966"/>
      <c r="G558" s="819"/>
      <c r="I558" s="1774" t="s">
        <v>2445</v>
      </c>
    </row>
    <row r="559" spans="1:9">
      <c r="C559" s="829"/>
      <c r="D559" s="1919" t="s">
        <v>1237</v>
      </c>
      <c r="E559" s="1919"/>
      <c r="F559" s="1919"/>
      <c r="G559" s="819"/>
    </row>
    <row r="560" spans="1:9">
      <c r="A560" s="829"/>
      <c r="B560" s="829"/>
      <c r="C560" s="829"/>
      <c r="D560" s="1919"/>
      <c r="E560" s="1919"/>
      <c r="F560" s="1919"/>
      <c r="G560" s="819"/>
    </row>
    <row r="561" spans="1:9">
      <c r="A561" s="829"/>
      <c r="B561" s="829"/>
      <c r="C561" s="829"/>
      <c r="D561" s="1919"/>
      <c r="E561" s="1919"/>
      <c r="F561" s="1919"/>
      <c r="G561" s="819"/>
    </row>
    <row r="562" spans="1:9">
      <c r="A562" s="829"/>
      <c r="B562" s="829"/>
      <c r="C562" s="829"/>
      <c r="D562" s="800"/>
      <c r="E562" s="800"/>
      <c r="F562" s="800"/>
      <c r="G562" s="819"/>
    </row>
    <row r="563" spans="1:9">
      <c r="A563" s="797"/>
      <c r="B563" s="798" t="s">
        <v>2642</v>
      </c>
      <c r="C563" s="829"/>
      <c r="D563" s="1919" t="s">
        <v>1238</v>
      </c>
      <c r="E563" s="1919"/>
      <c r="F563" s="1919"/>
      <c r="G563" s="819"/>
      <c r="I563" s="1774" t="s">
        <v>2446</v>
      </c>
    </row>
    <row r="564" spans="1:9">
      <c r="A564" s="797"/>
      <c r="B564" s="797"/>
      <c r="C564" s="829"/>
      <c r="D564" s="1919"/>
      <c r="E564" s="1919"/>
      <c r="F564" s="1919"/>
      <c r="G564" s="819"/>
    </row>
    <row r="565" spans="1:9">
      <c r="A565" s="797"/>
      <c r="B565" s="797"/>
      <c r="C565" s="829"/>
      <c r="D565" s="1919"/>
      <c r="E565" s="1919"/>
      <c r="F565" s="1919"/>
      <c r="G565" s="819"/>
    </row>
    <row r="566" spans="1:9">
      <c r="A566" s="797"/>
      <c r="B566" s="797"/>
      <c r="C566" s="829"/>
      <c r="D566" s="1919"/>
      <c r="E566" s="1919"/>
      <c r="F566" s="1919"/>
      <c r="G566" s="819"/>
    </row>
    <row r="567" spans="1:9">
      <c r="A567" s="797"/>
      <c r="B567" s="797"/>
      <c r="C567" s="829"/>
      <c r="D567" s="800"/>
      <c r="E567" s="800"/>
      <c r="F567" s="800"/>
      <c r="G567" s="819"/>
    </row>
    <row r="568" spans="1:9">
      <c r="A568" s="1884" t="s">
        <v>1171</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57" t="s">
        <v>216</v>
      </c>
      <c r="E570" s="1957"/>
      <c r="F570" s="1957"/>
      <c r="G570" s="819"/>
    </row>
    <row r="571" spans="1:9">
      <c r="A571" s="795"/>
      <c r="B571" s="795"/>
      <c r="C571" s="795"/>
      <c r="D571" s="1906" t="s">
        <v>1187</v>
      </c>
      <c r="E571" s="1906"/>
      <c r="F571" s="1906"/>
      <c r="G571" s="819"/>
    </row>
    <row r="572" spans="1:9">
      <c r="A572" s="790"/>
      <c r="B572" s="790"/>
      <c r="C572" s="795"/>
      <c r="D572" s="837"/>
      <c r="G572" s="819"/>
      <c r="I572" s="1774" t="s">
        <v>2447</v>
      </c>
    </row>
    <row r="573" spans="1:9">
      <c r="A573" s="795"/>
      <c r="B573" s="798" t="s">
        <v>2642</v>
      </c>
      <c r="D573" s="1906" t="s">
        <v>954</v>
      </c>
      <c r="E573" s="1906"/>
      <c r="F573" s="1906"/>
      <c r="G573" s="819"/>
    </row>
    <row r="574" spans="1:9">
      <c r="A574" s="816"/>
      <c r="B574" s="816"/>
      <c r="D574" s="814"/>
    </row>
    <row r="575" spans="1:9">
      <c r="A575" s="816"/>
      <c r="B575" s="798" t="s">
        <v>2642</v>
      </c>
      <c r="D575" s="1907" t="s">
        <v>1188</v>
      </c>
      <c r="E575" s="1907"/>
      <c r="F575" s="1907"/>
      <c r="I575" s="1774" t="s">
        <v>2449</v>
      </c>
    </row>
    <row r="576" spans="1:9">
      <c r="A576" s="816"/>
      <c r="B576" s="816"/>
      <c r="D576" s="1907"/>
      <c r="E576" s="1907"/>
      <c r="F576" s="1907"/>
      <c r="G576" s="790"/>
      <c r="I576" s="1774" t="s">
        <v>2448</v>
      </c>
    </row>
    <row r="577" spans="1:9">
      <c r="A577" s="816"/>
      <c r="B577" s="816"/>
      <c r="D577" s="1907"/>
      <c r="E577" s="1907"/>
      <c r="F577" s="1907"/>
      <c r="G577" s="790"/>
    </row>
    <row r="578" spans="1:9">
      <c r="A578" s="816"/>
      <c r="B578" s="816"/>
      <c r="D578" s="1907"/>
      <c r="E578" s="1907"/>
      <c r="F578" s="1907"/>
      <c r="G578" s="790"/>
    </row>
    <row r="579" spans="1:9">
      <c r="A579" s="816"/>
      <c r="B579" s="798" t="s">
        <v>2580</v>
      </c>
      <c r="D579" s="1907" t="s">
        <v>1189</v>
      </c>
      <c r="E579" s="1907"/>
      <c r="F579" s="1907"/>
      <c r="G579" s="790"/>
    </row>
    <row r="580" spans="1:9">
      <c r="A580" s="816"/>
      <c r="B580" s="816"/>
      <c r="D580" s="1907"/>
      <c r="E580" s="1907"/>
      <c r="F580" s="1907"/>
      <c r="G580" s="790"/>
    </row>
    <row r="581" spans="1:9">
      <c r="A581" s="816"/>
      <c r="B581" s="816"/>
      <c r="D581" s="1907"/>
      <c r="E581" s="1907"/>
      <c r="F581" s="1907"/>
      <c r="G581" s="790"/>
    </row>
    <row r="582" spans="1:9">
      <c r="A582" s="816"/>
      <c r="B582" s="816"/>
      <c r="D582" s="1907"/>
      <c r="E582" s="1907"/>
      <c r="F582" s="1907"/>
      <c r="G582" s="790"/>
    </row>
    <row r="583" spans="1:9">
      <c r="A583" s="816"/>
      <c r="B583" s="816"/>
      <c r="D583" s="783"/>
      <c r="E583" s="783"/>
      <c r="F583" s="783"/>
      <c r="G583" s="790"/>
    </row>
    <row r="584" spans="1:9">
      <c r="A584" s="816"/>
      <c r="B584" s="798" t="s">
        <v>2642</v>
      </c>
      <c r="D584" s="1907" t="s">
        <v>1190</v>
      </c>
      <c r="E584" s="1907"/>
      <c r="F584" s="1907"/>
      <c r="G584" s="790"/>
    </row>
    <row r="585" spans="1:9">
      <c r="A585" s="816"/>
      <c r="B585" s="816"/>
      <c r="D585" s="1907"/>
      <c r="E585" s="1907"/>
      <c r="F585" s="1907"/>
      <c r="G585" s="790"/>
    </row>
    <row r="586" spans="1:9">
      <c r="A586" s="816"/>
      <c r="B586" s="816"/>
      <c r="D586" s="837"/>
      <c r="G586" s="790"/>
    </row>
    <row r="587" spans="1:9">
      <c r="A587" s="816"/>
      <c r="B587" s="798" t="s">
        <v>2580</v>
      </c>
      <c r="D587" s="1906" t="s">
        <v>1191</v>
      </c>
      <c r="E587" s="1906"/>
      <c r="F587" s="1906"/>
      <c r="G587" s="790"/>
      <c r="I587" s="1774" t="s">
        <v>2498</v>
      </c>
    </row>
    <row r="588" spans="1:9">
      <c r="A588" s="816"/>
      <c r="B588" s="816"/>
      <c r="D588" s="1906"/>
      <c r="E588" s="1906"/>
      <c r="F588" s="1906"/>
      <c r="G588" s="790"/>
    </row>
    <row r="589" spans="1:9">
      <c r="A589" s="797"/>
      <c r="B589" s="797"/>
      <c r="D589" s="837"/>
      <c r="G589" s="790"/>
    </row>
    <row r="590" spans="1:9">
      <c r="A590" s="1884" t="s">
        <v>1172</v>
      </c>
      <c r="B590" s="1884"/>
      <c r="C590" s="1884"/>
      <c r="D590" s="1884"/>
      <c r="E590" s="1884"/>
      <c r="F590" s="1884"/>
      <c r="G590" s="1884"/>
      <c r="H590" s="1853"/>
      <c r="I590" s="1854"/>
    </row>
    <row r="591" spans="1:9"/>
    <row r="592" spans="1:9">
      <c r="D592" s="1874" t="s">
        <v>1272</v>
      </c>
      <c r="E592" s="1874"/>
      <c r="F592" s="1874"/>
    </row>
    <row r="593" spans="1:9">
      <c r="D593" s="1875" t="s">
        <v>1273</v>
      </c>
      <c r="E593" s="1875"/>
      <c r="F593" s="1875"/>
    </row>
    <row r="594" spans="1:9">
      <c r="D594" s="780"/>
      <c r="E594" s="722"/>
      <c r="F594" s="722"/>
    </row>
    <row r="595" spans="1:9" s="791" customFormat="1">
      <c r="A595" s="805"/>
      <c r="B595" s="798" t="s">
        <v>2642</v>
      </c>
      <c r="C595" s="801"/>
      <c r="D595" s="1876" t="s">
        <v>1274</v>
      </c>
      <c r="E595" s="1876"/>
      <c r="F595" s="1876"/>
      <c r="G595" s="802"/>
      <c r="I595" s="1837" t="s">
        <v>2477</v>
      </c>
    </row>
    <row r="596" spans="1:9">
      <c r="D596" s="1876"/>
      <c r="E596" s="1876"/>
      <c r="F596" s="1876"/>
    </row>
    <row r="597" spans="1:9">
      <c r="D597" s="1876"/>
      <c r="E597" s="1876"/>
      <c r="F597" s="1876"/>
    </row>
    <row r="598" spans="1:9"/>
    <row r="599" spans="1:9">
      <c r="A599" s="1884" t="s">
        <v>1173</v>
      </c>
      <c r="B599" s="1884"/>
      <c r="C599" s="1884"/>
      <c r="D599" s="1884"/>
      <c r="E599" s="1884"/>
      <c r="F599" s="1884"/>
      <c r="G599" s="1884"/>
      <c r="H599" s="1853"/>
      <c r="I599" s="1854"/>
    </row>
    <row r="600" spans="1:9">
      <c r="A600" s="800"/>
      <c r="B600" s="800"/>
      <c r="G600" s="819"/>
    </row>
    <row r="601" spans="1:9">
      <c r="A601" s="838"/>
      <c r="B601" s="838"/>
      <c r="C601" s="793"/>
      <c r="D601" s="1877" t="s">
        <v>1275</v>
      </c>
      <c r="E601" s="1877"/>
      <c r="F601" s="1877"/>
      <c r="G601" s="819"/>
    </row>
    <row r="602" spans="1:9">
      <c r="A602" s="838"/>
      <c r="B602" s="838"/>
      <c r="C602" s="793"/>
      <c r="D602" s="1877"/>
      <c r="E602" s="1877"/>
      <c r="F602" s="1877"/>
      <c r="G602" s="819"/>
    </row>
    <row r="603" spans="1:9">
      <c r="C603" s="795"/>
      <c r="D603" s="1875" t="s">
        <v>1276</v>
      </c>
      <c r="E603" s="1875"/>
      <c r="F603" s="1875"/>
      <c r="G603" s="819"/>
    </row>
    <row r="604" spans="1:9">
      <c r="C604" s="795"/>
      <c r="D604" s="780"/>
      <c r="E604" s="780"/>
      <c r="F604" s="780"/>
      <c r="G604" s="819"/>
    </row>
    <row r="605" spans="1:9" ht="12.75" customHeight="1">
      <c r="A605" s="816"/>
      <c r="B605" s="798" t="s">
        <v>2642</v>
      </c>
      <c r="D605" s="1878" t="s">
        <v>1277</v>
      </c>
      <c r="E605" s="1878"/>
      <c r="F605" s="1878"/>
      <c r="G605" s="819"/>
      <c r="I605" s="1774" t="s">
        <v>2499</v>
      </c>
    </row>
    <row r="606" spans="1:9">
      <c r="D606" s="1878"/>
      <c r="E606" s="1878"/>
      <c r="F606" s="1878"/>
      <c r="G606" s="819"/>
    </row>
    <row r="607" spans="1:9">
      <c r="D607" s="790"/>
      <c r="G607" s="819"/>
    </row>
    <row r="608" spans="1:9">
      <c r="B608" s="798" t="s">
        <v>2642</v>
      </c>
      <c r="D608" s="1878" t="s">
        <v>1278</v>
      </c>
      <c r="E608" s="1878"/>
      <c r="F608" s="1878"/>
      <c r="G608" s="819"/>
      <c r="I608" s="1774" t="s">
        <v>2450</v>
      </c>
    </row>
    <row r="609" spans="1:9">
      <c r="C609" s="839"/>
      <c r="D609" s="1878"/>
      <c r="E609" s="1878"/>
      <c r="F609" s="1878"/>
      <c r="G609" s="819"/>
    </row>
    <row r="610" spans="1:9">
      <c r="C610" s="839"/>
      <c r="G610" s="819"/>
    </row>
    <row r="611" spans="1:9">
      <c r="B611" s="798" t="s">
        <v>2580</v>
      </c>
      <c r="C611" s="839"/>
      <c r="D611" s="1878" t="s">
        <v>1279</v>
      </c>
      <c r="E611" s="1878"/>
      <c r="F611" s="1878"/>
      <c r="G611" s="819"/>
      <c r="I611" s="1774" t="s">
        <v>2500</v>
      </c>
    </row>
    <row r="612" spans="1:9">
      <c r="C612" s="839"/>
      <c r="D612" s="1878"/>
      <c r="E612" s="1878"/>
      <c r="F612" s="1878"/>
      <c r="G612" s="819"/>
      <c r="I612" s="1850" t="s">
        <v>2501</v>
      </c>
    </row>
    <row r="613" spans="1:9">
      <c r="C613" s="839"/>
      <c r="G613" s="819"/>
    </row>
    <row r="614" spans="1:9">
      <c r="A614" s="1884" t="s">
        <v>1174</v>
      </c>
      <c r="B614" s="1884"/>
      <c r="C614" s="1884"/>
      <c r="D614" s="1884"/>
      <c r="E614" s="1884"/>
      <c r="F614" s="1884"/>
      <c r="G614" s="1884"/>
      <c r="H614" s="1853"/>
      <c r="I614" s="1854"/>
    </row>
    <row r="615" spans="1:9">
      <c r="A615" s="840"/>
      <c r="B615" s="840"/>
      <c r="C615" s="840"/>
      <c r="G615" s="819"/>
    </row>
    <row r="616" spans="1:9">
      <c r="C616" s="816"/>
      <c r="D616" s="1874" t="s">
        <v>1280</v>
      </c>
      <c r="E616" s="1874"/>
      <c r="F616" s="1874"/>
      <c r="G616" s="819"/>
    </row>
    <row r="617" spans="1:9">
      <c r="A617" s="816"/>
      <c r="B617" s="816"/>
      <c r="C617" s="818"/>
      <c r="D617" s="794"/>
      <c r="G617" s="819"/>
    </row>
    <row r="618" spans="1:9">
      <c r="A618" s="797"/>
      <c r="B618" s="798" t="s">
        <v>2642</v>
      </c>
      <c r="C618" s="818"/>
      <c r="D618" s="1919" t="s">
        <v>1502</v>
      </c>
      <c r="E618" s="1919"/>
      <c r="F618" s="1919"/>
      <c r="G618" s="819"/>
      <c r="I618" s="1774" t="s">
        <v>2478</v>
      </c>
    </row>
    <row r="619" spans="1:9">
      <c r="C619" s="818"/>
      <c r="D619" s="1919"/>
      <c r="E619" s="1919"/>
      <c r="F619" s="1919"/>
      <c r="G619" s="819"/>
    </row>
    <row r="620" spans="1:9">
      <c r="C620" s="818"/>
      <c r="D620" s="1919"/>
      <c r="E620" s="1919"/>
      <c r="F620" s="1919"/>
      <c r="G620" s="819"/>
    </row>
    <row r="621" spans="1:9">
      <c r="C621" s="818"/>
      <c r="D621" s="1919"/>
      <c r="E621" s="1919"/>
      <c r="F621" s="1919"/>
      <c r="G621" s="819"/>
    </row>
    <row r="622" spans="1:9">
      <c r="C622" s="818"/>
      <c r="D622" s="1919"/>
      <c r="E622" s="1919"/>
      <c r="F622" s="1919"/>
      <c r="G622" s="819"/>
    </row>
    <row r="623" spans="1:9">
      <c r="C623" s="818"/>
      <c r="D623" s="1919"/>
      <c r="E623" s="1919"/>
      <c r="F623" s="1919"/>
      <c r="G623" s="819"/>
    </row>
    <row r="624" spans="1:9">
      <c r="C624" s="818"/>
      <c r="D624" s="784"/>
      <c r="E624" s="784"/>
      <c r="F624" s="784"/>
      <c r="G624" s="819"/>
    </row>
    <row r="625" spans="1:9">
      <c r="A625" s="797"/>
      <c r="B625" s="798" t="s">
        <v>2580</v>
      </c>
      <c r="C625" s="818"/>
      <c r="D625" s="1919" t="s">
        <v>1282</v>
      </c>
      <c r="E625" s="1919"/>
      <c r="F625" s="1919"/>
      <c r="G625" s="819"/>
      <c r="I625" s="1774" t="s">
        <v>2502</v>
      </c>
    </row>
    <row r="626" spans="1:9">
      <c r="A626" s="829"/>
      <c r="B626" s="829"/>
      <c r="C626" s="829"/>
      <c r="D626" s="1919"/>
      <c r="E626" s="1919"/>
      <c r="F626" s="1919"/>
      <c r="G626" s="819"/>
    </row>
    <row r="627" spans="1:9">
      <c r="A627" s="829"/>
      <c r="B627" s="829"/>
      <c r="C627" s="829"/>
      <c r="D627" s="785"/>
      <c r="E627" s="841"/>
      <c r="F627" s="841"/>
      <c r="G627" s="819"/>
    </row>
    <row r="628" spans="1:9">
      <c r="A628" s="797"/>
      <c r="B628" s="798" t="s">
        <v>2580</v>
      </c>
      <c r="C628" s="829"/>
      <c r="D628" s="1876" t="s">
        <v>1439</v>
      </c>
      <c r="E628" s="1876"/>
      <c r="F628" s="1876"/>
      <c r="G628" s="819"/>
      <c r="I628" s="1774" t="s">
        <v>2451</v>
      </c>
    </row>
    <row r="629" spans="1:9">
      <c r="A629" s="797"/>
      <c r="B629" s="797"/>
      <c r="C629" s="829"/>
      <c r="D629" s="1876"/>
      <c r="E629" s="1876"/>
      <c r="F629" s="1876"/>
      <c r="G629" s="819"/>
    </row>
    <row r="630" spans="1:9">
      <c r="A630" s="797"/>
      <c r="B630" s="797"/>
      <c r="C630" s="829"/>
      <c r="D630" s="1876"/>
      <c r="E630" s="1876"/>
      <c r="F630" s="1876"/>
      <c r="G630" s="819"/>
    </row>
    <row r="631" spans="1:9">
      <c r="A631" s="829"/>
      <c r="B631" s="798" t="s">
        <v>2580</v>
      </c>
      <c r="C631" s="829"/>
      <c r="D631" s="1924" t="s">
        <v>1284</v>
      </c>
      <c r="E631" s="1924"/>
      <c r="F631" s="1924"/>
      <c r="G631" s="819"/>
      <c r="I631" s="1774" t="s">
        <v>2451</v>
      </c>
    </row>
    <row r="632" spans="1:9">
      <c r="A632" s="829"/>
      <c r="B632" s="829"/>
      <c r="C632" s="829"/>
      <c r="D632" s="727"/>
      <c r="E632" s="727"/>
      <c r="F632" s="727"/>
      <c r="G632" s="819"/>
    </row>
    <row r="633" spans="1:9">
      <c r="A633" s="1884" t="s">
        <v>1175</v>
      </c>
      <c r="B633" s="1884"/>
      <c r="C633" s="1884"/>
      <c r="D633" s="1884"/>
      <c r="E633" s="1884"/>
      <c r="F633" s="1884"/>
      <c r="G633" s="1884"/>
      <c r="H633" s="1853"/>
      <c r="I633" s="1854"/>
    </row>
    <row r="634" spans="1:9">
      <c r="A634" s="800"/>
      <c r="B634" s="800"/>
      <c r="C634" s="829"/>
      <c r="D634" s="841"/>
      <c r="E634" s="841"/>
      <c r="F634" s="841"/>
      <c r="G634" s="819"/>
    </row>
    <row r="635" spans="1:9">
      <c r="C635" s="840"/>
      <c r="D635" s="1984" t="s">
        <v>1334</v>
      </c>
      <c r="E635" s="1984"/>
      <c r="F635" s="1984"/>
      <c r="G635" s="819"/>
    </row>
    <row r="636" spans="1:9">
      <c r="A636" s="795"/>
      <c r="B636" s="795"/>
      <c r="C636" s="795"/>
      <c r="D636" s="1985" t="s">
        <v>1335</v>
      </c>
      <c r="E636" s="1985"/>
      <c r="F636" s="1985"/>
      <c r="G636" s="819"/>
    </row>
    <row r="637" spans="1:9">
      <c r="A637" s="795"/>
      <c r="B637" s="795"/>
      <c r="C637" s="795"/>
      <c r="D637" s="727"/>
      <c r="E637" s="727"/>
      <c r="F637" s="727"/>
      <c r="G637" s="819"/>
    </row>
    <row r="638" spans="1:9" ht="12.75" customHeight="1">
      <c r="B638" s="798" t="s">
        <v>2642</v>
      </c>
      <c r="C638" s="829"/>
      <c r="D638" s="1961" t="s">
        <v>1523</v>
      </c>
      <c r="E638" s="1961"/>
      <c r="F638" s="1961"/>
      <c r="I638" s="1774" t="s">
        <v>2505</v>
      </c>
    </row>
    <row r="639" spans="1:9">
      <c r="D639" s="1961"/>
      <c r="E639" s="1961"/>
      <c r="F639" s="1961"/>
    </row>
    <row r="640" spans="1:9">
      <c r="D640" s="1961"/>
      <c r="E640" s="1961"/>
      <c r="F640" s="1961"/>
    </row>
    <row r="641" spans="1:9">
      <c r="D641" s="1961"/>
      <c r="E641" s="1961"/>
      <c r="F641" s="1961"/>
    </row>
    <row r="642" spans="1:9" ht="14.5" customHeight="1">
      <c r="A642" s="797"/>
      <c r="B642" s="797"/>
      <c r="C642" s="829"/>
      <c r="D642" s="900"/>
      <c r="E642" s="900"/>
      <c r="F642" s="900"/>
      <c r="G642" s="819"/>
    </row>
    <row r="643" spans="1:9" ht="12.75" customHeight="1">
      <c r="A643" s="795"/>
      <c r="B643" s="798" t="s">
        <v>2580</v>
      </c>
      <c r="C643" s="829"/>
      <c r="D643" s="1961" t="s">
        <v>1526</v>
      </c>
      <c r="E643" s="1961"/>
      <c r="F643" s="1961"/>
      <c r="G643" s="819"/>
      <c r="I643" s="1774" t="s">
        <v>2505</v>
      </c>
    </row>
    <row r="644" spans="1:9">
      <c r="A644" s="795"/>
      <c r="B644" s="797"/>
      <c r="C644" s="829"/>
      <c r="D644" s="1961"/>
      <c r="E644" s="1961"/>
      <c r="F644" s="1961"/>
      <c r="G644" s="819"/>
    </row>
    <row r="645" spans="1:9">
      <c r="A645" s="795"/>
      <c r="B645" s="797"/>
      <c r="C645" s="829"/>
      <c r="D645" s="1961"/>
      <c r="E645" s="1961"/>
      <c r="F645" s="1961"/>
      <c r="G645" s="819"/>
    </row>
    <row r="646" spans="1:9">
      <c r="A646" s="795"/>
      <c r="B646" s="797"/>
      <c r="C646" s="829"/>
      <c r="D646" s="1961"/>
      <c r="E646" s="1961"/>
      <c r="F646" s="1961"/>
      <c r="G646" s="819"/>
    </row>
    <row r="647" spans="1:9">
      <c r="A647" s="795"/>
      <c r="B647" s="797"/>
      <c r="C647" s="829"/>
      <c r="D647" s="1961"/>
      <c r="E647" s="1961"/>
      <c r="F647" s="1961"/>
      <c r="G647" s="819"/>
    </row>
    <row r="648" spans="1:9" ht="14.25" customHeight="1">
      <c r="A648" s="795"/>
      <c r="B648" s="797"/>
      <c r="C648" s="829"/>
      <c r="F648" s="901"/>
      <c r="G648" s="819"/>
    </row>
    <row r="649" spans="1:9" ht="12.75" customHeight="1">
      <c r="A649" s="795"/>
      <c r="B649" s="798" t="s">
        <v>2580</v>
      </c>
      <c r="C649" s="829"/>
      <c r="D649" s="1961" t="s">
        <v>1524</v>
      </c>
      <c r="E649" s="1961"/>
      <c r="F649" s="1961"/>
      <c r="G649" s="819"/>
      <c r="I649" s="1774" t="s">
        <v>2505</v>
      </c>
    </row>
    <row r="650" spans="1:9">
      <c r="A650" s="795"/>
      <c r="B650" s="797"/>
      <c r="C650" s="829"/>
      <c r="D650" s="1961"/>
      <c r="E650" s="1961"/>
      <c r="F650" s="1961"/>
      <c r="G650" s="819"/>
    </row>
    <row r="651" spans="1:9">
      <c r="A651" s="797"/>
      <c r="B651" s="797"/>
      <c r="C651" s="829"/>
      <c r="D651" s="1961"/>
      <c r="E651" s="1961"/>
      <c r="F651" s="1961"/>
      <c r="G651" s="819"/>
    </row>
    <row r="652" spans="1:9">
      <c r="A652" s="797"/>
      <c r="B652" s="797"/>
      <c r="C652" s="829"/>
      <c r="D652" s="1961"/>
      <c r="E652" s="1961"/>
      <c r="F652" s="1961"/>
      <c r="G652" s="819"/>
    </row>
    <row r="653" spans="1:9">
      <c r="A653" s="797"/>
      <c r="B653" s="797"/>
      <c r="C653" s="829"/>
      <c r="D653" s="892"/>
      <c r="E653" s="892"/>
      <c r="F653" s="892"/>
      <c r="G653" s="819"/>
    </row>
    <row r="654" spans="1:9" ht="12.75" customHeight="1">
      <c r="A654" s="795"/>
      <c r="B654" s="798" t="s">
        <v>2580</v>
      </c>
      <c r="C654" s="829"/>
      <c r="D654" s="1961" t="s">
        <v>1525</v>
      </c>
      <c r="E654" s="1961"/>
      <c r="F654" s="1961"/>
      <c r="G654" s="819"/>
      <c r="I654" s="1774" t="s">
        <v>2505</v>
      </c>
    </row>
    <row r="655" spans="1:9" ht="12.75" customHeight="1">
      <c r="A655" s="795"/>
      <c r="B655" s="797"/>
      <c r="C655" s="829"/>
      <c r="D655" s="1961"/>
      <c r="E655" s="1961"/>
      <c r="F655" s="1961"/>
      <c r="G655" s="819"/>
    </row>
    <row r="656" spans="1:9" ht="12.75" customHeight="1">
      <c r="A656" s="795"/>
      <c r="B656" s="797"/>
      <c r="C656" s="829"/>
      <c r="D656" s="1961"/>
      <c r="E656" s="1961"/>
      <c r="F656" s="1961"/>
      <c r="G656" s="819"/>
    </row>
    <row r="657" spans="1:11" ht="12.75" customHeight="1">
      <c r="A657" s="795"/>
      <c r="B657" s="797"/>
      <c r="C657" s="829"/>
      <c r="D657" s="1961"/>
      <c r="E657" s="1961"/>
      <c r="F657" s="1961"/>
      <c r="G657" s="819"/>
    </row>
    <row r="658" spans="1:11" ht="12.75" customHeight="1">
      <c r="A658" s="795"/>
      <c r="B658" s="797"/>
      <c r="C658" s="829"/>
      <c r="D658" s="1961"/>
      <c r="E658" s="1961"/>
      <c r="F658" s="1961"/>
      <c r="G658" s="819"/>
    </row>
    <row r="659" spans="1:11" ht="12.75" customHeight="1">
      <c r="A659" s="795"/>
      <c r="B659" s="797"/>
      <c r="C659" s="829"/>
      <c r="D659" s="1961"/>
      <c r="E659" s="1961"/>
      <c r="F659" s="1961"/>
      <c r="G659" s="819"/>
    </row>
    <row r="660" spans="1:11" ht="12.75" customHeight="1">
      <c r="A660" s="795"/>
      <c r="B660" s="797"/>
      <c r="C660" s="829"/>
      <c r="D660" s="1961"/>
      <c r="E660" s="1961"/>
      <c r="F660" s="1961"/>
      <c r="G660" s="819"/>
    </row>
    <row r="661" spans="1:11" ht="12.75" customHeight="1">
      <c r="A661" s="795"/>
      <c r="B661" s="797"/>
      <c r="C661" s="829"/>
      <c r="D661" s="1961"/>
      <c r="E661" s="1961"/>
      <c r="F661" s="1961"/>
      <c r="G661" s="819"/>
    </row>
    <row r="662" spans="1:11" ht="12.75" customHeight="1">
      <c r="A662" s="795"/>
      <c r="B662" s="797"/>
      <c r="C662" s="829"/>
      <c r="D662" s="1961"/>
      <c r="E662" s="1961"/>
      <c r="F662" s="1961"/>
      <c r="G662" s="819"/>
    </row>
    <row r="663" spans="1:11">
      <c r="A663" s="829"/>
      <c r="B663" s="829"/>
      <c r="C663" s="829"/>
      <c r="D663" s="841"/>
      <c r="E663" s="841"/>
      <c r="F663" s="841"/>
      <c r="G663" s="819"/>
    </row>
    <row r="664" spans="1:11">
      <c r="A664" s="1884" t="s">
        <v>1176</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874" t="s">
        <v>104</v>
      </c>
      <c r="E666" s="1874"/>
      <c r="F666" s="1874"/>
      <c r="G666" s="819"/>
      <c r="H666" s="842"/>
      <c r="I666" s="1841"/>
      <c r="J666" s="842"/>
      <c r="K666" s="842"/>
    </row>
    <row r="667" spans="1:11">
      <c r="A667" s="840"/>
      <c r="B667" s="840"/>
      <c r="C667" s="840"/>
      <c r="D667" s="1874" t="s">
        <v>128</v>
      </c>
      <c r="E667" s="1874"/>
      <c r="F667" s="1874"/>
      <c r="G667" s="819"/>
      <c r="H667" s="842"/>
      <c r="I667" s="1841"/>
      <c r="J667" s="842"/>
      <c r="K667" s="842"/>
    </row>
    <row r="668" spans="1:11">
      <c r="A668" s="795"/>
      <c r="B668" s="795"/>
      <c r="C668" s="795"/>
      <c r="D668" s="1924" t="s">
        <v>1212</v>
      </c>
      <c r="E668" s="1924"/>
      <c r="F668" s="1924"/>
      <c r="G668" s="819"/>
      <c r="H668" s="842"/>
      <c r="I668" s="1841"/>
      <c r="J668" s="842"/>
      <c r="K668" s="842"/>
    </row>
    <row r="669" spans="1:11">
      <c r="A669" s="795"/>
      <c r="B669" s="795"/>
      <c r="C669" s="795"/>
      <c r="G669" s="819"/>
      <c r="H669" s="842"/>
      <c r="I669" s="1841"/>
      <c r="J669" s="842"/>
      <c r="K669" s="842"/>
    </row>
    <row r="670" spans="1:11">
      <c r="A670" s="797"/>
      <c r="B670" s="798" t="s">
        <v>2642</v>
      </c>
      <c r="C670" s="795"/>
      <c r="D670" s="1924" t="s">
        <v>950</v>
      </c>
      <c r="E670" s="1924"/>
      <c r="F670" s="1924"/>
      <c r="G670" s="819"/>
      <c r="H670" s="842"/>
      <c r="I670" s="1841" t="s">
        <v>2479</v>
      </c>
      <c r="J670" s="842"/>
      <c r="K670" s="842"/>
    </row>
    <row r="671" spans="1:11">
      <c r="A671" s="795"/>
      <c r="B671" s="795"/>
      <c r="C671" s="795"/>
      <c r="D671" s="1924" t="s">
        <v>961</v>
      </c>
      <c r="E671" s="1924"/>
      <c r="F671" s="1924"/>
      <c r="G671" s="819"/>
      <c r="H671" s="842"/>
      <c r="I671" s="1841"/>
      <c r="J671" s="842"/>
      <c r="K671" s="842"/>
    </row>
    <row r="672" spans="1:11">
      <c r="A672" s="795"/>
      <c r="B672" s="795"/>
      <c r="C672" s="795"/>
      <c r="D672" s="672"/>
      <c r="E672" s="1970" t="s">
        <v>1213</v>
      </c>
      <c r="F672" s="1970"/>
      <c r="G672" s="819"/>
      <c r="H672" s="842"/>
      <c r="I672" s="1841"/>
      <c r="J672" s="842"/>
      <c r="K672" s="842"/>
    </row>
    <row r="673" spans="1:11">
      <c r="A673" s="795"/>
      <c r="B673" s="795"/>
      <c r="C673" s="795"/>
      <c r="D673" s="672"/>
      <c r="E673" s="1970"/>
      <c r="F673" s="1970"/>
      <c r="G673" s="819"/>
      <c r="H673" s="842"/>
      <c r="I673" s="1841"/>
      <c r="J673" s="842"/>
      <c r="K673" s="842"/>
    </row>
    <row r="674" spans="1:11">
      <c r="A674" s="795"/>
      <c r="B674" s="795"/>
      <c r="C674" s="795"/>
      <c r="D674" s="843"/>
      <c r="E674" s="800"/>
      <c r="G674" s="819"/>
      <c r="H674" s="842"/>
      <c r="I674" s="1841"/>
      <c r="J674" s="842"/>
      <c r="K674" s="842"/>
    </row>
    <row r="675" spans="1:11">
      <c r="A675" s="797"/>
      <c r="B675" s="798" t="s">
        <v>2580</v>
      </c>
      <c r="C675" s="795"/>
      <c r="D675" s="1919" t="s">
        <v>1405</v>
      </c>
      <c r="E675" s="1919"/>
      <c r="F675" s="1919"/>
      <c r="G675" s="819"/>
      <c r="H675" s="842"/>
      <c r="I675" s="1841" t="s">
        <v>2503</v>
      </c>
      <c r="J675" s="842"/>
      <c r="K675" s="842"/>
    </row>
    <row r="676" spans="1:11">
      <c r="A676" s="816"/>
      <c r="B676" s="816"/>
      <c r="C676" s="795"/>
      <c r="D676" s="1919"/>
      <c r="E676" s="1919"/>
      <c r="F676" s="1919"/>
      <c r="G676" s="819"/>
      <c r="H676" s="842"/>
      <c r="I676" s="1841"/>
      <c r="J676" s="842"/>
      <c r="K676" s="842"/>
    </row>
    <row r="677" spans="1:11">
      <c r="A677" s="795"/>
      <c r="B677" s="795"/>
      <c r="C677" s="795"/>
      <c r="D677" s="1919"/>
      <c r="E677" s="1919"/>
      <c r="F677" s="1919"/>
      <c r="G677" s="819"/>
      <c r="H677" s="842"/>
      <c r="I677" s="1841"/>
      <c r="J677" s="842"/>
      <c r="K677" s="842"/>
    </row>
    <row r="678" spans="1:11">
      <c r="A678" s="795"/>
      <c r="B678" s="795"/>
      <c r="C678" s="795"/>
      <c r="G678" s="819"/>
      <c r="H678" s="842"/>
      <c r="I678" s="1841" t="s">
        <v>2480</v>
      </c>
      <c r="J678" s="842"/>
      <c r="K678" s="842"/>
    </row>
    <row r="679" spans="1:11">
      <c r="A679" s="797"/>
      <c r="B679" s="798" t="s">
        <v>2642</v>
      </c>
      <c r="C679" s="795"/>
      <c r="D679" s="1924" t="s">
        <v>990</v>
      </c>
      <c r="E679" s="1924"/>
      <c r="F679" s="1924"/>
      <c r="G679" s="819"/>
      <c r="H679" s="842"/>
      <c r="I679" s="1841"/>
      <c r="J679" s="842"/>
      <c r="K679" s="842"/>
    </row>
    <row r="680" spans="1:11">
      <c r="A680" s="797"/>
      <c r="B680" s="797"/>
      <c r="C680" s="795"/>
      <c r="D680" s="1924" t="s">
        <v>961</v>
      </c>
      <c r="E680" s="1924"/>
      <c r="F680" s="1924"/>
      <c r="G680" s="819"/>
      <c r="H680" s="842"/>
      <c r="I680" s="1841"/>
      <c r="J680" s="842"/>
      <c r="K680" s="842"/>
    </row>
    <row r="681" spans="1:11">
      <c r="A681" s="795"/>
      <c r="B681" s="795"/>
      <c r="C681" s="795"/>
      <c r="D681" s="672"/>
      <c r="E681" s="1967" t="s">
        <v>1215</v>
      </c>
      <c r="F681" s="1967"/>
      <c r="G681" s="819"/>
      <c r="H681" s="842"/>
      <c r="I681" s="1841"/>
      <c r="J681" s="842"/>
      <c r="K681" s="842"/>
    </row>
    <row r="682" spans="1:11">
      <c r="A682" s="795"/>
      <c r="B682" s="795"/>
      <c r="C682" s="795"/>
      <c r="D682" s="794"/>
      <c r="G682" s="819"/>
      <c r="H682" s="842"/>
      <c r="I682" s="1841"/>
      <c r="J682" s="842"/>
      <c r="K682" s="842"/>
    </row>
    <row r="683" spans="1:11">
      <c r="A683" s="797"/>
      <c r="B683" s="798" t="s">
        <v>2580</v>
      </c>
      <c r="C683" s="795"/>
      <c r="D683" s="1964" t="s">
        <v>1225</v>
      </c>
      <c r="E683" s="1964"/>
      <c r="F683" s="1964"/>
      <c r="G683" s="819"/>
      <c r="H683" s="842"/>
      <c r="I683" s="1841" t="s">
        <v>2452</v>
      </c>
      <c r="J683" s="842"/>
      <c r="K683" s="842"/>
    </row>
    <row r="684" spans="1:11">
      <c r="A684" s="795"/>
      <c r="B684" s="795"/>
      <c r="C684" s="795"/>
      <c r="D684" s="1964"/>
      <c r="E684" s="1964"/>
      <c r="F684" s="1964"/>
      <c r="G684" s="819"/>
      <c r="H684" s="842"/>
      <c r="I684" s="1841"/>
      <c r="J684" s="842"/>
      <c r="K684" s="842"/>
    </row>
    <row r="685" spans="1:11">
      <c r="A685" s="795"/>
      <c r="B685" s="795"/>
      <c r="C685" s="795"/>
      <c r="D685" s="1964"/>
      <c r="E685" s="1964"/>
      <c r="F685" s="1964"/>
      <c r="G685" s="819"/>
      <c r="H685" s="842"/>
      <c r="I685" s="1841"/>
      <c r="J685" s="842"/>
      <c r="K685" s="842"/>
    </row>
    <row r="686" spans="1:11">
      <c r="A686" s="795"/>
      <c r="B686" s="795"/>
      <c r="C686" s="795"/>
      <c r="D686" s="1964"/>
      <c r="E686" s="1964"/>
      <c r="F686" s="1964"/>
      <c r="G686" s="819"/>
      <c r="H686" s="842"/>
      <c r="I686" s="1841"/>
      <c r="J686" s="842"/>
      <c r="K686" s="842"/>
    </row>
    <row r="687" spans="1:11">
      <c r="A687" s="795"/>
      <c r="B687" s="795"/>
      <c r="C687" s="795"/>
      <c r="D687" s="1964"/>
      <c r="E687" s="1964"/>
      <c r="F687" s="1964"/>
      <c r="G687" s="819"/>
      <c r="H687" s="842"/>
      <c r="I687" s="1841"/>
      <c r="J687" s="842"/>
      <c r="K687" s="842"/>
    </row>
    <row r="688" spans="1:11" s="791" customFormat="1">
      <c r="A688" s="834"/>
      <c r="B688" s="834"/>
      <c r="C688" s="834"/>
      <c r="D688" s="1964"/>
      <c r="E688" s="1964"/>
      <c r="F688" s="1964"/>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2580</v>
      </c>
      <c r="C690" s="834"/>
      <c r="D690" s="1964" t="s">
        <v>1407</v>
      </c>
      <c r="E690" s="1964"/>
      <c r="F690" s="1964"/>
      <c r="G690" s="844"/>
      <c r="H690" s="845"/>
      <c r="I690" s="1842" t="s">
        <v>2452</v>
      </c>
      <c r="J690" s="845"/>
      <c r="K690" s="845"/>
    </row>
    <row r="691" spans="1:11" s="791" customFormat="1">
      <c r="A691" s="834"/>
      <c r="B691" s="834"/>
      <c r="C691" s="834"/>
      <c r="D691" s="1964"/>
      <c r="E691" s="1964"/>
      <c r="F691" s="1964"/>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2580</v>
      </c>
      <c r="C693" s="795"/>
      <c r="D693" s="1964" t="s">
        <v>1216</v>
      </c>
      <c r="E693" s="1964"/>
      <c r="F693" s="1964"/>
      <c r="G693" s="819"/>
      <c r="H693" s="842"/>
      <c r="I693" s="1841" t="s">
        <v>2452</v>
      </c>
      <c r="J693" s="842"/>
      <c r="K693" s="842"/>
    </row>
    <row r="694" spans="1:11">
      <c r="A694" s="795"/>
      <c r="B694" s="795"/>
      <c r="C694" s="795"/>
      <c r="D694" s="1964"/>
      <c r="E694" s="1964"/>
      <c r="F694" s="1964"/>
      <c r="G694" s="819"/>
      <c r="H694" s="842"/>
      <c r="I694" s="1841"/>
      <c r="J694" s="842"/>
      <c r="K694" s="842"/>
    </row>
    <row r="695" spans="1:11">
      <c r="A695" s="795"/>
      <c r="B695" s="795"/>
      <c r="C695" s="795"/>
      <c r="D695" s="1964"/>
      <c r="E695" s="1964"/>
      <c r="F695" s="1964"/>
      <c r="G695" s="819"/>
      <c r="H695" s="842"/>
      <c r="I695" s="1841"/>
      <c r="J695" s="842"/>
      <c r="K695" s="842"/>
    </row>
    <row r="696" spans="1:11" ht="15" customHeight="1">
      <c r="A696" s="795"/>
      <c r="B696" s="795"/>
      <c r="C696" s="795"/>
      <c r="D696" s="1964"/>
      <c r="E696" s="1964"/>
      <c r="F696" s="1964"/>
      <c r="G696" s="819"/>
      <c r="H696" s="842"/>
      <c r="I696" s="1841"/>
      <c r="J696" s="842"/>
      <c r="K696" s="842"/>
    </row>
    <row r="697" spans="1:11" ht="15" customHeight="1">
      <c r="A697" s="795"/>
      <c r="B697" s="795"/>
      <c r="C697" s="795"/>
      <c r="D697" s="1964"/>
      <c r="E697" s="1964"/>
      <c r="F697" s="1964"/>
      <c r="G697" s="819"/>
      <c r="H697" s="842"/>
      <c r="I697" s="1841"/>
      <c r="J697" s="842"/>
      <c r="K697" s="842"/>
    </row>
    <row r="698" spans="1:11">
      <c r="A698" s="795"/>
      <c r="B698" s="795"/>
      <c r="C698" s="795"/>
      <c r="D698" s="1964"/>
      <c r="E698" s="1964"/>
      <c r="F698" s="1964"/>
      <c r="G698" s="819"/>
      <c r="H698" s="842"/>
      <c r="I698" s="1841"/>
      <c r="J698" s="842"/>
      <c r="K698" s="842"/>
    </row>
    <row r="699" spans="1:11">
      <c r="A699" s="795"/>
      <c r="B699" s="795"/>
      <c r="C699" s="795"/>
      <c r="D699" s="1964"/>
      <c r="E699" s="1964"/>
      <c r="F699" s="1964"/>
      <c r="G699" s="819"/>
      <c r="H699" s="842"/>
      <c r="I699" s="1841"/>
      <c r="J699" s="842"/>
      <c r="K699" s="842"/>
    </row>
    <row r="700" spans="1:11">
      <c r="A700" s="795"/>
      <c r="B700" s="795"/>
      <c r="C700" s="795"/>
      <c r="D700" s="1964"/>
      <c r="E700" s="1964"/>
      <c r="F700" s="1964"/>
      <c r="G700" s="819"/>
      <c r="H700" s="842"/>
      <c r="I700" s="1841"/>
      <c r="J700" s="842"/>
      <c r="K700" s="842"/>
    </row>
    <row r="701" spans="1:11" ht="15" customHeight="1">
      <c r="A701" s="795"/>
      <c r="B701" s="795"/>
      <c r="C701" s="795"/>
      <c r="D701" s="1964"/>
      <c r="E701" s="1964"/>
      <c r="F701" s="1964"/>
      <c r="G701" s="819"/>
      <c r="H701" s="842"/>
      <c r="I701" s="1841"/>
      <c r="J701" s="842"/>
      <c r="K701" s="842"/>
    </row>
    <row r="702" spans="1:11">
      <c r="A702" s="795"/>
      <c r="B702" s="795"/>
      <c r="C702" s="795"/>
      <c r="D702" s="1964"/>
      <c r="E702" s="1964"/>
      <c r="F702" s="1964"/>
      <c r="G702" s="819"/>
      <c r="H702" s="842"/>
      <c r="I702" s="1841"/>
      <c r="J702" s="842"/>
      <c r="K702" s="842"/>
    </row>
    <row r="703" spans="1:11">
      <c r="A703" s="795"/>
      <c r="B703" s="795"/>
      <c r="C703" s="795"/>
      <c r="D703" s="1964"/>
      <c r="E703" s="1964"/>
      <c r="F703" s="1964"/>
      <c r="G703" s="819"/>
      <c r="H703" s="842"/>
      <c r="I703" s="1841"/>
      <c r="J703" s="842"/>
      <c r="K703" s="842"/>
    </row>
    <row r="704" spans="1:11">
      <c r="A704" s="795"/>
      <c r="B704" s="795"/>
      <c r="C704" s="795"/>
      <c r="D704" s="1964"/>
      <c r="E704" s="1964"/>
      <c r="F704" s="1964"/>
      <c r="G704" s="819"/>
      <c r="H704" s="842"/>
      <c r="I704" s="1841"/>
      <c r="J704" s="842"/>
      <c r="K704" s="842"/>
    </row>
    <row r="705" spans="1:11">
      <c r="A705" s="795"/>
      <c r="B705" s="795"/>
      <c r="C705" s="795"/>
      <c r="D705" s="1964"/>
      <c r="E705" s="1964"/>
      <c r="F705" s="1964"/>
      <c r="G705" s="819"/>
      <c r="H705" s="842"/>
      <c r="I705" s="1841"/>
      <c r="J705" s="842"/>
      <c r="K705" s="842"/>
    </row>
    <row r="706" spans="1:11">
      <c r="A706" s="795"/>
      <c r="B706" s="798" t="s">
        <v>2580</v>
      </c>
      <c r="C706" s="795"/>
      <c r="D706" s="1964" t="s">
        <v>1223</v>
      </c>
      <c r="E706" s="1964"/>
      <c r="F706" s="1964"/>
      <c r="G706" s="819"/>
      <c r="H706" s="842"/>
      <c r="I706" s="1841" t="s">
        <v>2504</v>
      </c>
      <c r="J706" s="842"/>
      <c r="K706" s="842"/>
    </row>
    <row r="707" spans="1:11">
      <c r="A707" s="795"/>
      <c r="B707" s="795"/>
      <c r="C707" s="795"/>
      <c r="D707" s="1964"/>
      <c r="E707" s="1964"/>
      <c r="F707" s="1964"/>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2580</v>
      </c>
      <c r="C709" s="795"/>
      <c r="D709" s="1964" t="s">
        <v>1217</v>
      </c>
      <c r="E709" s="1964"/>
      <c r="F709" s="1964"/>
      <c r="G709" s="819"/>
      <c r="H709" s="842"/>
      <c r="I709" s="1841" t="s">
        <v>2504</v>
      </c>
      <c r="J709" s="842"/>
      <c r="K709" s="842"/>
    </row>
    <row r="710" spans="1:11">
      <c r="A710" s="795"/>
      <c r="B710" s="795"/>
      <c r="C710" s="795"/>
      <c r="D710" s="1964"/>
      <c r="E710" s="1964"/>
      <c r="F710" s="1964"/>
      <c r="G710" s="819"/>
      <c r="H710" s="842"/>
      <c r="I710" s="1841"/>
      <c r="J710" s="842"/>
      <c r="K710" s="842"/>
    </row>
    <row r="711" spans="1:11">
      <c r="A711" s="795"/>
      <c r="B711" s="795"/>
      <c r="C711" s="795"/>
      <c r="D711" s="1964"/>
      <c r="E711" s="1964"/>
      <c r="F711" s="1964"/>
      <c r="G711" s="819"/>
      <c r="H711" s="842"/>
      <c r="I711" s="1841"/>
      <c r="J711" s="842"/>
      <c r="K711" s="842"/>
    </row>
    <row r="712" spans="1:11">
      <c r="A712" s="795"/>
      <c r="B712" s="795"/>
      <c r="C712" s="795"/>
      <c r="D712" s="802"/>
      <c r="G712" s="819"/>
      <c r="H712" s="842"/>
      <c r="I712" s="1841"/>
      <c r="J712" s="842"/>
      <c r="K712" s="842"/>
    </row>
    <row r="713" spans="1:11">
      <c r="A713" s="795"/>
      <c r="B713" s="798" t="s">
        <v>2580</v>
      </c>
      <c r="C713" s="795"/>
      <c r="D713" s="1964" t="s">
        <v>1218</v>
      </c>
      <c r="E713" s="1964"/>
      <c r="F713" s="1964"/>
      <c r="G713" s="819"/>
      <c r="H713" s="842"/>
      <c r="I713" s="1841" t="s">
        <v>2504</v>
      </c>
      <c r="J713" s="842"/>
      <c r="K713" s="842"/>
    </row>
    <row r="714" spans="1:11">
      <c r="A714" s="795"/>
      <c r="B714" s="795"/>
      <c r="C714" s="795"/>
      <c r="D714" s="1964"/>
      <c r="E714" s="1964"/>
      <c r="F714" s="1964"/>
      <c r="G714" s="819"/>
      <c r="H714" s="842"/>
      <c r="I714" s="1841"/>
      <c r="J714" s="842"/>
      <c r="K714" s="842"/>
    </row>
    <row r="715" spans="1:11">
      <c r="A715" s="795"/>
      <c r="B715" s="795"/>
      <c r="C715" s="795"/>
      <c r="D715" s="1964"/>
      <c r="E715" s="1964"/>
      <c r="F715" s="1964"/>
      <c r="G715" s="819"/>
      <c r="H715" s="842"/>
      <c r="I715" s="1841"/>
      <c r="J715" s="842"/>
      <c r="K715" s="842"/>
    </row>
    <row r="716" spans="1:11">
      <c r="A716" s="795"/>
      <c r="B716" s="795"/>
      <c r="C716" s="795"/>
      <c r="D716" s="790"/>
      <c r="G716" s="819"/>
      <c r="H716" s="842"/>
      <c r="I716" s="1841"/>
      <c r="J716" s="842"/>
      <c r="K716" s="842"/>
    </row>
    <row r="717" spans="1:11">
      <c r="A717" s="797"/>
      <c r="B717" s="798" t="s">
        <v>2580</v>
      </c>
      <c r="C717" s="795"/>
      <c r="D717" s="1919" t="s">
        <v>1219</v>
      </c>
      <c r="E717" s="1919"/>
      <c r="F717" s="1919"/>
      <c r="G717" s="819"/>
      <c r="H717" s="842"/>
      <c r="I717" s="1841" t="s">
        <v>2453</v>
      </c>
      <c r="J717" s="842"/>
      <c r="K717" s="842"/>
    </row>
    <row r="718" spans="1:11">
      <c r="A718" s="795"/>
      <c r="B718" s="795"/>
      <c r="C718" s="795"/>
      <c r="D718" s="1919"/>
      <c r="E718" s="1919"/>
      <c r="F718" s="1919"/>
      <c r="G718" s="819"/>
      <c r="H718" s="842"/>
      <c r="I718" s="1841"/>
      <c r="J718" s="842"/>
      <c r="K718" s="842"/>
    </row>
    <row r="719" spans="1:11">
      <c r="A719" s="795"/>
      <c r="B719" s="795"/>
      <c r="C719" s="795"/>
      <c r="D719" s="1919"/>
      <c r="E719" s="1919"/>
      <c r="F719" s="1919"/>
      <c r="G719" s="819"/>
      <c r="H719" s="842"/>
      <c r="I719" s="1841"/>
      <c r="J719" s="842"/>
      <c r="K719" s="842"/>
    </row>
    <row r="720" spans="1:11">
      <c r="A720" s="795"/>
      <c r="B720" s="795"/>
      <c r="C720" s="795"/>
      <c r="D720" s="1919"/>
      <c r="E720" s="1919"/>
      <c r="F720" s="1919"/>
      <c r="G720" s="819"/>
      <c r="H720" s="842"/>
      <c r="I720" s="1841"/>
      <c r="J720" s="842"/>
      <c r="K720" s="842"/>
    </row>
    <row r="721" spans="1:11">
      <c r="A721" s="795"/>
      <c r="B721" s="795"/>
      <c r="C721" s="795"/>
      <c r="D721" s="822"/>
      <c r="G721" s="819"/>
      <c r="H721" s="842"/>
      <c r="I721" s="1841"/>
      <c r="J721" s="842"/>
      <c r="K721" s="842"/>
    </row>
    <row r="722" spans="1:11">
      <c r="A722" s="797"/>
      <c r="B722" s="798" t="s">
        <v>2580</v>
      </c>
      <c r="C722" s="795"/>
      <c r="D722" s="1964" t="s">
        <v>1352</v>
      </c>
      <c r="E722" s="1964"/>
      <c r="F722" s="1964"/>
      <c r="G722" s="819"/>
      <c r="H722" s="842"/>
      <c r="I722" s="1841" t="s">
        <v>2469</v>
      </c>
      <c r="J722" s="842"/>
      <c r="K722" s="842"/>
    </row>
    <row r="723" spans="1:11">
      <c r="A723" s="795"/>
      <c r="B723" s="795"/>
      <c r="C723" s="795"/>
      <c r="D723" s="1964"/>
      <c r="E723" s="1964"/>
      <c r="F723" s="1964"/>
      <c r="G723" s="819"/>
      <c r="H723" s="842"/>
      <c r="I723" s="1841"/>
      <c r="J723" s="842"/>
      <c r="K723" s="842"/>
    </row>
    <row r="724" spans="1:11">
      <c r="A724" s="795"/>
      <c r="B724" s="795"/>
      <c r="C724" s="795"/>
      <c r="D724" s="1964"/>
      <c r="E724" s="1964"/>
      <c r="F724" s="1964"/>
      <c r="G724" s="819"/>
      <c r="H724" s="842"/>
      <c r="I724" s="1841"/>
      <c r="J724" s="842"/>
      <c r="K724" s="842"/>
    </row>
    <row r="725" spans="1:11">
      <c r="A725" s="795"/>
      <c r="B725" s="795"/>
      <c r="C725" s="795"/>
      <c r="D725" s="1964"/>
      <c r="E725" s="1964"/>
      <c r="F725" s="1964"/>
      <c r="G725" s="819"/>
      <c r="H725" s="842"/>
      <c r="I725" s="1841"/>
      <c r="J725" s="842"/>
      <c r="K725" s="842"/>
    </row>
    <row r="726" spans="1:11">
      <c r="A726" s="795"/>
      <c r="B726" s="795"/>
      <c r="C726" s="795"/>
      <c r="D726" s="1964"/>
      <c r="E726" s="1964"/>
      <c r="F726" s="1964"/>
      <c r="G726" s="819"/>
      <c r="H726" s="842"/>
      <c r="I726" s="1841"/>
      <c r="J726" s="842"/>
      <c r="K726" s="842"/>
    </row>
    <row r="727" spans="1:11">
      <c r="A727" s="795"/>
      <c r="B727" s="795"/>
      <c r="C727" s="795"/>
      <c r="D727" s="1964"/>
      <c r="E727" s="1964"/>
      <c r="F727" s="1964"/>
      <c r="G727" s="819"/>
      <c r="H727" s="842"/>
      <c r="I727" s="1841"/>
      <c r="J727" s="842"/>
      <c r="K727" s="842"/>
    </row>
    <row r="728" spans="1:11">
      <c r="A728" s="795"/>
      <c r="B728" s="795"/>
      <c r="C728" s="795"/>
      <c r="D728" s="1964"/>
      <c r="E728" s="1964"/>
      <c r="F728" s="1964"/>
      <c r="G728" s="819"/>
      <c r="H728" s="842"/>
      <c r="I728" s="1841"/>
      <c r="J728" s="842"/>
      <c r="K728" s="842"/>
    </row>
    <row r="729" spans="1:11">
      <c r="A729" s="795"/>
      <c r="B729" s="795"/>
      <c r="C729" s="795"/>
      <c r="D729" s="1892" t="s">
        <v>1220</v>
      </c>
      <c r="E729" s="1892"/>
      <c r="F729" s="1892"/>
      <c r="G729" s="819"/>
      <c r="H729" s="842"/>
      <c r="I729" s="1841"/>
      <c r="J729" s="842"/>
      <c r="K729" s="842"/>
    </row>
    <row r="730" spans="1:11">
      <c r="A730" s="795"/>
      <c r="B730" s="795"/>
      <c r="C730" s="795"/>
      <c r="D730" s="782"/>
      <c r="G730" s="819"/>
      <c r="H730" s="842"/>
      <c r="I730" s="1841"/>
      <c r="J730" s="842"/>
      <c r="K730" s="842"/>
    </row>
    <row r="731" spans="1:11">
      <c r="A731" s="1885" t="s">
        <v>1177</v>
      </c>
      <c r="B731" s="1885"/>
      <c r="C731" s="1885"/>
      <c r="D731" s="1885"/>
      <c r="E731" s="1885"/>
      <c r="F731" s="1885"/>
      <c r="G731" s="1885"/>
      <c r="H731" s="1855"/>
      <c r="I731" s="1856"/>
      <c r="J731" s="842"/>
      <c r="K731" s="842"/>
    </row>
    <row r="732" spans="1:11">
      <c r="A732" s="795"/>
      <c r="B732" s="795"/>
      <c r="C732" s="795"/>
      <c r="D732" s="822"/>
      <c r="G732" s="847"/>
      <c r="H732" s="842"/>
      <c r="I732" s="1841"/>
      <c r="J732" s="842"/>
      <c r="K732" s="842"/>
    </row>
    <row r="733" spans="1:11" ht="13.75" customHeight="1">
      <c r="C733" s="795"/>
      <c r="D733" s="1957" t="s">
        <v>1193</v>
      </c>
      <c r="E733" s="1957"/>
      <c r="F733" s="1957"/>
      <c r="G733" s="847"/>
      <c r="H733" s="842"/>
      <c r="I733" s="1841"/>
      <c r="J733" s="842"/>
      <c r="K733" s="842"/>
    </row>
    <row r="734" spans="1:11">
      <c r="A734" s="795"/>
      <c r="B734" s="795"/>
      <c r="C734" s="795"/>
      <c r="D734" s="1898" t="s">
        <v>1194</v>
      </c>
      <c r="E734" s="1898"/>
      <c r="F734" s="1898"/>
      <c r="G734" s="847"/>
      <c r="H734" s="842"/>
      <c r="I734" s="1841"/>
      <c r="J734" s="842"/>
      <c r="K734" s="842"/>
    </row>
    <row r="735" spans="1:11">
      <c r="A735" s="795"/>
      <c r="B735" s="795"/>
      <c r="C735" s="795"/>
      <c r="G735" s="847"/>
      <c r="H735" s="842"/>
      <c r="I735" s="1841"/>
      <c r="J735" s="842"/>
      <c r="K735" s="842"/>
    </row>
    <row r="736" spans="1:11" s="791" customFormat="1">
      <c r="A736" s="797"/>
      <c r="B736" s="798" t="s">
        <v>2642</v>
      </c>
      <c r="C736" s="788"/>
      <c r="D736" s="1919" t="s">
        <v>1195</v>
      </c>
      <c r="E736" s="1919"/>
      <c r="F736" s="1919"/>
      <c r="G736" s="847"/>
      <c r="H736" s="845"/>
      <c r="I736" s="1842" t="s">
        <v>2454</v>
      </c>
      <c r="J736" s="845"/>
      <c r="K736" s="845"/>
    </row>
    <row r="737" spans="1:11" s="791" customFormat="1" ht="10.5" customHeight="1">
      <c r="A737" s="788"/>
      <c r="B737" s="788"/>
      <c r="C737" s="788"/>
      <c r="D737" s="1919"/>
      <c r="E737" s="1919"/>
      <c r="F737" s="1919"/>
      <c r="G737" s="847"/>
      <c r="H737" s="845"/>
      <c r="I737" s="1842"/>
      <c r="J737" s="845"/>
      <c r="K737" s="845"/>
    </row>
    <row r="738" spans="1:11" s="791" customFormat="1">
      <c r="A738" s="788"/>
      <c r="B738" s="788"/>
      <c r="C738" s="788"/>
      <c r="D738" s="1919"/>
      <c r="E738" s="1919"/>
      <c r="F738" s="1919"/>
      <c r="G738" s="847"/>
      <c r="H738" s="845"/>
      <c r="I738" s="1842"/>
      <c r="J738" s="845"/>
      <c r="K738" s="845"/>
    </row>
    <row r="739" spans="1:11">
      <c r="D739" s="1919"/>
      <c r="E739" s="1919"/>
      <c r="F739" s="1919"/>
      <c r="G739" s="847"/>
      <c r="H739" s="842"/>
      <c r="I739" s="1841"/>
      <c r="J739" s="842"/>
      <c r="K739" s="842"/>
    </row>
    <row r="740" spans="1:11">
      <c r="A740" s="801"/>
      <c r="B740" s="801"/>
      <c r="C740" s="801"/>
      <c r="D740" s="1919"/>
      <c r="E740" s="1919"/>
      <c r="F740" s="1919"/>
      <c r="G740" s="848"/>
      <c r="H740" s="842"/>
      <c r="I740" s="1841"/>
      <c r="J740" s="842"/>
      <c r="K740" s="842"/>
    </row>
    <row r="741" spans="1:11" ht="15.65" customHeight="1">
      <c r="A741" s="801"/>
      <c r="B741" s="801"/>
      <c r="C741" s="801"/>
      <c r="D741" s="1919"/>
      <c r="E741" s="1919"/>
      <c r="F741" s="1919"/>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2580</v>
      </c>
      <c r="C743" s="851"/>
      <c r="D743" s="1876" t="s">
        <v>1458</v>
      </c>
      <c r="E743" s="1876"/>
      <c r="F743" s="1876"/>
      <c r="G743" s="852"/>
      <c r="I743" s="1843" t="s">
        <v>2454</v>
      </c>
    </row>
    <row r="744" spans="1:11" s="853" customFormat="1">
      <c r="A744" s="851"/>
      <c r="B744" s="851"/>
      <c r="C744" s="851"/>
      <c r="D744" s="1876"/>
      <c r="E744" s="1876"/>
      <c r="F744" s="1876"/>
      <c r="G744" s="852"/>
      <c r="I744" s="1843"/>
    </row>
    <row r="745" spans="1:11" s="853" customFormat="1">
      <c r="A745" s="851"/>
      <c r="B745" s="851"/>
      <c r="C745" s="851"/>
      <c r="D745" s="1876"/>
      <c r="E745" s="1876"/>
      <c r="F745" s="1876"/>
      <c r="G745" s="852"/>
      <c r="I745" s="1843"/>
    </row>
    <row r="746" spans="1:11" s="853" customFormat="1">
      <c r="A746" s="851"/>
      <c r="B746" s="851"/>
      <c r="C746" s="851"/>
      <c r="D746" s="1876"/>
      <c r="E746" s="1876"/>
      <c r="F746" s="1876"/>
      <c r="G746" s="852"/>
      <c r="I746" s="1843"/>
    </row>
    <row r="747" spans="1:11" s="853" customFormat="1">
      <c r="A747" s="851"/>
      <c r="B747" s="851"/>
      <c r="C747" s="851"/>
      <c r="D747" s="837"/>
      <c r="E747" s="852"/>
      <c r="F747" s="852"/>
      <c r="G747" s="852"/>
      <c r="I747" s="1843"/>
    </row>
    <row r="748" spans="1:11" s="853" customFormat="1">
      <c r="A748" s="797"/>
      <c r="B748" s="798" t="s">
        <v>2642</v>
      </c>
      <c r="C748" s="851"/>
      <c r="D748" s="1971" t="s">
        <v>1459</v>
      </c>
      <c r="E748" s="1971"/>
      <c r="F748" s="1971"/>
      <c r="G748" s="852"/>
      <c r="I748" s="1843" t="s">
        <v>2455</v>
      </c>
    </row>
    <row r="749" spans="1:11" s="853" customFormat="1">
      <c r="A749" s="851"/>
      <c r="B749" s="851"/>
      <c r="C749" s="851"/>
      <c r="D749" s="1971"/>
      <c r="E749" s="1971"/>
      <c r="F749" s="1971"/>
      <c r="G749" s="852"/>
      <c r="I749" s="1843"/>
    </row>
    <row r="750" spans="1:11" s="853" customFormat="1">
      <c r="A750" s="851"/>
      <c r="B750" s="851"/>
      <c r="C750" s="851"/>
      <c r="D750" s="1971"/>
      <c r="E750" s="1971"/>
      <c r="F750" s="1971"/>
      <c r="G750" s="852"/>
      <c r="I750" s="1843"/>
    </row>
    <row r="751" spans="1:11">
      <c r="A751" s="801"/>
      <c r="B751" s="801"/>
      <c r="C751" s="801"/>
      <c r="D751" s="837"/>
      <c r="E751" s="849"/>
      <c r="F751" s="849"/>
      <c r="G751" s="848"/>
      <c r="H751" s="842"/>
      <c r="I751" s="1841"/>
      <c r="J751" s="842"/>
      <c r="K751" s="842"/>
    </row>
    <row r="752" spans="1:11">
      <c r="A752" s="797"/>
      <c r="B752" s="798" t="s">
        <v>2642</v>
      </c>
      <c r="C752" s="801"/>
      <c r="D752" s="1876" t="s">
        <v>1402</v>
      </c>
      <c r="E752" s="1876"/>
      <c r="F752" s="1876"/>
      <c r="G752" s="848"/>
      <c r="H752" s="842"/>
      <c r="I752" s="1841" t="s">
        <v>2454</v>
      </c>
      <c r="J752" s="842"/>
      <c r="K752" s="842"/>
    </row>
    <row r="753" spans="1:11">
      <c r="A753" s="801"/>
      <c r="B753" s="801"/>
      <c r="C753" s="801"/>
      <c r="D753" s="1876"/>
      <c r="E753" s="1876"/>
      <c r="F753" s="187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2642</v>
      </c>
      <c r="C755" s="801"/>
      <c r="D755" s="1876" t="s">
        <v>1424</v>
      </c>
      <c r="E755" s="1876"/>
      <c r="F755" s="1876"/>
      <c r="G755" s="848"/>
      <c r="H755" s="842"/>
      <c r="I755" s="1841" t="s">
        <v>2454</v>
      </c>
      <c r="J755" s="842"/>
      <c r="K755" s="842"/>
    </row>
    <row r="756" spans="1:11">
      <c r="A756" s="801"/>
      <c r="B756" s="801"/>
      <c r="C756" s="801"/>
      <c r="D756" s="1876"/>
      <c r="E756" s="1876"/>
      <c r="F756" s="1876"/>
      <c r="G756" s="848"/>
      <c r="H756" s="842"/>
      <c r="I756" s="1841"/>
      <c r="J756" s="842"/>
      <c r="K756" s="842"/>
    </row>
    <row r="757" spans="1:11">
      <c r="A757" s="801"/>
      <c r="B757" s="801"/>
      <c r="C757" s="801"/>
      <c r="D757" s="1876"/>
      <c r="E757" s="1876"/>
      <c r="F757" s="1876"/>
      <c r="G757" s="848"/>
      <c r="H757" s="842"/>
      <c r="I757" s="1841"/>
      <c r="J757" s="842"/>
      <c r="K757" s="842"/>
    </row>
    <row r="758" spans="1:11">
      <c r="A758" s="801"/>
      <c r="B758" s="801"/>
      <c r="C758" s="801"/>
      <c r="D758" s="781"/>
      <c r="E758" s="781"/>
      <c r="F758" s="781"/>
      <c r="G758" s="848"/>
      <c r="H758" s="842"/>
      <c r="I758" s="1841"/>
      <c r="J758" s="842"/>
      <c r="K758" s="842"/>
    </row>
    <row r="759" spans="1:11">
      <c r="A759" s="1968" t="s">
        <v>2323</v>
      </c>
      <c r="B759" s="1968"/>
      <c r="C759" s="1968"/>
      <c r="D759" s="1968"/>
      <c r="E759" s="1968"/>
      <c r="F759" s="1968"/>
      <c r="G759" s="1968"/>
      <c r="H759" s="1853"/>
      <c r="I759" s="1854"/>
    </row>
    <row r="760" spans="1:11">
      <c r="A760" s="93"/>
      <c r="B760" s="93"/>
      <c r="C760" s="1732"/>
      <c r="D760" s="155"/>
      <c r="E760" s="155"/>
      <c r="F760" s="155"/>
      <c r="G760" s="686"/>
    </row>
    <row r="761" spans="1:11">
      <c r="A761" s="93"/>
      <c r="B761" s="93"/>
      <c r="C761" s="1732"/>
      <c r="D761" s="1969" t="s">
        <v>2382</v>
      </c>
      <c r="E761" s="1969"/>
      <c r="F761" s="1969"/>
      <c r="G761" s="686"/>
    </row>
    <row r="762" spans="1:11">
      <c r="A762" s="93"/>
      <c r="B762" s="93"/>
      <c r="C762" s="1732"/>
      <c r="D762" s="1983" t="s">
        <v>2268</v>
      </c>
      <c r="E762" s="1983"/>
      <c r="F762" s="1983"/>
      <c r="G762" s="686"/>
    </row>
    <row r="763" spans="1:11">
      <c r="A763" s="93"/>
      <c r="B763" s="93"/>
      <c r="C763" s="1732"/>
      <c r="D763" s="733"/>
      <c r="E763" s="733"/>
      <c r="F763" s="733"/>
      <c r="G763" s="686"/>
    </row>
    <row r="764" spans="1:11">
      <c r="A764" s="93"/>
      <c r="B764" s="798" t="s">
        <v>2642</v>
      </c>
      <c r="C764" s="1732"/>
      <c r="D764" s="1903" t="s">
        <v>2269</v>
      </c>
      <c r="E764" s="1903"/>
      <c r="F764" s="1903"/>
      <c r="G764" s="686"/>
      <c r="I764" s="1841" t="s">
        <v>2506</v>
      </c>
    </row>
    <row r="765" spans="1:11">
      <c r="A765" s="93"/>
      <c r="B765" s="93"/>
      <c r="C765" s="1732"/>
      <c r="D765" s="1903"/>
      <c r="E765" s="1903"/>
      <c r="F765" s="1903"/>
      <c r="G765" s="686"/>
    </row>
    <row r="766" spans="1:11">
      <c r="A766" s="720"/>
      <c r="B766" s="720"/>
      <c r="C766" s="313"/>
      <c r="D766" s="1903"/>
      <c r="E766" s="1903"/>
      <c r="F766" s="1903"/>
      <c r="G766" s="1733"/>
    </row>
    <row r="767" spans="1:11">
      <c r="A767" s="1726"/>
      <c r="B767" s="1726"/>
      <c r="C767" s="1734"/>
      <c r="D767" s="1710"/>
      <c r="E767" s="686"/>
      <c r="F767" s="686"/>
      <c r="G767" s="686"/>
    </row>
    <row r="768" spans="1:11">
      <c r="A768" s="267"/>
      <c r="B768" s="798" t="s">
        <v>2580</v>
      </c>
      <c r="C768" s="1735"/>
      <c r="D768" s="1903" t="s">
        <v>2270</v>
      </c>
      <c r="E768" s="1903"/>
      <c r="F768" s="1903"/>
      <c r="G768" s="686"/>
      <c r="I768" s="1841" t="s">
        <v>2506</v>
      </c>
    </row>
    <row r="769" spans="1:9">
      <c r="A769" s="1736"/>
      <c r="B769" s="1736"/>
      <c r="C769" s="1737"/>
      <c r="D769" s="1903"/>
      <c r="E769" s="1903"/>
      <c r="F769" s="1903"/>
      <c r="G769" s="686"/>
    </row>
    <row r="770" spans="1:9">
      <c r="A770" s="267"/>
      <c r="B770" s="267"/>
      <c r="C770" s="1735"/>
      <c r="D770" s="1903"/>
      <c r="E770" s="1903"/>
      <c r="F770" s="1903"/>
      <c r="G770" s="686"/>
    </row>
    <row r="771" spans="1:9">
      <c r="A771" s="720"/>
      <c r="B771" s="720"/>
      <c r="C771" s="313"/>
      <c r="D771" s="6"/>
      <c r="E771" s="1738"/>
      <c r="F771" s="1738"/>
      <c r="G771" s="1739"/>
    </row>
    <row r="772" spans="1:9">
      <c r="A772" s="714"/>
      <c r="B772" s="798" t="s">
        <v>2580</v>
      </c>
      <c r="C772" s="1740"/>
      <c r="D772" s="1903" t="s">
        <v>2271</v>
      </c>
      <c r="E772" s="1903"/>
      <c r="F772" s="1903"/>
      <c r="G772" s="1739"/>
      <c r="I772" s="1841" t="s">
        <v>2506</v>
      </c>
    </row>
    <row r="773" spans="1:9">
      <c r="A773" s="714"/>
      <c r="B773" s="714"/>
      <c r="C773" s="1740"/>
      <c r="D773" s="1903"/>
      <c r="E773" s="1903"/>
      <c r="F773" s="1903"/>
      <c r="G773" s="1739"/>
    </row>
    <row r="774" spans="1:9">
      <c r="A774" s="714"/>
      <c r="B774" s="714"/>
      <c r="C774" s="1740"/>
      <c r="D774" s="1903"/>
      <c r="E774" s="1903"/>
      <c r="F774" s="1903"/>
      <c r="G774" s="1739"/>
    </row>
    <row r="775" spans="1:9">
      <c r="A775" s="714"/>
      <c r="B775" s="714"/>
      <c r="C775" s="1740"/>
      <c r="D775" s="1708"/>
      <c r="E775" s="6"/>
      <c r="F775" s="6"/>
      <c r="G775" s="1739"/>
    </row>
    <row r="776" spans="1:9">
      <c r="A776" s="714"/>
      <c r="B776" s="798" t="s">
        <v>2580</v>
      </c>
      <c r="C776" s="1740"/>
      <c r="D776" s="1903" t="s">
        <v>2272</v>
      </c>
      <c r="E776" s="1903"/>
      <c r="F776" s="1903"/>
      <c r="G776" s="1739"/>
      <c r="I776" s="1841" t="s">
        <v>2506</v>
      </c>
    </row>
    <row r="777" spans="1:9">
      <c r="A777" s="714"/>
      <c r="B777" s="714"/>
      <c r="C777" s="1740"/>
      <c r="D777" s="1903"/>
      <c r="E777" s="1903"/>
      <c r="F777" s="1903"/>
      <c r="G777" s="1739"/>
    </row>
    <row r="778" spans="1:9">
      <c r="A778" s="714"/>
      <c r="B778" s="714"/>
      <c r="C778" s="1740"/>
      <c r="D778" s="1903"/>
      <c r="E778" s="1903"/>
      <c r="F778" s="1903"/>
      <c r="G778" s="1739"/>
    </row>
    <row r="779" spans="1:9">
      <c r="A779" s="714"/>
      <c r="B779" s="714"/>
      <c r="C779" s="1740"/>
      <c r="D779" s="1903"/>
      <c r="E779" s="1903"/>
      <c r="F779" s="1903"/>
      <c r="G779" s="1739"/>
    </row>
    <row r="780" spans="1:9">
      <c r="A780" s="714"/>
      <c r="B780" s="714"/>
      <c r="C780" s="1740"/>
      <c r="D780" s="1903"/>
      <c r="E780" s="1903"/>
      <c r="F780" s="1903"/>
      <c r="G780" s="1739"/>
    </row>
    <row r="781" spans="1:9">
      <c r="A781" s="714"/>
      <c r="B781" s="714"/>
      <c r="C781" s="1740"/>
      <c r="D781" s="1903"/>
      <c r="E781" s="1903"/>
      <c r="F781" s="1903"/>
      <c r="G781" s="1739"/>
    </row>
    <row r="782" spans="1:9">
      <c r="A782" s="714"/>
      <c r="B782" s="714"/>
      <c r="C782" s="1740"/>
      <c r="D782" s="1903" t="s">
        <v>2324</v>
      </c>
      <c r="E782" s="1903"/>
      <c r="F782" s="1903"/>
      <c r="G782" s="1739"/>
    </row>
    <row r="783" spans="1:9">
      <c r="A783" s="714"/>
      <c r="B783" s="714"/>
      <c r="C783" s="1740"/>
      <c r="D783" s="1903"/>
      <c r="E783" s="1903"/>
      <c r="F783" s="1903"/>
      <c r="G783" s="1739"/>
    </row>
    <row r="784" spans="1:9">
      <c r="A784" s="714"/>
      <c r="B784" s="714"/>
      <c r="C784" s="1740"/>
      <c r="D784" s="1903"/>
      <c r="E784" s="1903"/>
      <c r="F784" s="1903"/>
      <c r="G784" s="1739"/>
    </row>
    <row r="785" spans="1:9">
      <c r="A785" s="714"/>
      <c r="B785" s="556"/>
      <c r="C785" s="1740"/>
      <c r="D785" s="1741"/>
      <c r="E785" s="1741"/>
      <c r="F785" s="1741"/>
      <c r="G785" s="1739"/>
    </row>
    <row r="786" spans="1:9">
      <c r="A786" s="714"/>
      <c r="B786" s="798" t="s">
        <v>2580</v>
      </c>
      <c r="C786" s="1740"/>
      <c r="D786" s="1903" t="s">
        <v>2273</v>
      </c>
      <c r="E786" s="1903"/>
      <c r="F786" s="1903"/>
      <c r="G786" s="1739"/>
      <c r="I786" s="1841" t="s">
        <v>2506</v>
      </c>
    </row>
    <row r="787" spans="1:9">
      <c r="A787" s="714"/>
      <c r="B787" s="714"/>
      <c r="C787" s="1740"/>
      <c r="D787" s="1903"/>
      <c r="E787" s="1903"/>
      <c r="F787" s="1903"/>
      <c r="G787" s="1739"/>
    </row>
    <row r="788" spans="1:9">
      <c r="A788" s="714"/>
      <c r="B788" s="714"/>
      <c r="C788" s="1740"/>
      <c r="D788" s="1903"/>
      <c r="E788" s="1903"/>
      <c r="F788" s="1903"/>
      <c r="G788" s="1739"/>
    </row>
    <row r="789" spans="1:9">
      <c r="A789" s="714"/>
      <c r="B789" s="714"/>
      <c r="C789" s="1740"/>
      <c r="D789" s="1903"/>
      <c r="E789" s="1903"/>
      <c r="F789" s="1903"/>
      <c r="G789" s="1739"/>
    </row>
    <row r="790" spans="1:9">
      <c r="A790" s="714"/>
      <c r="B790" s="714"/>
      <c r="C790" s="1740"/>
      <c r="D790" s="1903"/>
      <c r="E790" s="1903"/>
      <c r="F790" s="1903"/>
      <c r="G790" s="1739"/>
    </row>
    <row r="791" spans="1:9">
      <c r="A791" s="714"/>
      <c r="B791" s="714"/>
      <c r="C791" s="1740"/>
      <c r="D791" s="1903"/>
      <c r="E791" s="1903"/>
      <c r="F791" s="1903"/>
      <c r="G791" s="1739"/>
    </row>
    <row r="792" spans="1:9">
      <c r="A792" s="714"/>
      <c r="B792" s="714"/>
      <c r="C792" s="1740"/>
      <c r="D792" s="1717"/>
      <c r="E792" s="1717"/>
      <c r="F792" s="1717"/>
      <c r="G792" s="1739"/>
    </row>
    <row r="793" spans="1:9">
      <c r="A793" s="714"/>
      <c r="B793" s="798" t="s">
        <v>2580</v>
      </c>
      <c r="C793" s="1740"/>
      <c r="D793" s="1903" t="s">
        <v>2274</v>
      </c>
      <c r="E793" s="1903"/>
      <c r="F793" s="1903"/>
      <c r="G793" s="1739"/>
      <c r="I793" s="1841" t="s">
        <v>2506</v>
      </c>
    </row>
    <row r="794" spans="1:9">
      <c r="A794" s="714"/>
      <c r="B794" s="714"/>
      <c r="C794" s="1740"/>
      <c r="D794" s="1903"/>
      <c r="E794" s="1903"/>
      <c r="F794" s="1903"/>
      <c r="G794" s="1739"/>
    </row>
    <row r="795" spans="1:9">
      <c r="A795" s="714"/>
      <c r="B795" s="714"/>
      <c r="C795" s="1740"/>
      <c r="D795" s="1903"/>
      <c r="E795" s="1903"/>
      <c r="F795" s="1903"/>
      <c r="G795" s="1739"/>
    </row>
    <row r="796" spans="1:9">
      <c r="A796" s="714"/>
      <c r="B796" s="714"/>
      <c r="C796" s="1740"/>
      <c r="D796" s="1903"/>
      <c r="E796" s="1903"/>
      <c r="F796" s="1903"/>
      <c r="G796" s="1739"/>
    </row>
    <row r="797" spans="1:9">
      <c r="A797" s="714"/>
      <c r="B797" s="714"/>
      <c r="C797" s="1740"/>
      <c r="D797" s="1903"/>
      <c r="E797" s="1903"/>
      <c r="F797" s="1903"/>
      <c r="G797" s="1739"/>
    </row>
    <row r="798" spans="1:9">
      <c r="A798" s="714"/>
      <c r="B798" s="714"/>
      <c r="C798" s="1740"/>
      <c r="D798" s="1903"/>
      <c r="E798" s="1903"/>
      <c r="F798" s="1903"/>
      <c r="G798" s="1739"/>
    </row>
    <row r="799" spans="1:9">
      <c r="A799" s="714"/>
      <c r="B799" s="714"/>
      <c r="C799" s="1740"/>
      <c r="D799" s="1717"/>
      <c r="E799" s="1717"/>
      <c r="F799" s="1717"/>
      <c r="G799" s="1739"/>
    </row>
    <row r="800" spans="1:9">
      <c r="A800" s="714"/>
      <c r="B800" s="798" t="s">
        <v>2580</v>
      </c>
      <c r="C800" s="1740"/>
      <c r="D800" s="1916" t="s">
        <v>2275</v>
      </c>
      <c r="E800" s="1916"/>
      <c r="F800" s="1916"/>
      <c r="G800" s="1739"/>
      <c r="I800" s="1841" t="s">
        <v>2506</v>
      </c>
    </row>
    <row r="801" spans="1:9">
      <c r="A801" s="714"/>
      <c r="B801" s="714"/>
      <c r="C801" s="1740"/>
      <c r="D801" s="1916"/>
      <c r="E801" s="1916"/>
      <c r="F801" s="1916"/>
      <c r="G801" s="1739"/>
    </row>
    <row r="802" spans="1:9">
      <c r="A802" s="1725"/>
      <c r="B802" s="1725"/>
      <c r="C802" s="1740"/>
      <c r="D802" s="1916"/>
      <c r="E802" s="1916"/>
      <c r="F802" s="1916"/>
      <c r="G802" s="1739"/>
    </row>
    <row r="803" spans="1:9">
      <c r="A803" s="714"/>
      <c r="B803" s="1725"/>
      <c r="C803" s="1740"/>
      <c r="D803" s="1916"/>
      <c r="E803" s="1916"/>
      <c r="F803" s="1916"/>
      <c r="G803" s="1739"/>
    </row>
    <row r="804" spans="1:9" ht="12.75" customHeight="1">
      <c r="A804" s="714"/>
      <c r="B804" s="1725"/>
      <c r="C804" s="1740"/>
      <c r="D804" s="1916"/>
      <c r="E804" s="1916"/>
      <c r="F804" s="1916"/>
      <c r="G804" s="1739"/>
    </row>
    <row r="805" spans="1:9" ht="12.75" customHeight="1">
      <c r="A805" s="714"/>
      <c r="B805" s="1725"/>
      <c r="C805" s="1740"/>
      <c r="D805" s="1916"/>
      <c r="E805" s="1916"/>
      <c r="F805" s="1916"/>
      <c r="G805" s="1739"/>
    </row>
    <row r="806" spans="1:9" ht="12.75" customHeight="1">
      <c r="A806" s="1725"/>
      <c r="B806" s="1725"/>
      <c r="C806" s="1740"/>
      <c r="D806" s="1738"/>
      <c r="E806" s="6"/>
      <c r="F806" s="6"/>
      <c r="G806" s="1739"/>
    </row>
    <row r="807" spans="1:9" ht="12.75" customHeight="1">
      <c r="A807" s="1893" t="s">
        <v>2276</v>
      </c>
      <c r="B807" s="1893"/>
      <c r="C807" s="1893"/>
      <c r="D807" s="1893"/>
      <c r="E807" s="1893"/>
      <c r="F807" s="1893"/>
      <c r="G807" s="1893"/>
      <c r="H807" s="1853"/>
      <c r="I807" s="1854"/>
    </row>
    <row r="808" spans="1:9" ht="12.75" customHeight="1">
      <c r="A808" s="1714"/>
      <c r="B808" s="1714"/>
      <c r="C808" s="1740"/>
      <c r="D808" s="1738"/>
      <c r="E808" s="1738"/>
      <c r="F808" s="1738"/>
      <c r="G808" s="1739"/>
    </row>
    <row r="809" spans="1:9" ht="12.75" customHeight="1">
      <c r="A809" s="714"/>
      <c r="B809" s="714"/>
      <c r="C809" s="556"/>
      <c r="D809" s="1900" t="s">
        <v>2325</v>
      </c>
      <c r="E809" s="1900"/>
      <c r="F809" s="1900"/>
      <c r="G809" s="678"/>
    </row>
    <row r="810" spans="1:9" ht="14.25" customHeight="1">
      <c r="A810" s="714"/>
      <c r="B810" s="714"/>
      <c r="C810" s="556"/>
      <c r="D810" s="1858" t="s">
        <v>2277</v>
      </c>
      <c r="E810" s="1858"/>
      <c r="F810" s="1858"/>
      <c r="G810" s="678"/>
    </row>
    <row r="811" spans="1:9" ht="12.75" customHeight="1">
      <c r="A811" s="714"/>
      <c r="B811" s="714"/>
      <c r="C811" s="556"/>
      <c r="D811" s="1703"/>
      <c r="E811" s="1703"/>
      <c r="F811" s="1703"/>
      <c r="G811" s="678"/>
    </row>
    <row r="812" spans="1:9" ht="12.75" customHeight="1">
      <c r="A812" s="1742"/>
      <c r="B812" s="798" t="s">
        <v>2642</v>
      </c>
      <c r="C812" s="1740"/>
      <c r="D812" s="1858" t="s">
        <v>2278</v>
      </c>
      <c r="E812" s="1858"/>
      <c r="F812" s="1858"/>
      <c r="G812" s="678"/>
      <c r="I812" s="1774" t="s">
        <v>2472</v>
      </c>
    </row>
    <row r="813" spans="1:9" ht="14.25" customHeight="1">
      <c r="A813" s="1725"/>
      <c r="B813" s="1725"/>
      <c r="C813" s="1740"/>
      <c r="D813" s="5" t="s">
        <v>2254</v>
      </c>
      <c r="E813" s="1862" t="s">
        <v>2279</v>
      </c>
      <c r="F813" s="1862"/>
      <c r="G813" s="678"/>
    </row>
    <row r="814" spans="1:9" ht="12.75" customHeight="1">
      <c r="A814" s="1725"/>
      <c r="B814" s="1725"/>
      <c r="C814" s="1740"/>
      <c r="D814" s="1743"/>
      <c r="E814" s="6"/>
      <c r="F814" s="6"/>
      <c r="G814" s="678"/>
    </row>
    <row r="815" spans="1:9" ht="14.25" hidden="1" customHeight="1">
      <c r="A815" s="1725"/>
      <c r="B815" s="798" t="s">
        <v>316</v>
      </c>
      <c r="C815" s="1740"/>
      <c r="D815" s="1988" t="s">
        <v>2280</v>
      </c>
      <c r="E815" s="1988"/>
      <c r="F815" s="1988"/>
      <c r="G815" s="678"/>
    </row>
    <row r="816" spans="1:9" ht="12.75" hidden="1" customHeight="1">
      <c r="A816" s="1725"/>
      <c r="B816" s="1725"/>
      <c r="C816" s="1740"/>
      <c r="D816" s="1988"/>
      <c r="E816" s="1988"/>
      <c r="F816" s="1988"/>
      <c r="G816" s="678"/>
    </row>
    <row r="817" spans="1:9" ht="12.75" hidden="1" customHeight="1">
      <c r="A817" s="1725"/>
      <c r="B817" s="1725"/>
      <c r="C817" s="1740"/>
      <c r="D817" s="1988"/>
      <c r="E817" s="1988"/>
      <c r="F817" s="1988"/>
      <c r="G817" s="678"/>
    </row>
    <row r="818" spans="1:9" ht="12.75" hidden="1" customHeight="1">
      <c r="A818" s="1725"/>
      <c r="B818" s="1725"/>
      <c r="C818" s="1740"/>
      <c r="D818" s="1988"/>
      <c r="E818" s="1988"/>
      <c r="F818" s="1988"/>
      <c r="G818" s="678"/>
    </row>
    <row r="819" spans="1:9" ht="12.75" hidden="1" customHeight="1">
      <c r="A819" s="1725"/>
      <c r="B819" s="1725"/>
      <c r="C819" s="1740"/>
      <c r="D819" s="1988"/>
      <c r="E819" s="1988"/>
      <c r="F819" s="1988"/>
      <c r="G819" s="678"/>
    </row>
    <row r="820" spans="1:9" ht="12.75" hidden="1" customHeight="1">
      <c r="A820" s="1725"/>
      <c r="B820" s="1725"/>
      <c r="C820" s="1740"/>
      <c r="D820" s="1988"/>
      <c r="E820" s="1988"/>
      <c r="F820" s="1988"/>
      <c r="G820" s="678"/>
    </row>
    <row r="821" spans="1:9" ht="12.75" hidden="1" customHeight="1">
      <c r="A821" s="1725"/>
      <c r="B821" s="1725"/>
      <c r="C821" s="1740"/>
      <c r="D821" s="1988"/>
      <c r="E821" s="1988"/>
      <c r="F821" s="1988"/>
      <c r="G821" s="678"/>
    </row>
    <row r="822" spans="1:9" ht="12.75" hidden="1" customHeight="1">
      <c r="A822" s="1725"/>
      <c r="B822" s="1725"/>
      <c r="C822" s="1740"/>
      <c r="D822" s="1988"/>
      <c r="E822" s="1988"/>
      <c r="F822" s="1988"/>
      <c r="G822" s="678"/>
    </row>
    <row r="823" spans="1:9" ht="12.75" hidden="1" customHeight="1">
      <c r="A823" s="1725"/>
      <c r="B823" s="1725"/>
      <c r="C823" s="1740"/>
      <c r="D823" s="1988"/>
      <c r="E823" s="1988"/>
      <c r="F823" s="1988"/>
      <c r="G823" s="678"/>
    </row>
    <row r="824" spans="1:9" ht="12.75" hidden="1" customHeight="1">
      <c r="A824" s="1725"/>
      <c r="B824" s="1725"/>
      <c r="C824" s="1740"/>
      <c r="D824" s="1988"/>
      <c r="E824" s="1988"/>
      <c r="F824" s="1988"/>
      <c r="G824" s="678"/>
    </row>
    <row r="825" spans="1:9" ht="12.75" hidden="1" customHeight="1">
      <c r="A825" s="1725"/>
      <c r="B825" s="1725"/>
      <c r="C825" s="1740"/>
      <c r="D825" s="1743"/>
      <c r="E825" s="6"/>
      <c r="F825" s="6"/>
      <c r="G825" s="678"/>
    </row>
    <row r="826" spans="1:9" ht="12.75" customHeight="1">
      <c r="A826" s="714"/>
      <c r="B826" s="798" t="s">
        <v>2642</v>
      </c>
      <c r="C826" s="1740"/>
      <c r="D826" s="1858" t="s">
        <v>2281</v>
      </c>
      <c r="E826" s="1858"/>
      <c r="F826" s="1858"/>
      <c r="G826" s="678"/>
      <c r="I826" s="1774" t="s">
        <v>2492</v>
      </c>
    </row>
    <row r="827" spans="1:9" ht="12.75" customHeight="1">
      <c r="A827" s="714"/>
      <c r="B827" s="714"/>
      <c r="C827" s="1740"/>
      <c r="D827" s="1858"/>
      <c r="E827" s="1858"/>
      <c r="F827" s="1858"/>
      <c r="G827" s="678"/>
    </row>
    <row r="828" spans="1:9" ht="12.75" customHeight="1">
      <c r="A828" s="714"/>
      <c r="B828" s="714"/>
      <c r="C828" s="1740"/>
      <c r="D828" s="1858"/>
      <c r="E828" s="1858"/>
      <c r="F828" s="1858"/>
      <c r="G828" s="678"/>
    </row>
    <row r="829" spans="1:9" ht="12.75" customHeight="1">
      <c r="A829" s="403"/>
      <c r="B829" s="403"/>
      <c r="C829" s="1744"/>
      <c r="D829" s="1721"/>
      <c r="E829" s="678"/>
      <c r="F829" s="678"/>
      <c r="G829" s="678"/>
    </row>
    <row r="830" spans="1:9" ht="12.75" customHeight="1">
      <c r="A830" s="1745"/>
      <c r="B830" s="798" t="s">
        <v>2580</v>
      </c>
      <c r="C830" s="1744"/>
      <c r="D830" s="1989" t="s">
        <v>2282</v>
      </c>
      <c r="E830" s="1989"/>
      <c r="F830" s="1989"/>
      <c r="G830" s="678"/>
    </row>
    <row r="831" spans="1:9" ht="12.75" customHeight="1">
      <c r="A831" s="556"/>
      <c r="B831" s="1745"/>
      <c r="C831" s="1744"/>
      <c r="D831" s="1989"/>
      <c r="E831" s="1989"/>
      <c r="F831" s="1989"/>
      <c r="G831" s="678"/>
    </row>
    <row r="832" spans="1:9" ht="12.75" customHeight="1">
      <c r="A832" s="403"/>
      <c r="B832" s="556"/>
      <c r="C832" s="1744"/>
      <c r="D832" s="1860" t="s">
        <v>2283</v>
      </c>
      <c r="E832" s="1860"/>
      <c r="F832" s="1860"/>
      <c r="G832" s="678"/>
    </row>
    <row r="833" spans="1:9" ht="12.75" customHeight="1">
      <c r="A833" s="403"/>
      <c r="B833" s="403"/>
      <c r="C833" s="1744"/>
      <c r="D833" s="1860"/>
      <c r="E833" s="1860"/>
      <c r="F833" s="1860"/>
      <c r="G833" s="678"/>
    </row>
    <row r="834" spans="1:9" ht="12.75" customHeight="1">
      <c r="A834" s="403"/>
      <c r="B834" s="403"/>
      <c r="C834" s="1744"/>
      <c r="D834" s="1860"/>
      <c r="E834" s="1860"/>
      <c r="F834" s="1860"/>
      <c r="G834" s="678"/>
    </row>
    <row r="835" spans="1:9" ht="12.75" customHeight="1">
      <c r="A835" s="403"/>
      <c r="B835" s="403"/>
      <c r="C835" s="1744"/>
      <c r="D835" s="1860"/>
      <c r="E835" s="1860"/>
      <c r="F835" s="1860"/>
      <c r="G835" s="678"/>
    </row>
    <row r="836" spans="1:9" ht="12.75" customHeight="1">
      <c r="A836" s="403"/>
      <c r="B836" s="403"/>
      <c r="C836" s="1744"/>
      <c r="D836" s="1860"/>
      <c r="E836" s="1860"/>
      <c r="F836" s="1860"/>
      <c r="G836" s="678"/>
    </row>
    <row r="837" spans="1:9" ht="12.75" customHeight="1">
      <c r="A837" s="403"/>
      <c r="B837" s="403"/>
      <c r="C837" s="1744"/>
      <c r="D837" s="1860"/>
      <c r="E837" s="1860"/>
      <c r="F837" s="1860"/>
      <c r="G837" s="678"/>
    </row>
    <row r="838" spans="1:9" ht="12.75" customHeight="1">
      <c r="A838" s="403"/>
      <c r="B838" s="403"/>
      <c r="C838" s="1744"/>
      <c r="D838" s="1721"/>
      <c r="E838" s="678"/>
      <c r="F838" s="678"/>
      <c r="G838" s="678"/>
    </row>
    <row r="839" spans="1:9" ht="12.75" customHeight="1">
      <c r="A839" s="403"/>
      <c r="B839" s="798" t="s">
        <v>2580</v>
      </c>
      <c r="C839" s="1744"/>
      <c r="D839" s="1860" t="s">
        <v>2284</v>
      </c>
      <c r="E839" s="1860"/>
      <c r="F839" s="1860"/>
      <c r="G839" s="678"/>
      <c r="I839" s="1774" t="s">
        <v>2473</v>
      </c>
    </row>
    <row r="840" spans="1:9" ht="12.75" customHeight="1">
      <c r="A840" s="403"/>
      <c r="B840" s="403"/>
      <c r="C840" s="1744"/>
      <c r="D840" s="1860" t="s">
        <v>2285</v>
      </c>
      <c r="E840" s="1860"/>
      <c r="F840" s="1860"/>
      <c r="G840" s="678"/>
    </row>
    <row r="841" spans="1:9" ht="12.75" customHeight="1">
      <c r="A841" s="403"/>
      <c r="B841" s="403"/>
      <c r="C841" s="1744"/>
      <c r="D841" s="183" t="s">
        <v>2251</v>
      </c>
      <c r="E841" s="1990" t="s">
        <v>2286</v>
      </c>
      <c r="F841" s="1990"/>
      <c r="G841" s="678"/>
    </row>
    <row r="842" spans="1:9" ht="12.75" customHeight="1">
      <c r="A842" s="403"/>
      <c r="B842" s="403"/>
      <c r="C842" s="1744"/>
      <c r="D842" s="1721"/>
      <c r="E842" s="678"/>
      <c r="F842" s="678"/>
      <c r="G842" s="678"/>
    </row>
    <row r="843" spans="1:9" ht="12.75" customHeight="1">
      <c r="A843" s="403"/>
      <c r="B843" s="798" t="s">
        <v>2580</v>
      </c>
      <c r="C843" s="1744"/>
      <c r="D843" s="1860" t="s">
        <v>2287</v>
      </c>
      <c r="E843" s="1860"/>
      <c r="F843" s="1860"/>
      <c r="G843" s="678"/>
      <c r="I843" s="1774" t="s">
        <v>2493</v>
      </c>
    </row>
    <row r="844" spans="1:9" ht="12.75" customHeight="1">
      <c r="A844" s="403"/>
      <c r="B844" s="403"/>
      <c r="C844" s="1744"/>
      <c r="D844" s="1860"/>
      <c r="E844" s="1860"/>
      <c r="F844" s="1860"/>
      <c r="G844" s="678"/>
    </row>
    <row r="845" spans="1:9" ht="12.75" customHeight="1">
      <c r="A845" s="403"/>
      <c r="B845" s="403"/>
      <c r="C845" s="1744"/>
      <c r="D845" s="1860"/>
      <c r="E845" s="1860"/>
      <c r="F845" s="1860"/>
      <c r="G845" s="678"/>
    </row>
    <row r="846" spans="1:9" ht="12.75" customHeight="1">
      <c r="A846" s="403"/>
      <c r="B846" s="403"/>
      <c r="C846" s="1744"/>
      <c r="D846" s="1860"/>
      <c r="E846" s="1860"/>
      <c r="F846" s="1860"/>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2" t="s">
        <v>2326</v>
      </c>
      <c r="E850" s="1882"/>
      <c r="F850" s="1882"/>
      <c r="G850" s="1739"/>
    </row>
    <row r="851" spans="1:9" ht="12.75" customHeight="1">
      <c r="A851" s="1742"/>
      <c r="B851" s="1742"/>
      <c r="C851" s="313"/>
      <c r="D851" s="1991" t="s">
        <v>2289</v>
      </c>
      <c r="E851" s="1991"/>
      <c r="F851" s="1991"/>
      <c r="G851" s="1739"/>
    </row>
    <row r="852" spans="1:9" ht="12.75" customHeight="1">
      <c r="A852" s="1742"/>
      <c r="B852" s="1742"/>
      <c r="C852" s="313"/>
      <c r="D852" s="1750"/>
      <c r="E852" s="1750"/>
      <c r="F852" s="1750"/>
      <c r="G852" s="1739"/>
    </row>
    <row r="853" spans="1:9" ht="12.75" customHeight="1">
      <c r="A853" s="714"/>
      <c r="B853" s="798" t="s">
        <v>2642</v>
      </c>
      <c r="C853" s="556"/>
      <c r="D853" s="1883" t="s">
        <v>2290</v>
      </c>
      <c r="E853" s="1883"/>
      <c r="F853" s="1883"/>
      <c r="G853" s="1739"/>
      <c r="I853" s="1774" t="s">
        <v>2473</v>
      </c>
    </row>
    <row r="854" spans="1:9" ht="12.75" customHeight="1">
      <c r="A854" s="1742"/>
      <c r="B854" s="1742"/>
      <c r="C854" s="556"/>
      <c r="D854" s="5" t="s">
        <v>2251</v>
      </c>
      <c r="E854" s="1993" t="s">
        <v>2286</v>
      </c>
      <c r="F854" s="1993"/>
      <c r="G854" s="1739"/>
    </row>
    <row r="855" spans="1:9" ht="12.75" customHeight="1">
      <c r="A855" s="1742"/>
      <c r="B855" s="1742"/>
      <c r="C855" s="556"/>
      <c r="D855" s="1708"/>
      <c r="E855" s="1738"/>
      <c r="F855" s="1738"/>
      <c r="G855" s="1739"/>
    </row>
    <row r="856" spans="1:9" ht="12.75" customHeight="1">
      <c r="A856" s="714"/>
      <c r="B856" s="798" t="s">
        <v>2642</v>
      </c>
      <c r="C856" s="556"/>
      <c r="D856" s="1858" t="s">
        <v>2291</v>
      </c>
      <c r="E856" s="1932"/>
      <c r="F856" s="1932"/>
      <c r="G856" s="678"/>
      <c r="I856" s="1774" t="s">
        <v>2493</v>
      </c>
    </row>
    <row r="857" spans="1:9" ht="12.75" customHeight="1">
      <c r="A857" s="1742"/>
      <c r="B857" s="1742"/>
      <c r="C857" s="556"/>
      <c r="D857" s="1932"/>
      <c r="E857" s="1932"/>
      <c r="F857" s="1932"/>
      <c r="G857" s="678"/>
    </row>
    <row r="858" spans="1:9" ht="12.75" customHeight="1">
      <c r="A858" s="1742"/>
      <c r="B858" s="1742"/>
      <c r="C858" s="556"/>
      <c r="D858" s="1708"/>
      <c r="E858" s="6"/>
      <c r="F858" s="6"/>
      <c r="G858" s="678"/>
    </row>
    <row r="859" spans="1:9" ht="12.75" customHeight="1">
      <c r="A859" s="556"/>
      <c r="B859" s="798" t="s">
        <v>2580</v>
      </c>
      <c r="C859" s="557"/>
      <c r="D859" s="1994" t="s">
        <v>2292</v>
      </c>
      <c r="E859" s="1994"/>
      <c r="F859" s="1994"/>
      <c r="G859" s="1739"/>
    </row>
    <row r="860" spans="1:9" ht="12.75" customHeight="1">
      <c r="A860" s="556"/>
      <c r="B860" s="1751"/>
      <c r="C860" s="557"/>
      <c r="D860" s="1994"/>
      <c r="E860" s="1994"/>
      <c r="F860" s="1994"/>
      <c r="G860" s="1739"/>
    </row>
    <row r="861" spans="1:9" ht="12.75" customHeight="1">
      <c r="A861" s="714"/>
      <c r="B861" s="677"/>
      <c r="C861" s="556"/>
      <c r="D861" s="1860" t="s">
        <v>2283</v>
      </c>
      <c r="E861" s="1860"/>
      <c r="F861" s="1860"/>
      <c r="G861" s="1739"/>
    </row>
    <row r="862" spans="1:9" ht="12.75" customHeight="1">
      <c r="A862" s="714"/>
      <c r="B862" s="714"/>
      <c r="C862" s="556"/>
      <c r="D862" s="1860"/>
      <c r="E862" s="1860"/>
      <c r="F862" s="1860"/>
      <c r="G862" s="1739"/>
    </row>
    <row r="863" spans="1:9" ht="12.75" customHeight="1">
      <c r="A863" s="714"/>
      <c r="B863" s="714"/>
      <c r="C863" s="556"/>
      <c r="D863" s="1860"/>
      <c r="E863" s="1860"/>
      <c r="F863" s="1860"/>
      <c r="G863" s="1739"/>
    </row>
    <row r="864" spans="1:9" ht="12.75" customHeight="1">
      <c r="A864" s="714"/>
      <c r="B864" s="714"/>
      <c r="C864" s="556"/>
      <c r="D864" s="1860"/>
      <c r="E864" s="1860"/>
      <c r="F864" s="1860"/>
      <c r="G864" s="1739"/>
    </row>
    <row r="865" spans="1:9" ht="12.75" customHeight="1">
      <c r="A865" s="714"/>
      <c r="B865" s="714"/>
      <c r="C865" s="556"/>
      <c r="D865" s="1860"/>
      <c r="E865" s="1860"/>
      <c r="F865" s="1860"/>
      <c r="G865" s="1739"/>
    </row>
    <row r="866" spans="1:9" ht="12.75" customHeight="1">
      <c r="A866" s="714"/>
      <c r="B866" s="714"/>
      <c r="C866" s="556"/>
      <c r="D866" s="1860"/>
      <c r="E866" s="1860"/>
      <c r="F866" s="1860"/>
      <c r="G866" s="1739"/>
    </row>
    <row r="867" spans="1:9" ht="12.75" customHeight="1">
      <c r="A867" s="714"/>
      <c r="B867" s="714"/>
      <c r="C867" s="556"/>
      <c r="D867" s="1708"/>
      <c r="E867" s="1738"/>
      <c r="F867" s="1738"/>
      <c r="G867" s="1739"/>
    </row>
    <row r="868" spans="1:9" ht="12.75" customHeight="1">
      <c r="A868" s="714"/>
      <c r="B868" s="798" t="s">
        <v>2580</v>
      </c>
      <c r="C868" s="556"/>
      <c r="D868" s="1887" t="s">
        <v>2284</v>
      </c>
      <c r="E868" s="1887"/>
      <c r="F868" s="1887"/>
      <c r="G868" s="1739"/>
      <c r="I868" s="1774" t="s">
        <v>2473</v>
      </c>
    </row>
    <row r="869" spans="1:9" ht="12.75" customHeight="1">
      <c r="A869" s="714"/>
      <c r="B869" s="714"/>
      <c r="C869" s="556"/>
      <c r="D869" s="1887" t="s">
        <v>2285</v>
      </c>
      <c r="E869" s="1887"/>
      <c r="F869" s="1887"/>
      <c r="G869" s="1739"/>
    </row>
    <row r="870" spans="1:9" ht="12.75" customHeight="1">
      <c r="A870" s="714"/>
      <c r="B870" s="714"/>
      <c r="C870" s="556"/>
      <c r="D870" s="5" t="s">
        <v>1503</v>
      </c>
      <c r="E870" s="1995" t="s">
        <v>2286</v>
      </c>
      <c r="F870" s="1995"/>
      <c r="G870" s="1739"/>
    </row>
    <row r="871" spans="1:9" ht="12.75" customHeight="1">
      <c r="A871" s="714"/>
      <c r="B871" s="714"/>
      <c r="C871" s="556"/>
      <c r="D871" s="1708"/>
      <c r="E871" s="1738"/>
      <c r="F871" s="1738"/>
      <c r="G871" s="1739"/>
    </row>
    <row r="872" spans="1:9" ht="12.75" customHeight="1">
      <c r="A872" s="714"/>
      <c r="B872" s="798" t="s">
        <v>2580</v>
      </c>
      <c r="C872" s="556"/>
      <c r="D872" s="1858" t="s">
        <v>2287</v>
      </c>
      <c r="E872" s="1858"/>
      <c r="F872" s="1858"/>
      <c r="G872" s="1739"/>
      <c r="I872" s="1774" t="s">
        <v>2493</v>
      </c>
    </row>
    <row r="873" spans="1:9" ht="12.75" customHeight="1">
      <c r="A873" s="714"/>
      <c r="B873" s="714"/>
      <c r="C873" s="556"/>
      <c r="D873" s="1858"/>
      <c r="E873" s="1858"/>
      <c r="F873" s="1858"/>
      <c r="G873" s="1739"/>
    </row>
    <row r="874" spans="1:9" ht="12.75" customHeight="1">
      <c r="A874" s="714"/>
      <c r="B874" s="714"/>
      <c r="C874" s="556"/>
      <c r="D874" s="1858"/>
      <c r="E874" s="1858"/>
      <c r="F874" s="1858"/>
      <c r="G874" s="1739"/>
    </row>
    <row r="875" spans="1:9" ht="12.75" customHeight="1">
      <c r="A875" s="714"/>
      <c r="B875" s="714"/>
      <c r="C875" s="556"/>
      <c r="D875" s="1858"/>
      <c r="E875" s="1858"/>
      <c r="F875" s="1858"/>
      <c r="G875" s="1739"/>
    </row>
    <row r="876" spans="1:9" ht="12.75" customHeight="1">
      <c r="A876" s="1709"/>
      <c r="B876" s="1709"/>
      <c r="C876" s="1740"/>
      <c r="D876" s="1738"/>
      <c r="E876" s="1738"/>
      <c r="F876" s="1738"/>
      <c r="G876" s="1739"/>
    </row>
    <row r="877" spans="1:9" ht="12.75" customHeight="1">
      <c r="A877" s="1893" t="s">
        <v>2327</v>
      </c>
      <c r="B877" s="1893"/>
      <c r="C877" s="1893"/>
      <c r="D877" s="1893"/>
      <c r="E877" s="1893"/>
      <c r="F877" s="1893"/>
      <c r="G877" s="189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2" t="s">
        <v>2333</v>
      </c>
      <c r="E879" s="1902"/>
      <c r="F879" s="190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2642</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02" t="s">
        <v>2328</v>
      </c>
      <c r="E883" s="1902"/>
      <c r="F883" s="1902"/>
      <c r="G883" s="1739"/>
    </row>
    <row r="884" spans="1:9" ht="12.75" customHeight="1">
      <c r="A884" s="1714"/>
      <c r="B884" s="1714"/>
      <c r="C884" s="1746"/>
      <c r="D884" s="1883" t="s">
        <v>2293</v>
      </c>
      <c r="E884" s="1883"/>
      <c r="F884" s="1883"/>
      <c r="G884" s="1739"/>
    </row>
    <row r="885" spans="1:9" ht="12.75" customHeight="1">
      <c r="A885" s="1756"/>
      <c r="B885" s="1756"/>
      <c r="C885" s="1740"/>
      <c r="D885" s="5"/>
      <c r="E885" s="1738"/>
      <c r="F885" s="1738"/>
      <c r="G885" s="1739"/>
    </row>
    <row r="886" spans="1:9" ht="12.75" customHeight="1">
      <c r="A886" s="714"/>
      <c r="B886" s="798" t="s">
        <v>2642</v>
      </c>
      <c r="C886" s="556"/>
      <c r="D886" s="1858" t="s">
        <v>2297</v>
      </c>
      <c r="E886" s="1858"/>
      <c r="F886" s="1858"/>
      <c r="G886" s="678"/>
      <c r="I886" s="1774" t="s">
        <v>2457</v>
      </c>
    </row>
    <row r="887" spans="1:9" ht="12.75" customHeight="1">
      <c r="A887" s="1742"/>
      <c r="B887" s="1742"/>
      <c r="C887" s="556"/>
      <c r="D887" s="1858"/>
      <c r="E887" s="1858"/>
      <c r="F887" s="1858"/>
      <c r="G887" s="678"/>
    </row>
    <row r="888" spans="1:9" s="1772" customFormat="1" ht="12.75" customHeight="1">
      <c r="A888" s="1846"/>
      <c r="B888" s="1846"/>
      <c r="C888" s="1746"/>
      <c r="D888" s="1858" t="s">
        <v>2296</v>
      </c>
      <c r="E888" s="1858"/>
      <c r="F888" s="1858"/>
      <c r="G888" s="1739"/>
      <c r="I888" s="1774"/>
    </row>
    <row r="889" spans="1:9" s="1772" customFormat="1" ht="12.75" customHeight="1">
      <c r="A889" s="1846"/>
      <c r="B889" s="1846"/>
      <c r="C889" s="1746"/>
      <c r="D889" s="1858"/>
      <c r="E889" s="1858"/>
      <c r="F889" s="1858"/>
      <c r="G889" s="1739"/>
      <c r="I889" s="1774"/>
    </row>
    <row r="890" spans="1:9" ht="12.75" customHeight="1">
      <c r="A890" s="1714"/>
      <c r="B890" s="1714"/>
      <c r="C890" s="1746"/>
      <c r="D890" s="6"/>
      <c r="E890" s="6"/>
      <c r="F890" s="1738"/>
      <c r="G890" s="1739"/>
    </row>
    <row r="891" spans="1:9" ht="12.75" customHeight="1">
      <c r="A891" s="403"/>
      <c r="B891" s="798" t="s">
        <v>2642</v>
      </c>
      <c r="C891" s="486"/>
      <c r="D891" s="1990" t="s">
        <v>2294</v>
      </c>
      <c r="E891" s="1990"/>
      <c r="F891" s="1990"/>
      <c r="G891" s="1739"/>
      <c r="I891" s="1774" t="s">
        <v>2456</v>
      </c>
    </row>
    <row r="892" spans="1:9" ht="12.75" customHeight="1">
      <c r="A892" s="403"/>
      <c r="B892" s="403"/>
      <c r="C892" s="486"/>
      <c r="D892" s="1990"/>
      <c r="E892" s="1990"/>
      <c r="F892" s="1990"/>
      <c r="G892" s="1739"/>
    </row>
    <row r="893" spans="1:9" ht="12.75" customHeight="1">
      <c r="A893" s="403"/>
      <c r="B893" s="403"/>
      <c r="C893" s="486"/>
      <c r="D893" s="1990"/>
      <c r="E893" s="1990"/>
      <c r="F893" s="1990"/>
      <c r="G893" s="1739"/>
    </row>
    <row r="894" spans="1:9" s="1772" customFormat="1" ht="12.75" customHeight="1">
      <c r="A894" s="403"/>
      <c r="B894" s="403"/>
      <c r="C894" s="486"/>
      <c r="D894" s="1990"/>
      <c r="E894" s="1990"/>
      <c r="F894" s="1990"/>
      <c r="G894" s="1739"/>
      <c r="I894" s="1774"/>
    </row>
    <row r="895" spans="1:9" ht="12.75" customHeight="1">
      <c r="A895" s="403"/>
      <c r="B895" s="403"/>
      <c r="C895" s="486"/>
      <c r="D895" s="1990"/>
      <c r="E895" s="1990"/>
      <c r="F895" s="1990"/>
      <c r="G895" s="1739"/>
    </row>
    <row r="896" spans="1:9" ht="12.75" customHeight="1">
      <c r="A896" s="487"/>
      <c r="B896" s="487"/>
      <c r="C896" s="486"/>
      <c r="D896" s="1990"/>
      <c r="E896" s="1990"/>
      <c r="F896" s="1990"/>
      <c r="G896" s="1739"/>
    </row>
    <row r="897" spans="1:9" ht="12.75" customHeight="1">
      <c r="A897" s="487"/>
      <c r="B897" s="487"/>
      <c r="C897" s="486"/>
      <c r="D897" s="1990"/>
      <c r="E897" s="1990"/>
      <c r="F897" s="1990"/>
      <c r="G897" s="1739"/>
    </row>
    <row r="898" spans="1:9" ht="12.75" customHeight="1">
      <c r="A898" s="487"/>
      <c r="B898" s="487"/>
      <c r="C898" s="486"/>
      <c r="D898" s="1990"/>
      <c r="E898" s="1990"/>
      <c r="F898" s="1990"/>
      <c r="G898" s="1739"/>
    </row>
    <row r="899" spans="1:9" s="1772" customFormat="1" ht="12.75" customHeight="1">
      <c r="A899" s="487"/>
      <c r="B899" s="487"/>
      <c r="C899" s="486"/>
      <c r="D899" s="1847"/>
      <c r="E899" s="1847"/>
      <c r="F899" s="1847"/>
      <c r="G899" s="1739"/>
      <c r="I899" s="1774"/>
    </row>
    <row r="900" spans="1:9" ht="12.75" customHeight="1">
      <c r="A900" s="1756"/>
      <c r="B900" s="798" t="s">
        <v>2580</v>
      </c>
      <c r="C900" s="1740"/>
      <c r="D900" s="1858" t="s">
        <v>2298</v>
      </c>
      <c r="E900" s="1858"/>
      <c r="F900" s="1858"/>
      <c r="G900" s="1739"/>
    </row>
    <row r="901" spans="1:9" ht="12.75" customHeight="1">
      <c r="A901" s="1756"/>
      <c r="B901" s="1756"/>
      <c r="C901" s="1740"/>
      <c r="D901" s="1858"/>
      <c r="E901" s="1858"/>
      <c r="F901" s="1858"/>
      <c r="G901" s="1739"/>
    </row>
    <row r="902" spans="1:9" ht="12.75" customHeight="1">
      <c r="A902" s="1756"/>
      <c r="B902" s="1756"/>
      <c r="C902" s="1740"/>
      <c r="D902" s="1738"/>
      <c r="E902" s="1738"/>
      <c r="F902" s="1738"/>
      <c r="G902" s="1739"/>
    </row>
    <row r="903" spans="1:9" ht="12.75" customHeight="1">
      <c r="A903" s="1756"/>
      <c r="B903" s="798" t="s">
        <v>2580</v>
      </c>
      <c r="C903" s="1740"/>
      <c r="D903" s="1916" t="s">
        <v>2299</v>
      </c>
      <c r="E903" s="1916"/>
      <c r="F903" s="1916"/>
      <c r="G903" s="1739"/>
    </row>
    <row r="904" spans="1:9" ht="12.75" customHeight="1">
      <c r="A904" s="1756"/>
      <c r="B904" s="1756"/>
      <c r="C904" s="1740"/>
      <c r="D904" s="1916"/>
      <c r="E904" s="1916"/>
      <c r="F904" s="1916"/>
      <c r="G904" s="1739"/>
    </row>
    <row r="905" spans="1:9" ht="12.75" customHeight="1">
      <c r="A905" s="1756"/>
      <c r="B905" s="1756"/>
      <c r="C905" s="1740"/>
      <c r="D905" s="1916"/>
      <c r="E905" s="1916"/>
      <c r="F905" s="1916"/>
      <c r="G905" s="1739"/>
    </row>
    <row r="906" spans="1:9" ht="12.75" customHeight="1">
      <c r="A906" s="1756"/>
      <c r="B906" s="1756"/>
      <c r="C906" s="1740"/>
      <c r="D906" s="1916"/>
      <c r="E906" s="1916"/>
      <c r="F906" s="1916"/>
      <c r="G906" s="1739"/>
    </row>
    <row r="907" spans="1:9" ht="12.75" customHeight="1">
      <c r="A907" s="1756"/>
      <c r="B907" s="1756"/>
      <c r="C907" s="1740"/>
      <c r="D907" s="1708"/>
      <c r="E907" s="1738"/>
      <c r="F907" s="1738"/>
      <c r="G907" s="1739"/>
    </row>
    <row r="908" spans="1:9" ht="12.75" customHeight="1">
      <c r="A908" s="1756"/>
      <c r="B908" s="798" t="s">
        <v>2580</v>
      </c>
      <c r="C908" s="1740"/>
      <c r="D908" s="1883" t="s">
        <v>2300</v>
      </c>
      <c r="E908" s="1883"/>
      <c r="F908" s="1883"/>
      <c r="G908" s="1739"/>
    </row>
    <row r="909" spans="1:9" ht="12.75" customHeight="1">
      <c r="A909" s="1756"/>
      <c r="B909" s="1756"/>
      <c r="C909" s="1740"/>
      <c r="D909" s="1708"/>
      <c r="E909" s="1738"/>
      <c r="F909" s="1738"/>
      <c r="G909" s="1739"/>
    </row>
    <row r="910" spans="1:9" ht="12.75" customHeight="1">
      <c r="A910" s="1756"/>
      <c r="B910" s="798" t="s">
        <v>2580</v>
      </c>
      <c r="C910" s="1740"/>
      <c r="D910" s="1883" t="s">
        <v>2301</v>
      </c>
      <c r="E910" s="1883"/>
      <c r="F910" s="1883"/>
      <c r="G910" s="1739"/>
    </row>
    <row r="911" spans="1:9" ht="12.75" customHeight="1">
      <c r="A911" s="487"/>
      <c r="B911" s="487"/>
      <c r="C911" s="486"/>
      <c r="D911" s="183"/>
      <c r="E911" s="678"/>
      <c r="F911" s="1739"/>
      <c r="G911" s="1739"/>
    </row>
    <row r="912" spans="1:9" ht="12.75" customHeight="1">
      <c r="A912" s="1752"/>
      <c r="B912" s="798" t="s">
        <v>2642</v>
      </c>
      <c r="C912" s="1753"/>
      <c r="D912" s="1990" t="s">
        <v>2295</v>
      </c>
      <c r="E912" s="1990"/>
      <c r="F912" s="1990"/>
      <c r="G912" s="1754"/>
      <c r="I912" s="1774" t="s">
        <v>2508</v>
      </c>
    </row>
    <row r="913" spans="1:9" ht="12.75" customHeight="1">
      <c r="A913" s="1752"/>
      <c r="B913" s="1752"/>
      <c r="C913" s="1753"/>
      <c r="D913" s="1990"/>
      <c r="E913" s="1990"/>
      <c r="F913" s="1990"/>
      <c r="G913" s="1754"/>
    </row>
    <row r="914" spans="1:9" ht="12.75" customHeight="1">
      <c r="A914" s="1752"/>
      <c r="B914" s="1752"/>
      <c r="C914" s="1753"/>
      <c r="D914" s="1990"/>
      <c r="E914" s="1990"/>
      <c r="F914" s="1990"/>
      <c r="G914" s="1754"/>
    </row>
    <row r="915" spans="1:9" ht="12.75" customHeight="1">
      <c r="A915" s="1752"/>
      <c r="B915" s="1752"/>
      <c r="C915" s="1753"/>
      <c r="D915" s="1990"/>
      <c r="E915" s="1990"/>
      <c r="F915" s="1990"/>
      <c r="G915" s="1754"/>
    </row>
    <row r="916" spans="1:9" ht="12.75" customHeight="1">
      <c r="A916" s="1752"/>
      <c r="B916" s="1752"/>
      <c r="C916" s="1753"/>
      <c r="D916" s="1990"/>
      <c r="E916" s="1990"/>
      <c r="F916" s="1990"/>
      <c r="G916" s="1754"/>
    </row>
    <row r="917" spans="1:9" ht="12.75" customHeight="1">
      <c r="A917" s="1752"/>
      <c r="B917" s="1752"/>
      <c r="C917" s="1753"/>
      <c r="D917" s="1990"/>
      <c r="E917" s="1990"/>
      <c r="F917" s="1990"/>
      <c r="G917" s="1754"/>
    </row>
    <row r="918" spans="1:9" ht="12.75" customHeight="1">
      <c r="A918" s="1752"/>
      <c r="B918" s="1752"/>
      <c r="C918" s="1753"/>
      <c r="D918" s="1990"/>
      <c r="E918" s="1990"/>
      <c r="F918" s="1990"/>
      <c r="G918" s="1754"/>
    </row>
    <row r="919" spans="1:9" ht="12.75" customHeight="1">
      <c r="A919" s="1752"/>
      <c r="B919" s="1752"/>
      <c r="C919" s="1753"/>
      <c r="D919" s="1990"/>
      <c r="E919" s="1990"/>
      <c r="F919" s="1990"/>
      <c r="G919" s="1754"/>
    </row>
    <row r="920" spans="1:9" ht="12.75" customHeight="1">
      <c r="A920" s="1752"/>
      <c r="B920" s="1752"/>
      <c r="C920" s="1753"/>
      <c r="D920" s="1990"/>
      <c r="E920" s="1990"/>
      <c r="F920" s="1990"/>
      <c r="G920" s="1754"/>
    </row>
    <row r="921" spans="1:9" ht="12.75" customHeight="1">
      <c r="A921" s="487"/>
      <c r="B921" s="487"/>
      <c r="C921" s="486"/>
      <c r="D921" s="183"/>
      <c r="E921" s="678"/>
      <c r="F921" s="1739"/>
      <c r="G921" s="1739"/>
    </row>
    <row r="922" spans="1:9" ht="12.75" customHeight="1">
      <c r="A922" s="403"/>
      <c r="B922" s="798" t="s">
        <v>2642</v>
      </c>
      <c r="C922" s="486"/>
      <c r="D922" s="1992" t="s">
        <v>2511</v>
      </c>
      <c r="E922" s="1992"/>
      <c r="F922" s="1992"/>
      <c r="G922" s="1739"/>
      <c r="I922" s="1774" t="s">
        <v>2508</v>
      </c>
    </row>
    <row r="923" spans="1:9" ht="12.75" customHeight="1">
      <c r="A923" s="403"/>
      <c r="B923" s="403"/>
      <c r="C923" s="486"/>
      <c r="D923" s="1992"/>
      <c r="E923" s="1992"/>
      <c r="F923" s="1992"/>
      <c r="G923" s="1739"/>
    </row>
    <row r="924" spans="1:9" ht="12.75" customHeight="1">
      <c r="A924" s="403"/>
      <c r="B924" s="403"/>
      <c r="C924" s="486"/>
      <c r="D924" s="1992"/>
      <c r="E924" s="1992"/>
      <c r="F924" s="1992"/>
      <c r="G924" s="1739"/>
    </row>
    <row r="925" spans="1:9" ht="12.75" customHeight="1">
      <c r="A925" s="403"/>
      <c r="B925" s="403"/>
      <c r="C925" s="486"/>
      <c r="D925" s="1992"/>
      <c r="E925" s="1992"/>
      <c r="F925" s="1992"/>
      <c r="G925" s="1739"/>
    </row>
    <row r="926" spans="1:9" ht="12.75" customHeight="1">
      <c r="A926" s="403"/>
      <c r="B926" s="403"/>
      <c r="C926" s="486"/>
      <c r="D926" s="1992"/>
      <c r="E926" s="1992"/>
      <c r="F926" s="1992"/>
      <c r="G926" s="1739"/>
    </row>
    <row r="927" spans="1:9" ht="12.75" customHeight="1">
      <c r="A927" s="403"/>
      <c r="B927" s="403"/>
      <c r="C927" s="486"/>
      <c r="D927" s="1992"/>
      <c r="E927" s="1992"/>
      <c r="F927" s="1992"/>
      <c r="G927" s="1739"/>
    </row>
    <row r="928" spans="1:9" ht="12.75" customHeight="1">
      <c r="A928" s="403"/>
      <c r="B928" s="403"/>
      <c r="C928" s="486"/>
      <c r="D928" s="1992"/>
      <c r="E928" s="1992"/>
      <c r="F928" s="199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2580</v>
      </c>
      <c r="C930" s="486"/>
      <c r="D930" s="1918" t="s">
        <v>2509</v>
      </c>
      <c r="E930" s="1918"/>
      <c r="F930" s="1918"/>
      <c r="G930" s="1739"/>
      <c r="I930" s="1774"/>
    </row>
    <row r="931" spans="1:9" s="1772" customFormat="1" ht="12.75" customHeight="1">
      <c r="A931" s="403"/>
      <c r="B931" s="403"/>
      <c r="C931" s="486"/>
      <c r="D931" s="1918"/>
      <c r="E931" s="1918"/>
      <c r="F931" s="1918"/>
      <c r="G931" s="1739"/>
      <c r="I931" s="1774"/>
    </row>
    <row r="932" spans="1:9" s="1772" customFormat="1" ht="12.75" customHeight="1">
      <c r="A932" s="403"/>
      <c r="B932" s="403"/>
      <c r="C932" s="486"/>
      <c r="D932" s="1918"/>
      <c r="E932" s="1918"/>
      <c r="F932" s="1918"/>
      <c r="G932" s="1739"/>
      <c r="I932" s="1774"/>
    </row>
    <row r="933" spans="1:9" s="1772" customFormat="1" ht="12.75" customHeight="1">
      <c r="A933" s="403"/>
      <c r="B933" s="403"/>
      <c r="C933" s="486"/>
      <c r="D933" s="1918"/>
      <c r="E933" s="1918"/>
      <c r="F933" s="1918"/>
      <c r="G933" s="1739"/>
      <c r="I933" s="1774"/>
    </row>
    <row r="934" spans="1:9" s="1772" customFormat="1" ht="12.75" customHeight="1">
      <c r="A934" s="403"/>
      <c r="B934" s="403"/>
      <c r="C934" s="486"/>
      <c r="D934" s="1918"/>
      <c r="E934" s="1918"/>
      <c r="F934" s="1918"/>
      <c r="G934" s="1739"/>
      <c r="I934" s="1774"/>
    </row>
    <row r="935" spans="1:9" s="1772" customFormat="1" ht="12.75" customHeight="1">
      <c r="A935" s="403"/>
      <c r="B935" s="403"/>
      <c r="C935" s="486"/>
      <c r="D935" s="1918"/>
      <c r="E935" s="1918"/>
      <c r="F935" s="1918"/>
      <c r="G935" s="1739"/>
      <c r="I935" s="1774"/>
    </row>
    <row r="936" spans="1:9" s="1772" customFormat="1" ht="12.75" customHeight="1">
      <c r="A936" s="403"/>
      <c r="B936" s="403"/>
      <c r="C936" s="486"/>
      <c r="D936" s="1848"/>
      <c r="E936" s="1848"/>
      <c r="F936" s="1848"/>
      <c r="G936" s="1739"/>
      <c r="I936" s="1774"/>
    </row>
    <row r="937" spans="1:9" ht="12.75" customHeight="1">
      <c r="A937" s="1756"/>
      <c r="B937" s="798" t="s">
        <v>2580</v>
      </c>
      <c r="C937" s="1740"/>
      <c r="D937" s="1996" t="s">
        <v>2302</v>
      </c>
      <c r="E937" s="1996"/>
      <c r="F937" s="1996"/>
      <c r="G937" s="1739"/>
    </row>
    <row r="938" spans="1:9" ht="12.75" customHeight="1">
      <c r="A938" s="1756"/>
      <c r="B938" s="1756"/>
      <c r="C938" s="1740"/>
      <c r="D938" s="1996"/>
      <c r="E938" s="1996"/>
      <c r="F938" s="1996"/>
      <c r="G938" s="1739"/>
    </row>
    <row r="939" spans="1:9" ht="12.75" customHeight="1">
      <c r="A939" s="1756"/>
      <c r="B939" s="1756"/>
      <c r="C939" s="1740"/>
      <c r="D939" s="1996"/>
      <c r="E939" s="1996"/>
      <c r="F939" s="199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2580</v>
      </c>
      <c r="C942" s="486"/>
      <c r="D942" s="1990" t="s">
        <v>2510</v>
      </c>
      <c r="E942" s="1990"/>
      <c r="F942" s="1990"/>
      <c r="G942" s="1739"/>
      <c r="I942" s="1774" t="s">
        <v>2508</v>
      </c>
    </row>
    <row r="943" spans="1:9" ht="12.75" customHeight="1">
      <c r="A943" s="403"/>
      <c r="B943" s="403"/>
      <c r="C943" s="486"/>
      <c r="D943" s="1990"/>
      <c r="E943" s="1990"/>
      <c r="F943" s="1990"/>
      <c r="G943" s="1739"/>
    </row>
    <row r="944" spans="1:9" ht="12.75" customHeight="1">
      <c r="A944" s="403"/>
      <c r="B944" s="403"/>
      <c r="C944" s="486"/>
      <c r="D944" s="1990"/>
      <c r="E944" s="1990"/>
      <c r="F944" s="1990"/>
      <c r="G944" s="1739"/>
    </row>
    <row r="945" spans="1:9" ht="12.75" customHeight="1">
      <c r="A945" s="403"/>
      <c r="B945" s="403"/>
      <c r="C945" s="486"/>
      <c r="D945" s="1990"/>
      <c r="E945" s="1990"/>
      <c r="F945" s="1990"/>
      <c r="G945" s="1739"/>
    </row>
    <row r="946" spans="1:9" ht="12.75" customHeight="1">
      <c r="A946" s="1758"/>
      <c r="B946" s="1758"/>
      <c r="C946" s="1744"/>
      <c r="D946" s="1705"/>
      <c r="E946" s="1705"/>
      <c r="F946" s="1705"/>
      <c r="G946" s="1705"/>
    </row>
    <row r="947" spans="1:9" ht="12.75" customHeight="1">
      <c r="A947" s="1742"/>
      <c r="B947" s="1742"/>
      <c r="C947" s="556"/>
      <c r="D947" s="1882" t="s">
        <v>2303</v>
      </c>
      <c r="E947" s="1882"/>
      <c r="F947" s="1882"/>
      <c r="G947" s="678"/>
    </row>
    <row r="948" spans="1:9" ht="12.75" customHeight="1">
      <c r="A948" s="714"/>
      <c r="B948" s="798" t="s">
        <v>2580</v>
      </c>
      <c r="C948" s="556"/>
      <c r="D948" s="1883" t="s">
        <v>2329</v>
      </c>
      <c r="E948" s="1883"/>
      <c r="F948" s="1883"/>
      <c r="G948" s="678"/>
      <c r="I948" s="1774" t="s">
        <v>2508</v>
      </c>
    </row>
    <row r="949" spans="1:9" ht="12.75" customHeight="1">
      <c r="A949" s="1742"/>
      <c r="B949" s="1742"/>
      <c r="C949" s="556"/>
      <c r="D949" s="6"/>
      <c r="E949" s="6"/>
      <c r="F949" s="6"/>
      <c r="G949" s="678"/>
    </row>
    <row r="950" spans="1:9" ht="12.75" customHeight="1">
      <c r="A950" s="1742"/>
      <c r="B950" s="1742"/>
      <c r="C950" s="556"/>
      <c r="D950" s="1882" t="s">
        <v>2304</v>
      </c>
      <c r="E950" s="1882"/>
      <c r="F950" s="1882"/>
      <c r="G950" s="677"/>
    </row>
    <row r="951" spans="1:9" ht="12.75" customHeight="1">
      <c r="A951" s="714"/>
      <c r="B951" s="798" t="s">
        <v>2580</v>
      </c>
      <c r="C951" s="556"/>
      <c r="D951" s="1858" t="s">
        <v>2305</v>
      </c>
      <c r="E951" s="1858"/>
      <c r="F951" s="1858"/>
      <c r="G951" s="677"/>
      <c r="I951" s="1774" t="s">
        <v>2508</v>
      </c>
    </row>
    <row r="952" spans="1:9" ht="12.75" customHeight="1">
      <c r="A952" s="714"/>
      <c r="B952" s="714"/>
      <c r="C952" s="556"/>
      <c r="D952" s="1858"/>
      <c r="E952" s="1858"/>
      <c r="F952" s="1858"/>
      <c r="G952" s="677"/>
    </row>
    <row r="953" spans="1:9" ht="12.75" customHeight="1">
      <c r="A953" s="714"/>
      <c r="B953" s="714"/>
      <c r="C953" s="556"/>
      <c r="D953" s="1858"/>
      <c r="E953" s="1858"/>
      <c r="F953" s="1858"/>
      <c r="G953" s="677"/>
    </row>
    <row r="954" spans="1:9" ht="12.75" customHeight="1">
      <c r="A954" s="714"/>
      <c r="B954" s="714"/>
      <c r="C954" s="556"/>
      <c r="D954" s="1858"/>
      <c r="E954" s="1858"/>
      <c r="F954" s="1858"/>
      <c r="G954" s="677"/>
    </row>
    <row r="955" spans="1:9" ht="12.75" customHeight="1">
      <c r="A955" s="714"/>
      <c r="B955" s="714"/>
      <c r="C955" s="556"/>
      <c r="D955" s="1858"/>
      <c r="E955" s="1858"/>
      <c r="F955" s="1858"/>
      <c r="G955" s="677"/>
    </row>
    <row r="956" spans="1:9" ht="12.75" customHeight="1">
      <c r="A956" s="714"/>
      <c r="B956" s="714"/>
      <c r="C956" s="556"/>
      <c r="D956" s="1858"/>
      <c r="E956" s="1858"/>
      <c r="F956" s="1858"/>
      <c r="G956" s="677"/>
    </row>
    <row r="957" spans="1:9" ht="12.75" customHeight="1">
      <c r="A957" s="714"/>
      <c r="B957" s="714"/>
      <c r="C957" s="556"/>
      <c r="D957" s="1858"/>
      <c r="E957" s="1858"/>
      <c r="F957" s="1858"/>
      <c r="G957" s="677"/>
    </row>
    <row r="958" spans="1:9" ht="12.75" customHeight="1">
      <c r="A958" s="714"/>
      <c r="B958" s="714"/>
      <c r="C958" s="556"/>
      <c r="D958" s="1858"/>
      <c r="E958" s="1858"/>
      <c r="F958" s="1858"/>
      <c r="G958" s="677"/>
    </row>
    <row r="959" spans="1:9" ht="12.75" customHeight="1">
      <c r="A959" s="714"/>
      <c r="B959" s="714"/>
      <c r="C959" s="556"/>
      <c r="D959" s="1858"/>
      <c r="E959" s="1858"/>
      <c r="F959" s="1858"/>
      <c r="G959" s="677"/>
    </row>
    <row r="960" spans="1:9" ht="12.75" customHeight="1">
      <c r="A960" s="714"/>
      <c r="B960" s="714"/>
      <c r="C960" s="556"/>
      <c r="D960" s="1858"/>
      <c r="E960" s="1858"/>
      <c r="F960" s="1858"/>
      <c r="G960" s="677"/>
    </row>
    <row r="961" spans="1:9" ht="12.75" customHeight="1">
      <c r="A961" s="714"/>
      <c r="B961" s="714"/>
      <c r="C961" s="556"/>
      <c r="D961" s="1858"/>
      <c r="E961" s="1858"/>
      <c r="F961" s="1858"/>
      <c r="G961" s="677"/>
    </row>
    <row r="962" spans="1:9" ht="12.75" customHeight="1">
      <c r="A962" s="714"/>
      <c r="B962" s="714"/>
      <c r="C962" s="556"/>
      <c r="D962" s="1858"/>
      <c r="E962" s="1858"/>
      <c r="F962" s="1858"/>
      <c r="G962" s="677"/>
    </row>
    <row r="963" spans="1:9" s="1772" customFormat="1" ht="12.75" customHeight="1">
      <c r="A963" s="714"/>
      <c r="B963" s="714"/>
      <c r="C963" s="556"/>
      <c r="D963" s="1858"/>
      <c r="E963" s="1858"/>
      <c r="F963" s="1858"/>
      <c r="G963" s="677"/>
      <c r="I963" s="1774"/>
    </row>
    <row r="964" spans="1:9" ht="12.75" customHeight="1">
      <c r="A964" s="714"/>
      <c r="B964" s="714"/>
      <c r="C964" s="556"/>
      <c r="D964" s="1858"/>
      <c r="E964" s="1858"/>
      <c r="F964" s="1858"/>
      <c r="G964" s="677"/>
    </row>
    <row r="965" spans="1:9" ht="12.75" customHeight="1">
      <c r="A965" s="714"/>
      <c r="B965" s="714"/>
      <c r="C965" s="556"/>
      <c r="D965" s="1858"/>
      <c r="E965" s="1858"/>
      <c r="F965" s="1858"/>
      <c r="G965" s="678"/>
    </row>
    <row r="966" spans="1:9" ht="12.75" customHeight="1">
      <c r="A966" s="1742"/>
      <c r="B966" s="1742"/>
      <c r="C966" s="556"/>
      <c r="D966" s="6"/>
      <c r="E966" s="6"/>
      <c r="F966" s="6"/>
      <c r="G966" s="678"/>
    </row>
    <row r="967" spans="1:9" ht="12.75" customHeight="1">
      <c r="A967" s="1893" t="s">
        <v>2306</v>
      </c>
      <c r="B967" s="1893"/>
      <c r="C967" s="1893"/>
      <c r="D967" s="1893"/>
      <c r="E967" s="1893"/>
      <c r="F967" s="1893"/>
      <c r="G967" s="1893"/>
      <c r="H967" s="1853"/>
      <c r="I967" s="1854"/>
    </row>
    <row r="968" spans="1:9" ht="12.75" customHeight="1">
      <c r="A968" s="1709"/>
      <c r="B968" s="1709"/>
      <c r="C968" s="556"/>
      <c r="D968" s="6"/>
      <c r="E968" s="6"/>
      <c r="F968" s="6"/>
      <c r="G968" s="678"/>
    </row>
    <row r="969" spans="1:9" ht="12.75" customHeight="1">
      <c r="A969" s="1742"/>
      <c r="B969" s="1742"/>
      <c r="C969" s="1740"/>
      <c r="D969" s="1882" t="s">
        <v>2330</v>
      </c>
      <c r="E969" s="1882"/>
      <c r="F969" s="1882"/>
      <c r="G969" s="678"/>
    </row>
    <row r="970" spans="1:9" ht="12.75" customHeight="1">
      <c r="A970" s="1714"/>
      <c r="B970" s="1714"/>
      <c r="C970" s="1746"/>
      <c r="D970" s="1883" t="s">
        <v>2307</v>
      </c>
      <c r="E970" s="1883"/>
      <c r="F970" s="1883"/>
      <c r="G970" s="678"/>
    </row>
    <row r="971" spans="1:9" ht="12.75" customHeight="1">
      <c r="A971" s="1714"/>
      <c r="B971" s="1714"/>
      <c r="C971" s="1746"/>
      <c r="D971" s="6"/>
      <c r="E971" s="6"/>
      <c r="F971" s="1738"/>
      <c r="G971" s="677"/>
    </row>
    <row r="972" spans="1:9" ht="12.75" customHeight="1">
      <c r="A972" s="1742"/>
      <c r="B972" s="798" t="s">
        <v>2642</v>
      </c>
      <c r="C972" s="556"/>
      <c r="D972" s="1862" t="s">
        <v>2308</v>
      </c>
      <c r="E972" s="1862"/>
      <c r="F972" s="1862"/>
      <c r="G972" s="677"/>
      <c r="I972" s="1774" t="s">
        <v>2486</v>
      </c>
    </row>
    <row r="973" spans="1:9" ht="12.75" customHeight="1">
      <c r="A973" s="1742"/>
      <c r="B973" s="1742"/>
      <c r="C973" s="556"/>
      <c r="D973" s="1862"/>
      <c r="E973" s="1862"/>
      <c r="F973" s="1862"/>
      <c r="G973" s="677"/>
    </row>
    <row r="974" spans="1:9" ht="12.75" customHeight="1">
      <c r="A974" s="1742"/>
      <c r="B974" s="1742"/>
      <c r="C974" s="556"/>
      <c r="D974" s="1862"/>
      <c r="E974" s="1862"/>
      <c r="F974" s="1862"/>
      <c r="G974" s="677"/>
    </row>
    <row r="975" spans="1:9" ht="12.75" customHeight="1">
      <c r="A975" s="1742"/>
      <c r="B975" s="1742"/>
      <c r="C975" s="556"/>
      <c r="D975" s="1862"/>
      <c r="E975" s="1862"/>
      <c r="F975" s="1862"/>
      <c r="G975" s="677"/>
    </row>
    <row r="976" spans="1:9" ht="12.75" customHeight="1">
      <c r="A976" s="1726"/>
      <c r="B976" s="1726"/>
      <c r="C976" s="557"/>
      <c r="D976" s="1862"/>
      <c r="E976" s="1862"/>
      <c r="F976" s="1862"/>
      <c r="G976" s="677"/>
    </row>
    <row r="977" spans="1:7" ht="12.75" customHeight="1">
      <c r="A977" s="1726"/>
      <c r="B977" s="1726"/>
      <c r="C977" s="557"/>
      <c r="D977" s="1862"/>
      <c r="E977" s="1862"/>
      <c r="F977" s="1862"/>
      <c r="G977" s="677"/>
    </row>
    <row r="978" spans="1:7" ht="12.75" customHeight="1">
      <c r="A978" s="720"/>
      <c r="B978" s="720"/>
      <c r="C978" s="313"/>
      <c r="D978" s="1862"/>
      <c r="E978" s="1862"/>
      <c r="F978" s="1862"/>
      <c r="G978" s="677"/>
    </row>
    <row r="979" spans="1:7" ht="12.75" customHeight="1">
      <c r="A979" s="720"/>
      <c r="B979" s="720"/>
      <c r="C979" s="313"/>
      <c r="D979" s="1862"/>
      <c r="E979" s="1862"/>
      <c r="F979" s="1862"/>
      <c r="G979" s="677"/>
    </row>
    <row r="980" spans="1:7" ht="12.75" customHeight="1">
      <c r="A980" s="720"/>
      <c r="B980" s="720"/>
      <c r="C980" s="313"/>
      <c r="D980" s="1706"/>
      <c r="E980" s="1706"/>
      <c r="F980" s="1706"/>
      <c r="G980" s="677"/>
    </row>
    <row r="981" spans="1:7" ht="12.75" customHeight="1">
      <c r="A981" s="720"/>
      <c r="B981" s="798" t="s">
        <v>2580</v>
      </c>
      <c r="C981" s="313"/>
      <c r="D981" s="1860" t="s">
        <v>2309</v>
      </c>
      <c r="E981" s="1860"/>
      <c r="F981" s="1860"/>
      <c r="G981" s="677"/>
    </row>
    <row r="982" spans="1:7" ht="12.75" customHeight="1">
      <c r="A982" s="720"/>
      <c r="B982" s="720"/>
      <c r="C982" s="313"/>
      <c r="D982" s="1860"/>
      <c r="E982" s="1860"/>
      <c r="F982" s="1860"/>
      <c r="G982" s="677"/>
    </row>
    <row r="983" spans="1:7" ht="12.75" customHeight="1">
      <c r="A983" s="720"/>
      <c r="B983" s="720"/>
      <c r="C983" s="313"/>
      <c r="D983" s="1860"/>
      <c r="E983" s="1860"/>
      <c r="F983" s="1860"/>
      <c r="G983" s="677"/>
    </row>
    <row r="984" spans="1:7" ht="12.75" customHeight="1">
      <c r="A984" s="720"/>
      <c r="B984" s="720"/>
      <c r="C984" s="313"/>
      <c r="D984" s="1860"/>
      <c r="E984" s="1860"/>
      <c r="F984" s="1860"/>
      <c r="G984" s="677"/>
    </row>
    <row r="985" spans="1:7" ht="12.75" customHeight="1">
      <c r="A985" s="720"/>
      <c r="B985" s="720"/>
      <c r="C985" s="313"/>
      <c r="D985" s="1704"/>
      <c r="E985" s="1704"/>
      <c r="F985" s="1704"/>
      <c r="G985" s="677"/>
    </row>
    <row r="986" spans="1:7" ht="12.75" customHeight="1">
      <c r="A986" s="720"/>
      <c r="B986" s="798" t="s">
        <v>2580</v>
      </c>
      <c r="C986" s="313"/>
      <c r="D986" s="1860" t="s">
        <v>2310</v>
      </c>
      <c r="E986" s="1860"/>
      <c r="F986" s="1860"/>
      <c r="G986" s="677"/>
    </row>
    <row r="987" spans="1:7" ht="12.75" customHeight="1">
      <c r="A987" s="720"/>
      <c r="B987" s="720"/>
      <c r="C987" s="313"/>
      <c r="D987" s="1860"/>
      <c r="E987" s="1860"/>
      <c r="F987" s="1860"/>
      <c r="G987" s="677"/>
    </row>
    <row r="988" spans="1:7" ht="12.75" customHeight="1">
      <c r="A988" s="720"/>
      <c r="B988" s="720"/>
      <c r="C988" s="313"/>
      <c r="D988" s="1704"/>
      <c r="E988" s="1704"/>
      <c r="F988" s="1704"/>
      <c r="G988" s="677"/>
    </row>
    <row r="989" spans="1:7" ht="12.75" customHeight="1">
      <c r="A989" s="714"/>
      <c r="B989" s="798" t="s">
        <v>2580</v>
      </c>
      <c r="C989" s="556"/>
      <c r="D989" s="1883" t="s">
        <v>2311</v>
      </c>
      <c r="E989" s="1883"/>
      <c r="F989" s="1883"/>
      <c r="G989" s="677"/>
    </row>
    <row r="990" spans="1:7" ht="12.75" customHeight="1">
      <c r="A990" s="1742"/>
      <c r="B990" s="1742"/>
      <c r="C990" s="556"/>
      <c r="D990" s="6"/>
      <c r="E990" s="6"/>
      <c r="F990" s="6"/>
      <c r="G990" s="677"/>
    </row>
    <row r="991" spans="1:7" ht="12.75" customHeight="1">
      <c r="A991" s="714"/>
      <c r="B991" s="798" t="s">
        <v>2580</v>
      </c>
      <c r="C991" s="556"/>
      <c r="D991" s="1883" t="s">
        <v>2312</v>
      </c>
      <c r="E991" s="1883"/>
      <c r="F991" s="1883"/>
      <c r="G991" s="677"/>
    </row>
    <row r="992" spans="1:7" ht="12.75" customHeight="1">
      <c r="A992" s="1742"/>
      <c r="B992" s="1742"/>
      <c r="C992" s="556"/>
      <c r="D992" s="1708"/>
      <c r="E992" s="6"/>
      <c r="F992" s="6"/>
      <c r="G992" s="677"/>
    </row>
    <row r="993" spans="1:9" ht="12.75" customHeight="1">
      <c r="A993" s="714"/>
      <c r="B993" s="798" t="s">
        <v>2642</v>
      </c>
      <c r="C993" s="556"/>
      <c r="D993" s="1883" t="s">
        <v>2313</v>
      </c>
      <c r="E993" s="1883"/>
      <c r="F993" s="1883"/>
      <c r="G993" s="677"/>
    </row>
    <row r="994" spans="1:9" ht="12.75" customHeight="1">
      <c r="A994" s="1742"/>
      <c r="B994" s="1742"/>
      <c r="C994" s="556"/>
      <c r="D994" s="1708"/>
      <c r="E994" s="6"/>
      <c r="F994" s="6"/>
      <c r="G994" s="677"/>
    </row>
    <row r="995" spans="1:9" ht="12.75" customHeight="1">
      <c r="A995" s="714"/>
      <c r="B995" s="798" t="s">
        <v>2642</v>
      </c>
      <c r="C995" s="556"/>
      <c r="D995" s="1858" t="s">
        <v>2314</v>
      </c>
      <c r="E995" s="1858"/>
      <c r="F995" s="1858"/>
      <c r="G995" s="677"/>
    </row>
    <row r="996" spans="1:9" ht="12.75" customHeight="1">
      <c r="A996" s="714"/>
      <c r="B996" s="714"/>
      <c r="C996" s="556"/>
      <c r="D996" s="1858"/>
      <c r="E996" s="1858"/>
      <c r="F996" s="1858"/>
      <c r="G996" s="677"/>
    </row>
    <row r="997" spans="1:9" ht="12.75" customHeight="1">
      <c r="A997" s="714"/>
      <c r="B997" s="714"/>
      <c r="C997" s="556"/>
      <c r="D997" s="1708"/>
      <c r="E997" s="6"/>
      <c r="F997" s="6"/>
      <c r="G997" s="678"/>
    </row>
    <row r="998" spans="1:9" ht="12.75" customHeight="1">
      <c r="A998" s="407"/>
      <c r="B998" s="798" t="s">
        <v>2580</v>
      </c>
      <c r="C998" s="1759"/>
      <c r="D998" s="1901" t="s">
        <v>2315</v>
      </c>
      <c r="E998" s="1901"/>
      <c r="F998" s="1901"/>
      <c r="G998" s="1760"/>
    </row>
    <row r="999" spans="1:9" ht="12.75" customHeight="1">
      <c r="A999" s="1759"/>
      <c r="B999" s="1759"/>
      <c r="C999" s="1759"/>
      <c r="D999" s="1901"/>
      <c r="E999" s="1901"/>
      <c r="F999" s="1901"/>
      <c r="G999" s="1760"/>
    </row>
    <row r="1000" spans="1:9" ht="12.75" customHeight="1">
      <c r="A1000" s="1759"/>
      <c r="B1000" s="1759"/>
      <c r="C1000" s="1759"/>
      <c r="D1000" s="1761"/>
      <c r="E1000" s="1762"/>
      <c r="F1000" s="1762"/>
      <c r="G1000" s="1760"/>
    </row>
    <row r="1001" spans="1:9" ht="12.75" customHeight="1">
      <c r="A1001" s="407"/>
      <c r="B1001" s="798" t="s">
        <v>2580</v>
      </c>
      <c r="C1001" s="1759"/>
      <c r="D1001" s="2002" t="s">
        <v>2316</v>
      </c>
      <c r="E1001" s="2002"/>
      <c r="F1001" s="2002"/>
      <c r="G1001" s="1760"/>
    </row>
    <row r="1002" spans="1:9" ht="12.75" customHeight="1">
      <c r="A1002" s="1759"/>
      <c r="B1002" s="1759"/>
      <c r="C1002" s="1759"/>
      <c r="D1002" s="1761"/>
      <c r="E1002" s="1762"/>
      <c r="F1002" s="1762"/>
      <c r="G1002" s="1760"/>
    </row>
    <row r="1003" spans="1:9" ht="12.75" customHeight="1">
      <c r="A1003" s="714"/>
      <c r="B1003" s="798" t="s">
        <v>2580</v>
      </c>
      <c r="C1003" s="556"/>
      <c r="D1003" s="1883" t="s">
        <v>2317</v>
      </c>
      <c r="E1003" s="1883"/>
      <c r="F1003" s="1883"/>
      <c r="G1003" s="678"/>
    </row>
    <row r="1004" spans="1:9" ht="12.75" customHeight="1">
      <c r="A1004" s="714"/>
      <c r="B1004" s="714"/>
      <c r="C1004" s="556"/>
      <c r="D1004" s="1708"/>
      <c r="E1004" s="6"/>
      <c r="F1004" s="6"/>
      <c r="G1004" s="678"/>
    </row>
    <row r="1005" spans="1:9" ht="12.75" customHeight="1">
      <c r="A1005" s="714"/>
      <c r="B1005" s="798" t="s">
        <v>2580</v>
      </c>
      <c r="C1005" s="556"/>
      <c r="D1005" s="1858" t="s">
        <v>2318</v>
      </c>
      <c r="E1005" s="1858"/>
      <c r="F1005" s="1858"/>
      <c r="G1005" s="678"/>
    </row>
    <row r="1006" spans="1:9" ht="12.75" customHeight="1">
      <c r="A1006" s="714"/>
      <c r="B1006" s="714"/>
      <c r="C1006" s="556"/>
      <c r="D1006" s="1858"/>
      <c r="E1006" s="1858"/>
      <c r="F1006" s="1858"/>
      <c r="G1006" s="678"/>
    </row>
    <row r="1007" spans="1:9" ht="12.75" customHeight="1">
      <c r="A1007" s="1742"/>
      <c r="B1007" s="1742"/>
      <c r="C1007" s="556"/>
      <c r="D1007" s="6"/>
      <c r="E1007" s="6"/>
      <c r="F1007" s="6"/>
      <c r="G1007" s="678"/>
    </row>
    <row r="1008" spans="1:9" ht="12.75" customHeight="1">
      <c r="A1008" s="1893" t="s">
        <v>2319</v>
      </c>
      <c r="B1008" s="1893"/>
      <c r="C1008" s="1893"/>
      <c r="D1008" s="1893"/>
      <c r="E1008" s="1893"/>
      <c r="F1008" s="1893"/>
      <c r="G1008" s="1893"/>
      <c r="H1008" s="1853"/>
      <c r="I1008" s="1854"/>
    </row>
    <row r="1009" spans="1:9" ht="12.75" customHeight="1">
      <c r="A1009" s="1742"/>
      <c r="B1009" s="1742"/>
      <c r="C1009" s="556"/>
      <c r="D1009" s="6"/>
      <c r="E1009" s="6"/>
      <c r="F1009" s="6"/>
      <c r="G1009" s="678"/>
    </row>
    <row r="1010" spans="1:9" ht="12.75" customHeight="1">
      <c r="A1010" s="1726"/>
      <c r="B1010" s="1726"/>
      <c r="C1010" s="557"/>
      <c r="D1010" s="1902" t="s">
        <v>2320</v>
      </c>
      <c r="E1010" s="1902"/>
      <c r="F1010" s="1902"/>
      <c r="G1010" s="678"/>
    </row>
    <row r="1011" spans="1:9" ht="12.75" customHeight="1">
      <c r="A1011" s="1726"/>
      <c r="B1011" s="1726"/>
      <c r="C1011" s="557"/>
      <c r="D1011" s="2001" t="s">
        <v>2321</v>
      </c>
      <c r="E1011" s="2001"/>
      <c r="F1011" s="2001"/>
      <c r="G1011" s="678"/>
    </row>
    <row r="1012" spans="1:9" ht="12.75" customHeight="1">
      <c r="A1012" s="674"/>
      <c r="B1012" s="674"/>
      <c r="C1012" s="1715"/>
      <c r="D1012" s="678"/>
      <c r="E1012" s="678"/>
      <c r="F1012" s="678"/>
      <c r="G1012" s="678"/>
    </row>
    <row r="1013" spans="1:9" ht="12.75" customHeight="1">
      <c r="A1013" s="714"/>
      <c r="B1013" s="714"/>
      <c r="C1013" s="313"/>
      <c r="D1013" s="1902" t="s">
        <v>2335</v>
      </c>
      <c r="E1013" s="1902"/>
      <c r="F1013" s="1902"/>
      <c r="G1013" s="678"/>
      <c r="I1013" s="1774" t="s">
        <v>2458</v>
      </c>
    </row>
    <row r="1014" spans="1:9" ht="12.75" customHeight="1">
      <c r="A1014" s="1742"/>
      <c r="B1014" s="798" t="s">
        <v>2642</v>
      </c>
      <c r="C1014" s="556"/>
      <c r="D1014" s="2001" t="s">
        <v>1504</v>
      </c>
      <c r="E1014" s="2001"/>
      <c r="F1014" s="2001"/>
      <c r="G1014" s="678"/>
    </row>
    <row r="1015" spans="1:9" s="1772" customFormat="1" ht="12.75" customHeight="1">
      <c r="A1015" s="1742"/>
      <c r="B1015" s="714"/>
      <c r="C1015" s="556"/>
      <c r="D1015" s="1997" t="s">
        <v>2322</v>
      </c>
      <c r="E1015" s="1997"/>
      <c r="F1015" s="1997"/>
      <c r="G1015" s="678"/>
      <c r="I1015" s="1774"/>
    </row>
    <row r="1016" spans="1:9" ht="12.75" customHeight="1">
      <c r="A1016" s="1742"/>
      <c r="B1016" s="1742"/>
      <c r="C1016" s="556"/>
      <c r="D1016" s="2001"/>
      <c r="E1016" s="2001"/>
      <c r="F1016" s="2001"/>
      <c r="G1016" s="678"/>
    </row>
    <row r="1017" spans="1:9" ht="12.75" customHeight="1">
      <c r="A1017" s="1998" t="s">
        <v>2331</v>
      </c>
      <c r="B1017" s="1998"/>
      <c r="C1017" s="1998"/>
      <c r="D1017" s="1998"/>
      <c r="E1017" s="1998"/>
      <c r="F1017" s="1998"/>
      <c r="G1017" s="1998"/>
      <c r="H1017" s="1853"/>
      <c r="I1017" s="1854"/>
    </row>
    <row r="1018" spans="1:9" ht="12.75" customHeight="1">
      <c r="A1018" s="254"/>
      <c r="B1018" s="254"/>
      <c r="C1018" s="1734"/>
      <c r="D1018" s="686"/>
      <c r="E1018" s="686"/>
      <c r="F1018" s="686"/>
      <c r="G1018" s="686"/>
    </row>
    <row r="1019" spans="1:9" ht="12.75" customHeight="1">
      <c r="A1019" s="254"/>
      <c r="B1019" s="1769"/>
      <c r="C1019" s="1776"/>
      <c r="D1019" s="1896" t="s">
        <v>1505</v>
      </c>
      <c r="E1019" s="1896"/>
      <c r="F1019" s="1896"/>
      <c r="G1019" s="686"/>
    </row>
    <row r="1020" spans="1:9" ht="12.75" customHeight="1">
      <c r="A1020" s="254"/>
      <c r="B1020" s="1775" t="s">
        <v>2580</v>
      </c>
      <c r="C1020" s="1776"/>
      <c r="D1020" s="1875" t="s">
        <v>1504</v>
      </c>
      <c r="E1020" s="1875"/>
      <c r="F1020" s="1875"/>
      <c r="G1020" s="686"/>
    </row>
    <row r="1021" spans="1:9" ht="12.75" customHeight="1">
      <c r="A1021" s="254"/>
      <c r="B1021" s="1772"/>
      <c r="C1021" s="1776"/>
      <c r="D1021" s="1875" t="s">
        <v>2332</v>
      </c>
      <c r="E1021" s="1875"/>
      <c r="F1021" s="1875"/>
      <c r="G1021" s="686"/>
    </row>
    <row r="1022" spans="1:9" s="1772" customFormat="1" ht="12.75" customHeight="1">
      <c r="A1022" s="254"/>
      <c r="C1022" s="1776"/>
      <c r="D1022" s="1770"/>
      <c r="E1022" s="1770"/>
      <c r="F1022" s="1770"/>
      <c r="G1022" s="686"/>
      <c r="I1022" s="1774"/>
    </row>
    <row r="1023" spans="1:9" ht="12.75" customHeight="1">
      <c r="A1023" s="254"/>
      <c r="B1023" s="254"/>
      <c r="C1023" s="1734"/>
      <c r="D1023" s="1999" t="s">
        <v>1184</v>
      </c>
      <c r="E1023" s="1999"/>
      <c r="F1023" s="1999"/>
      <c r="G1023" s="686"/>
      <c r="I1023" s="1774" t="s">
        <v>2487</v>
      </c>
    </row>
    <row r="1024" spans="1:9" ht="12.75" customHeight="1">
      <c r="A1024" s="503"/>
      <c r="B1024" s="503"/>
      <c r="C1024" s="502"/>
      <c r="D1024" s="2000" t="s">
        <v>1201</v>
      </c>
      <c r="E1024" s="2000"/>
      <c r="F1024" s="2000"/>
      <c r="G1024" s="1763"/>
    </row>
    <row r="1025" spans="1:9" ht="12.75" customHeight="1">
      <c r="A1025" s="714"/>
      <c r="B1025" s="1775" t="s">
        <v>2580</v>
      </c>
      <c r="C1025" s="557"/>
      <c r="D1025" s="1887" t="s">
        <v>1069</v>
      </c>
      <c r="E1025" s="1887"/>
      <c r="F1025" s="1887"/>
      <c r="G1025" s="678"/>
    </row>
    <row r="1026" spans="1:9" ht="12.75" customHeight="1">
      <c r="A1026" s="1726"/>
      <c r="B1026" s="1726"/>
      <c r="C1026" s="557"/>
      <c r="D1026" s="6"/>
      <c r="E1026" s="1974" t="s">
        <v>1185</v>
      </c>
      <c r="F1026" s="1974"/>
      <c r="G1026" s="678"/>
    </row>
    <row r="1027" spans="1:9">
      <c r="A1027" s="790"/>
      <c r="B1027" s="790"/>
      <c r="C1027" s="790"/>
      <c r="D1027" s="790"/>
      <c r="E1027" s="790"/>
      <c r="F1027" s="790"/>
      <c r="G1027" s="790"/>
    </row>
    <row r="1028" spans="1:9">
      <c r="A1028" s="1998" t="s">
        <v>2352</v>
      </c>
      <c r="B1028" s="1998"/>
      <c r="C1028" s="1998"/>
      <c r="D1028" s="1998"/>
      <c r="E1028" s="1998"/>
      <c r="F1028" s="1998"/>
      <c r="G1028" s="1998"/>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2580</v>
      </c>
      <c r="C1033" s="790"/>
      <c r="D1033" s="2005" t="s">
        <v>2336</v>
      </c>
      <c r="E1033" s="2005"/>
      <c r="F1033" s="2005"/>
      <c r="G1033" s="790"/>
      <c r="I1033" s="1774" t="s">
        <v>2459</v>
      </c>
    </row>
    <row r="1034" spans="1:9">
      <c r="A1034" s="790"/>
      <c r="B1034" s="790"/>
      <c r="C1034" s="790"/>
      <c r="D1034" s="2005"/>
      <c r="E1034" s="2005"/>
      <c r="F1034" s="2005"/>
      <c r="G1034" s="790"/>
    </row>
    <row r="1035" spans="1:9">
      <c r="A1035" s="790"/>
      <c r="B1035" s="790"/>
      <c r="C1035" s="790"/>
      <c r="D1035" s="2005"/>
      <c r="E1035" s="2005"/>
      <c r="F1035" s="2005"/>
      <c r="G1035" s="790"/>
    </row>
    <row r="1036" spans="1:9">
      <c r="A1036" s="790"/>
      <c r="B1036" s="790"/>
      <c r="C1036" s="790"/>
      <c r="D1036" s="2005"/>
      <c r="E1036" s="2005"/>
      <c r="F1036" s="2005"/>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2642</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2580</v>
      </c>
      <c r="C1043" s="790"/>
      <c r="D1043" s="2005" t="s">
        <v>2340</v>
      </c>
      <c r="E1043" s="2005"/>
      <c r="F1043" s="2005"/>
      <c r="G1043" s="790"/>
      <c r="I1043" s="1774" t="s">
        <v>2461</v>
      </c>
    </row>
    <row r="1044" spans="1:9">
      <c r="A1044" s="790"/>
      <c r="B1044" s="790"/>
      <c r="C1044" s="790"/>
      <c r="D1044" s="2005"/>
      <c r="E1044" s="2005"/>
      <c r="F1044" s="2005"/>
      <c r="G1044" s="790"/>
    </row>
    <row r="1045" spans="1:9">
      <c r="A1045" s="790"/>
      <c r="B1045" s="790"/>
      <c r="C1045" s="790"/>
      <c r="D1045" s="2005"/>
      <c r="E1045" s="2005"/>
      <c r="F1045" s="2005"/>
      <c r="G1045" s="790"/>
    </row>
    <row r="1046" spans="1:9">
      <c r="A1046" s="790"/>
      <c r="B1046" s="790"/>
      <c r="C1046" s="790"/>
      <c r="D1046" s="2005"/>
      <c r="E1046" s="2005"/>
      <c r="F1046" s="2005"/>
      <c r="G1046" s="790"/>
    </row>
    <row r="1047" spans="1:9">
      <c r="A1047" s="790"/>
      <c r="B1047" s="790"/>
      <c r="C1047" s="790"/>
      <c r="D1047" s="2005"/>
      <c r="E1047" s="2005"/>
      <c r="F1047" s="2005"/>
      <c r="G1047" s="790"/>
    </row>
    <row r="1048" spans="1:9">
      <c r="A1048" s="790"/>
      <c r="B1048" s="790"/>
      <c r="C1048" s="790"/>
      <c r="D1048" s="790"/>
      <c r="E1048" s="790"/>
      <c r="F1048" s="790"/>
      <c r="G1048" s="790"/>
    </row>
    <row r="1049" spans="1:9">
      <c r="A1049" s="1998" t="s">
        <v>2341</v>
      </c>
      <c r="B1049" s="1998"/>
      <c r="C1049" s="1998"/>
      <c r="D1049" s="1998"/>
      <c r="E1049" s="1998"/>
      <c r="F1049" s="1998"/>
      <c r="G1049" s="199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2642</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2642</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2580</v>
      </c>
      <c r="C1058" s="790"/>
      <c r="D1058" s="1766" t="s">
        <v>2350</v>
      </c>
      <c r="E1058" s="1771"/>
      <c r="F1058" s="790"/>
      <c r="G1058" s="790"/>
      <c r="I1058" s="1774" t="s">
        <v>2464</v>
      </c>
    </row>
    <row r="1059" spans="1:9" s="1772" customFormat="1">
      <c r="D1059" s="2006" t="s">
        <v>2351</v>
      </c>
      <c r="E1059" s="2006"/>
      <c r="F1059" s="2006"/>
      <c r="I1059" s="1774"/>
    </row>
    <row r="1060" spans="1:9" s="1772" customFormat="1">
      <c r="D1060" s="2006"/>
      <c r="E1060" s="2006"/>
      <c r="F1060" s="2006"/>
      <c r="I1060" s="1774"/>
    </row>
    <row r="1061" spans="1:9" s="1772" customFormat="1">
      <c r="D1061" s="2006"/>
      <c r="E1061" s="2006"/>
      <c r="F1061" s="2006"/>
      <c r="I1061" s="1774"/>
    </row>
    <row r="1062" spans="1:9" s="1772" customFormat="1">
      <c r="D1062" s="2006"/>
      <c r="E1062" s="2006"/>
      <c r="F1062" s="2006"/>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2580</v>
      </c>
      <c r="C1066" s="790"/>
      <c r="D1066" s="2003" t="s">
        <v>2343</v>
      </c>
      <c r="E1066" s="2003"/>
      <c r="F1066" s="2003"/>
      <c r="G1066" s="790"/>
    </row>
    <row r="1067" spans="1:9" s="1772" customFormat="1">
      <c r="D1067" s="2003"/>
      <c r="E1067" s="2003"/>
      <c r="F1067" s="2003"/>
      <c r="I1067" s="1774"/>
    </row>
    <row r="1068" spans="1:9" s="1772" customFormat="1">
      <c r="D1068" s="2003"/>
      <c r="E1068" s="2003"/>
      <c r="F1068" s="2003"/>
      <c r="I1068" s="1774"/>
    </row>
    <row r="1069" spans="1:9" s="1772" customFormat="1">
      <c r="D1069" s="2003"/>
      <c r="E1069" s="2003"/>
      <c r="F1069" s="2003"/>
      <c r="I1069" s="1774"/>
    </row>
    <row r="1070" spans="1:9">
      <c r="A1070" s="790"/>
      <c r="B1070" s="790"/>
      <c r="C1070" s="790"/>
      <c r="D1070" s="2003"/>
      <c r="E1070" s="2003"/>
      <c r="F1070" s="2003"/>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98" t="s">
        <v>2353</v>
      </c>
      <c r="B1073" s="1998"/>
      <c r="C1073" s="1998"/>
      <c r="D1073" s="1998"/>
      <c r="E1073" s="1998"/>
      <c r="F1073" s="1998"/>
      <c r="G1073" s="199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2580</v>
      </c>
      <c r="C1076" s="790"/>
      <c r="D1076" s="2003" t="s">
        <v>2354</v>
      </c>
      <c r="E1076" s="2003"/>
      <c r="F1076" s="2003"/>
      <c r="G1076" s="790"/>
      <c r="I1076" s="1774" t="s">
        <v>2466</v>
      </c>
    </row>
    <row r="1077" spans="1:9" s="1772" customFormat="1">
      <c r="D1077" s="2003"/>
      <c r="E1077" s="2003"/>
      <c r="F1077" s="2003"/>
      <c r="I1077" s="1774"/>
    </row>
    <row r="1078" spans="1:9" s="1772" customFormat="1">
      <c r="D1078" s="2003"/>
      <c r="E1078" s="2003"/>
      <c r="F1078" s="2003"/>
      <c r="I1078" s="1774"/>
    </row>
    <row r="1079" spans="1:9" s="1772" customFormat="1">
      <c r="D1079" s="1767"/>
      <c r="I1079" s="1774"/>
    </row>
    <row r="1080" spans="1:9">
      <c r="A1080" s="790"/>
      <c r="B1080" s="1775" t="s">
        <v>2580</v>
      </c>
      <c r="C1080" s="790"/>
      <c r="D1080" s="2003" t="s">
        <v>2355</v>
      </c>
      <c r="E1080" s="2003"/>
      <c r="F1080" s="2003"/>
      <c r="G1080" s="790"/>
      <c r="I1080" s="1774" t="s">
        <v>2467</v>
      </c>
    </row>
    <row r="1081" spans="1:9" s="1772" customFormat="1">
      <c r="D1081" s="2003"/>
      <c r="E1081" s="2003"/>
      <c r="F1081" s="2003"/>
      <c r="I1081" s="1774"/>
    </row>
    <row r="1082" spans="1:9" s="1772" customFormat="1">
      <c r="D1082" s="1767"/>
      <c r="I1082" s="1774"/>
    </row>
    <row r="1083" spans="1:9">
      <c r="A1083" s="790"/>
      <c r="B1083" s="1775" t="s">
        <v>2580</v>
      </c>
      <c r="C1083" s="790"/>
      <c r="D1083" s="2003" t="s">
        <v>2514</v>
      </c>
      <c r="E1083" s="2003"/>
      <c r="F1083" s="2003"/>
      <c r="G1083" s="790"/>
      <c r="I1083" s="1774" t="s">
        <v>2512</v>
      </c>
    </row>
    <row r="1084" spans="1:9" s="1772" customFormat="1">
      <c r="D1084" s="2003"/>
      <c r="E1084" s="2003"/>
      <c r="F1084" s="2003"/>
      <c r="I1084" s="1774"/>
    </row>
    <row r="1085" spans="1:9" s="1772" customFormat="1">
      <c r="D1085" s="2003"/>
      <c r="E1085" s="2003"/>
      <c r="F1085" s="2003"/>
      <c r="I1085" s="1774"/>
    </row>
    <row r="1086" spans="1:9" s="1772" customFormat="1">
      <c r="D1086" s="2003"/>
      <c r="E1086" s="2003"/>
      <c r="F1086" s="2003"/>
      <c r="I1086" s="1774"/>
    </row>
    <row r="1087" spans="1:9" s="1772" customFormat="1">
      <c r="D1087" s="2003"/>
      <c r="E1087" s="2003"/>
      <c r="F1087" s="2003"/>
      <c r="I1087" s="1774"/>
    </row>
    <row r="1088" spans="1:9" s="1772" customFormat="1">
      <c r="D1088" s="2003"/>
      <c r="E1088" s="2003"/>
      <c r="F1088" s="2003"/>
      <c r="I1088" s="1774"/>
    </row>
    <row r="1089" spans="1:9" s="1773" customFormat="1" ht="12.5">
      <c r="B1089" s="1772"/>
      <c r="D1089" s="1767" t="s">
        <v>2513</v>
      </c>
    </row>
    <row r="1090" spans="1:9">
      <c r="A1090" s="790"/>
      <c r="B1090" s="1775" t="s">
        <v>2580</v>
      </c>
      <c r="C1090" s="790"/>
      <c r="D1090" s="2003" t="s">
        <v>2356</v>
      </c>
      <c r="E1090" s="2003"/>
      <c r="F1090" s="2003"/>
      <c r="G1090" s="790"/>
      <c r="I1090" s="1837" t="s">
        <v>2468</v>
      </c>
    </row>
    <row r="1091" spans="1:9" s="1772" customFormat="1">
      <c r="D1091" s="2003"/>
      <c r="E1091" s="2003"/>
      <c r="F1091" s="2003"/>
      <c r="I1091" s="1774"/>
    </row>
    <row r="1092" spans="1:9" s="1772" customFormat="1">
      <c r="D1092" s="2003"/>
      <c r="E1092" s="2003"/>
      <c r="F1092" s="2003"/>
      <c r="I1092" s="1774"/>
    </row>
    <row r="1093" spans="1:9" s="1772" customFormat="1">
      <c r="D1093" s="1767"/>
      <c r="I1093" s="1774"/>
    </row>
    <row r="1094" spans="1:9">
      <c r="A1094" s="790"/>
      <c r="B1094" s="1775" t="s">
        <v>2642</v>
      </c>
      <c r="C1094" s="790"/>
      <c r="D1094" s="2004" t="s">
        <v>2515</v>
      </c>
      <c r="E1094" s="2004"/>
      <c r="F1094" s="2004"/>
      <c r="G1094" s="790"/>
      <c r="I1094" s="1774" t="s">
        <v>2469</v>
      </c>
    </row>
    <row r="1095" spans="1:9">
      <c r="A1095" s="790"/>
      <c r="B1095" s="790"/>
      <c r="C1095" s="790"/>
      <c r="D1095" s="2004"/>
      <c r="E1095" s="2004"/>
      <c r="F1095" s="2004"/>
      <c r="G1095" s="790"/>
    </row>
    <row r="1096" spans="1:9">
      <c r="A1096" s="790"/>
      <c r="B1096" s="790"/>
      <c r="C1096" s="790"/>
      <c r="D1096" s="2004"/>
      <c r="E1096" s="2004"/>
      <c r="F1096" s="2004"/>
      <c r="G1096" s="790"/>
    </row>
    <row r="1097" spans="1:9" s="1772" customFormat="1">
      <c r="D1097" s="1849"/>
      <c r="E1097" s="1849"/>
      <c r="F1097" s="1849"/>
      <c r="I1097" s="1774"/>
    </row>
    <row r="1098" spans="1:9" s="1772" customFormat="1" ht="15.75" customHeight="1">
      <c r="B1098" s="1775" t="s">
        <v>2580</v>
      </c>
      <c r="D1098" s="1860" t="s">
        <v>2517</v>
      </c>
      <c r="E1098" s="1860"/>
      <c r="F1098" s="1860"/>
      <c r="I1098" s="1774" t="s">
        <v>2516</v>
      </c>
    </row>
    <row r="1099" spans="1:9" s="1772" customFormat="1">
      <c r="D1099" s="1860"/>
      <c r="E1099" s="1860"/>
      <c r="F1099" s="1860"/>
      <c r="I1099" s="1774"/>
    </row>
    <row r="1100" spans="1:9" s="1772" customFormat="1">
      <c r="D1100" s="1860"/>
      <c r="E1100" s="1860"/>
      <c r="F1100" s="1860"/>
      <c r="I1100" s="1774"/>
    </row>
    <row r="1101" spans="1:9" s="1772" customFormat="1">
      <c r="D1101" s="1860"/>
      <c r="E1101" s="1860"/>
      <c r="F1101" s="1860"/>
      <c r="I1101" s="1774"/>
    </row>
    <row r="1102" spans="1:9" s="1772" customFormat="1">
      <c r="D1102" s="1849"/>
      <c r="E1102" s="1849"/>
      <c r="F1102" s="1849"/>
      <c r="I1102" s="1774"/>
    </row>
    <row r="1103" spans="1:9" ht="37.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525" zoomScaleNormal="100" zoomScaleSheetLayoutView="80" workbookViewId="0">
      <selection activeCell="AC531" sqref="AC531:AF531"/>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394" t="s">
        <v>105</v>
      </c>
      <c r="B8" s="2394"/>
      <c r="C8" s="2394"/>
      <c r="D8" s="2394"/>
      <c r="E8" s="2394"/>
      <c r="F8" s="2394"/>
      <c r="G8" s="2394"/>
      <c r="H8" s="2394"/>
      <c r="I8" s="2394"/>
      <c r="J8" s="2394"/>
      <c r="K8" s="2394"/>
      <c r="L8" s="2394"/>
      <c r="M8" s="2394"/>
      <c r="N8" s="2394"/>
      <c r="O8" s="2394"/>
      <c r="P8" s="2394"/>
      <c r="Q8" s="2394"/>
      <c r="R8" s="2394"/>
      <c r="S8" s="2394"/>
      <c r="T8" s="2394"/>
      <c r="U8" s="2394"/>
      <c r="V8" s="2394"/>
      <c r="W8" s="2394"/>
      <c r="X8" s="2394"/>
      <c r="Y8" s="2394"/>
      <c r="Z8" s="2394"/>
      <c r="AA8" s="2394"/>
      <c r="AB8" s="2394"/>
      <c r="AC8" s="2394"/>
      <c r="AD8" s="2394"/>
      <c r="AE8" s="2394"/>
      <c r="AF8" s="2394"/>
      <c r="AG8" s="2394"/>
      <c r="AH8" s="2394"/>
      <c r="AI8" s="2394"/>
      <c r="AJ8" s="2394"/>
      <c r="AK8" s="2394"/>
      <c r="AL8" s="2394"/>
      <c r="AM8" s="1571"/>
      <c r="AN8" s="1571"/>
      <c r="AO8" s="1571"/>
      <c r="AP8" s="1571"/>
      <c r="AQ8" s="1571"/>
      <c r="AR8" s="1571"/>
      <c r="AS8" s="1571"/>
      <c r="AT8" s="1571"/>
      <c r="AU8" s="1571"/>
      <c r="AV8" s="1571"/>
      <c r="AW8" s="1571"/>
      <c r="AX8" s="1571"/>
      <c r="AY8" s="1571"/>
    </row>
    <row r="9" spans="1:96" s="719" customFormat="1" ht="13">
      <c r="A9" s="2077" t="s">
        <v>1990</v>
      </c>
      <c r="B9" s="2077"/>
      <c r="C9" s="2077"/>
      <c r="D9" s="2077"/>
      <c r="E9" s="2077"/>
      <c r="F9" s="2077"/>
      <c r="G9" s="2077"/>
      <c r="H9" s="2077"/>
      <c r="I9" s="2077"/>
      <c r="J9" s="2077"/>
      <c r="K9" s="2077"/>
      <c r="L9" s="2077"/>
      <c r="M9" s="2077"/>
      <c r="N9" s="2077"/>
      <c r="O9" s="2077"/>
      <c r="P9" s="2077"/>
      <c r="Q9" s="2077"/>
      <c r="R9" s="2077"/>
      <c r="S9" s="2077"/>
      <c r="T9" s="2077"/>
      <c r="U9" s="2077"/>
      <c r="V9" s="2077"/>
      <c r="W9" s="2077"/>
      <c r="X9" s="2077"/>
      <c r="Y9" s="2077"/>
      <c r="Z9" s="2077"/>
      <c r="AA9" s="2077"/>
      <c r="AB9" s="2077"/>
      <c r="AC9" s="2077"/>
      <c r="AD9" s="2077"/>
      <c r="AE9" s="2077"/>
      <c r="AF9" s="2077"/>
      <c r="AG9" s="2077"/>
      <c r="AH9" s="2077"/>
      <c r="AI9" s="2077"/>
      <c r="AJ9" s="2077"/>
      <c r="AK9" s="2077"/>
      <c r="AL9" s="2077"/>
      <c r="AM9" s="1510"/>
      <c r="AN9" s="1510"/>
      <c r="AO9" s="1510"/>
      <c r="AP9" s="1510"/>
      <c r="AQ9" s="1510"/>
      <c r="AR9" s="1510"/>
      <c r="AS9" s="1510"/>
      <c r="AT9" s="1510"/>
      <c r="AU9" s="1510"/>
      <c r="AV9" s="1510"/>
      <c r="AW9" s="1510"/>
      <c r="AX9" s="1510"/>
      <c r="AY9" s="1510"/>
      <c r="CR9" s="25"/>
    </row>
    <row r="10" spans="1:96" ht="15" customHeight="1">
      <c r="A10" s="2230" t="s">
        <v>1991</v>
      </c>
      <c r="B10" s="2230"/>
      <c r="C10" s="2230"/>
      <c r="D10" s="2230"/>
      <c r="E10" s="2230"/>
      <c r="F10" s="2230"/>
      <c r="G10" s="2230"/>
      <c r="H10" s="2230"/>
      <c r="I10" s="2230"/>
      <c r="J10" s="2230"/>
      <c r="K10" s="2230"/>
      <c r="L10" s="2230"/>
      <c r="M10" s="2230"/>
      <c r="N10" s="2230"/>
      <c r="O10" s="2230"/>
      <c r="P10" s="2230"/>
      <c r="Q10" s="2230"/>
      <c r="R10" s="2230"/>
      <c r="S10" s="2230"/>
      <c r="T10" s="2230"/>
      <c r="U10" s="2230"/>
      <c r="V10" s="2230"/>
      <c r="W10" s="2230"/>
      <c r="X10" s="2230"/>
      <c r="Y10" s="2230"/>
      <c r="Z10" s="2230"/>
      <c r="AA10" s="2230"/>
      <c r="AB10" s="2230"/>
      <c r="AC10" s="2230"/>
      <c r="AD10" s="2230"/>
      <c r="AE10" s="2230"/>
      <c r="AF10" s="2230"/>
      <c r="AG10" s="2230"/>
      <c r="AH10" s="2230"/>
      <c r="AI10" s="2230"/>
      <c r="AJ10" s="2230"/>
      <c r="AK10" s="2230"/>
      <c r="AL10" s="2230"/>
      <c r="AM10" s="20"/>
      <c r="AN10" s="20"/>
      <c r="AO10" s="20"/>
      <c r="AP10" s="20"/>
      <c r="AQ10" s="20"/>
      <c r="AR10" s="20"/>
      <c r="AS10" s="20"/>
      <c r="AT10" s="20"/>
      <c r="AU10" s="20"/>
      <c r="AV10" s="20"/>
      <c r="AW10" s="20"/>
      <c r="AX10" s="20"/>
      <c r="AY10" s="20"/>
    </row>
    <row r="11" spans="1:96" ht="15" customHeight="1">
      <c r="A11" s="2077" t="s">
        <v>2011</v>
      </c>
      <c r="B11" s="2077"/>
      <c r="C11" s="2077"/>
      <c r="D11" s="2077"/>
      <c r="E11" s="2077"/>
      <c r="F11" s="2077"/>
      <c r="G11" s="2077"/>
      <c r="H11" s="2077"/>
      <c r="I11" s="2077"/>
      <c r="J11" s="2077"/>
      <c r="K11" s="2077"/>
      <c r="L11" s="2077"/>
      <c r="M11" s="2077"/>
      <c r="N11" s="2077"/>
      <c r="O11" s="2077"/>
      <c r="P11" s="2077"/>
      <c r="Q11" s="2077"/>
      <c r="R11" s="2077"/>
      <c r="S11" s="2077"/>
      <c r="T11" s="2077"/>
      <c r="U11" s="2077"/>
      <c r="V11" s="2077"/>
      <c r="W11" s="2077"/>
      <c r="X11" s="2077"/>
      <c r="Y11" s="2077"/>
      <c r="Z11" s="2077"/>
      <c r="AA11" s="2077"/>
      <c r="AB11" s="2077"/>
      <c r="AC11" s="2077"/>
      <c r="AD11" s="2077"/>
      <c r="AE11" s="2077"/>
      <c r="AF11" s="2077"/>
      <c r="AG11" s="2077"/>
      <c r="AH11" s="2077"/>
      <c r="AI11" s="2077"/>
      <c r="AJ11" s="2077"/>
      <c r="AK11" s="2077"/>
      <c r="AL11" s="2077"/>
      <c r="AM11" s="1510"/>
      <c r="AN11" s="1510"/>
      <c r="AO11" s="1510"/>
      <c r="AP11" s="1510"/>
      <c r="AQ11" s="1510"/>
      <c r="AR11" s="1510"/>
      <c r="AS11" s="1510"/>
      <c r="AT11" s="1510"/>
      <c r="AU11" s="1510"/>
      <c r="AV11" s="1510"/>
      <c r="AW11" s="1510"/>
      <c r="AX11" s="1510"/>
      <c r="AY11" s="1510"/>
    </row>
    <row r="12" spans="1:96" ht="12.5">
      <c r="A12" s="2199" t="s">
        <v>2519</v>
      </c>
      <c r="B12" s="2200"/>
      <c r="C12" s="2200"/>
      <c r="D12" s="2200"/>
      <c r="E12" s="2200"/>
      <c r="F12" s="2200"/>
      <c r="G12" s="2200"/>
      <c r="H12" s="2200"/>
      <c r="I12" s="2200"/>
      <c r="J12" s="2200"/>
      <c r="K12" s="2200"/>
      <c r="L12" s="2200"/>
      <c r="M12" s="2200"/>
      <c r="N12" s="2200"/>
      <c r="O12" s="2200"/>
      <c r="P12" s="2200"/>
      <c r="Q12" s="2200"/>
      <c r="R12" s="2200"/>
      <c r="S12" s="2200"/>
      <c r="T12" s="2200"/>
      <c r="U12" s="2200"/>
      <c r="V12" s="2200"/>
      <c r="W12" s="2200"/>
      <c r="X12" s="2200"/>
      <c r="Y12" s="2200"/>
      <c r="Z12" s="2200"/>
      <c r="AA12" s="2200"/>
      <c r="AB12" s="2200"/>
      <c r="AC12" s="2200"/>
      <c r="AD12" s="2200"/>
      <c r="AE12" s="2200"/>
      <c r="AF12" s="2200"/>
      <c r="AG12" s="2200"/>
      <c r="AH12" s="2200"/>
      <c r="AI12" s="2200"/>
      <c r="AJ12" s="2200"/>
      <c r="AK12" s="2200"/>
      <c r="AL12" s="2200"/>
      <c r="AM12" s="1516"/>
      <c r="AN12" s="1516"/>
      <c r="AO12" s="1516"/>
      <c r="AP12" s="1516"/>
      <c r="AQ12" s="1516"/>
      <c r="AR12" s="1516"/>
      <c r="AS12" s="1516"/>
      <c r="AT12" s="1516"/>
      <c r="AU12" s="1516"/>
      <c r="AV12" s="1516"/>
      <c r="AW12" s="1516"/>
      <c r="AX12" s="1516"/>
      <c r="AY12" s="1516"/>
    </row>
    <row r="13" spans="1:96" ht="13">
      <c r="A13" s="1870" t="s">
        <v>1385</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2"/>
      <c r="AN13" s="1572"/>
      <c r="AO13" s="1572"/>
      <c r="AP13" s="1572"/>
      <c r="AQ13" s="1572"/>
      <c r="AR13" s="1572"/>
      <c r="AS13" s="1572"/>
      <c r="AT13" s="1572"/>
      <c r="AU13" s="1572"/>
      <c r="AV13" s="1572"/>
      <c r="AW13" s="1572"/>
      <c r="AX13" s="1572"/>
      <c r="AY13" s="1572"/>
    </row>
    <row r="14" spans="1:96" ht="12.75"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206" t="s">
        <v>2542</v>
      </c>
      <c r="I16" s="2205"/>
      <c r="J16" s="2205"/>
      <c r="K16" s="2205"/>
      <c r="L16" s="2205"/>
      <c r="M16" s="2205"/>
      <c r="N16" s="2205"/>
      <c r="O16" s="2205"/>
      <c r="P16" s="2205"/>
      <c r="Q16" s="2205"/>
      <c r="R16" s="2205"/>
      <c r="S16" s="2205"/>
      <c r="T16" s="2205"/>
      <c r="U16" s="2205"/>
      <c r="V16" s="2205"/>
      <c r="W16" s="2205"/>
      <c r="X16" s="2205"/>
      <c r="Y16" s="2205"/>
      <c r="Z16" s="2205"/>
      <c r="AA16" s="2205"/>
      <c r="AB16" s="2205"/>
      <c r="AC16" s="2205"/>
      <c r="AD16" s="2205"/>
      <c r="AE16" s="2205"/>
      <c r="AF16" s="2205"/>
      <c r="AG16" s="2205"/>
      <c r="AH16" s="2205"/>
      <c r="AI16" s="2205"/>
      <c r="AJ16" s="2205"/>
    </row>
    <row r="17" spans="1:96" ht="12.75" customHeight="1"/>
    <row r="18" spans="1:96" ht="12.75" customHeight="1">
      <c r="A18" s="134" t="s">
        <v>106</v>
      </c>
      <c r="C18" s="7"/>
      <c r="D18" s="7"/>
      <c r="E18" s="7"/>
      <c r="F18" s="7"/>
      <c r="G18" s="7"/>
      <c r="H18" s="2050" t="s">
        <v>2520</v>
      </c>
      <c r="I18" s="2208"/>
      <c r="J18" s="2208"/>
      <c r="K18" s="2208"/>
      <c r="L18" s="2208"/>
      <c r="M18" s="2208"/>
      <c r="N18" s="2208"/>
      <c r="O18" s="2208"/>
      <c r="P18" s="2208"/>
      <c r="Q18" s="2208"/>
      <c r="R18" s="2208"/>
      <c r="S18" s="2208"/>
      <c r="T18" s="2208"/>
      <c r="U18" s="2208"/>
      <c r="V18" s="2208"/>
      <c r="W18" s="2208"/>
      <c r="X18" s="2208"/>
      <c r="Y18" s="2208"/>
      <c r="Z18" s="2208"/>
      <c r="AA18" s="2208"/>
      <c r="AB18" s="2208"/>
      <c r="AC18" s="2208"/>
      <c r="AD18" s="2208"/>
      <c r="AE18" s="2208"/>
      <c r="AF18" s="2208"/>
      <c r="AG18" s="2208"/>
      <c r="AH18" s="2208"/>
      <c r="AI18" s="2208"/>
      <c r="AJ18" s="2208"/>
    </row>
    <row r="19" spans="1:96" ht="12.75" customHeight="1"/>
    <row r="20" spans="1:96" ht="14.25" customHeight="1">
      <c r="A20" s="2232" t="s">
        <v>935</v>
      </c>
      <c r="B20" s="2232"/>
      <c r="C20" s="2232"/>
      <c r="D20" s="2232"/>
      <c r="E20" s="2232"/>
      <c r="F20" s="2232"/>
      <c r="G20" s="2232"/>
      <c r="H20" s="2232"/>
      <c r="I20" s="2232"/>
      <c r="J20" s="2232"/>
      <c r="K20" s="2232"/>
      <c r="L20" s="2232"/>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1574"/>
      <c r="AN20" s="1574"/>
      <c r="AO20" s="1574"/>
      <c r="AP20" s="1574"/>
      <c r="AQ20" s="1574"/>
      <c r="AR20" s="1574"/>
      <c r="AS20" s="1574"/>
      <c r="AT20" s="1574"/>
      <c r="AU20" s="1574"/>
      <c r="AV20" s="1574"/>
      <c r="AW20" s="1574"/>
      <c r="AX20" s="1574"/>
      <c r="AY20" s="1574"/>
    </row>
    <row r="21" spans="1:96" ht="12.75" customHeight="1">
      <c r="A21" s="2207" t="s">
        <v>1115</v>
      </c>
      <c r="B21" s="2207"/>
      <c r="C21" s="2207"/>
      <c r="D21" s="2207"/>
      <c r="E21" s="2207"/>
      <c r="F21" s="2207"/>
      <c r="G21" s="2207"/>
      <c r="H21" s="2207"/>
      <c r="I21" s="2207"/>
      <c r="J21" s="2207"/>
      <c r="K21" s="2207"/>
      <c r="L21" s="2207"/>
      <c r="M21" s="2207"/>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c r="AL21" s="2207"/>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4">
        <f>'Basis &amp; Credits'!AB56</f>
        <v>3365998</v>
      </c>
      <c r="N26" s="2204"/>
      <c r="O26" s="2204"/>
      <c r="P26" s="2204"/>
      <c r="Q26" s="2204"/>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8">
        <f>'Basis &amp; Credits'!AB77</f>
        <v>0</v>
      </c>
      <c r="N27" s="2138"/>
      <c r="O27" s="2138"/>
      <c r="P27" s="2138"/>
      <c r="Q27" s="2138"/>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7" t="s">
        <v>705</v>
      </c>
      <c r="P33" s="2037"/>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812</v>
      </c>
      <c r="B117" s="35"/>
      <c r="C117" s="35"/>
    </row>
    <row r="118" spans="1:96" ht="12.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201"/>
      <c r="H122" s="2201"/>
      <c r="I122" s="239" t="s">
        <v>187</v>
      </c>
      <c r="L122" s="2201"/>
      <c r="M122" s="2201"/>
      <c r="N122" s="2201"/>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210"/>
      <c r="D124" s="2210"/>
      <c r="E124" s="2210"/>
      <c r="F124" s="2210"/>
      <c r="G124" s="2210"/>
      <c r="H124" s="2210"/>
      <c r="I124" s="2210"/>
      <c r="J124" s="2210"/>
      <c r="K124" s="2210"/>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662</v>
      </c>
      <c r="Y126" s="2201"/>
      <c r="Z126" s="2201"/>
      <c r="AA126" s="2201"/>
      <c r="AB126" s="2201"/>
      <c r="AC126" s="2201"/>
      <c r="AD126" s="2201"/>
      <c r="AE126" s="2201"/>
      <c r="AF126" s="2201"/>
      <c r="AG126" s="2201"/>
      <c r="AH126" s="2201"/>
      <c r="AI126" s="2201"/>
      <c r="AJ126" s="2201"/>
      <c r="AK126" s="2201"/>
    </row>
    <row r="127" spans="1:96" ht="12.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5">
      <c r="A129" s="697"/>
      <c r="B129" s="150"/>
      <c r="R129" s="265"/>
      <c r="S129" s="265"/>
      <c r="T129" s="265"/>
      <c r="U129" s="265"/>
      <c r="V129" s="265"/>
      <c r="W129" s="265"/>
      <c r="X129" s="58"/>
      <c r="Y129" s="2202" t="s">
        <v>2568</v>
      </c>
      <c r="Z129" s="2202"/>
      <c r="AA129" s="2202"/>
      <c r="AB129" s="2202"/>
      <c r="AC129" s="2202"/>
      <c r="AD129" s="2202"/>
      <c r="AE129" s="2202"/>
      <c r="AF129" s="2202"/>
      <c r="AG129" s="2202"/>
      <c r="AH129" s="2202"/>
      <c r="AI129" s="2202"/>
      <c r="AJ129" s="2202"/>
      <c r="AK129" s="2202"/>
      <c r="AL129" s="697"/>
      <c r="AM129" s="1579"/>
      <c r="AN129" s="1579"/>
      <c r="AO129" s="1579"/>
      <c r="AP129" s="1579"/>
      <c r="AQ129" s="1579"/>
      <c r="AR129" s="1579"/>
      <c r="AS129" s="1579"/>
      <c r="AT129" s="1579"/>
      <c r="AU129" s="1579"/>
      <c r="AV129" s="1579"/>
      <c r="AW129" s="1579"/>
      <c r="AX129" s="1579"/>
      <c r="AY129" s="1579"/>
    </row>
    <row r="130" spans="1:96" ht="12.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02" t="s">
        <v>2614</v>
      </c>
      <c r="Z132" s="2202"/>
      <c r="AA132" s="2202"/>
      <c r="AB132" s="2202"/>
      <c r="AC132" s="2202"/>
      <c r="AD132" s="2202"/>
      <c r="AE132" s="2202"/>
      <c r="AF132" s="2202"/>
      <c r="AG132" s="2202"/>
      <c r="AH132" s="2202"/>
      <c r="AI132" s="2202"/>
      <c r="AJ132" s="2202"/>
      <c r="AK132" s="220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19"/>
      <c r="G150" s="2119"/>
      <c r="H150" s="2119"/>
      <c r="I150" s="2119"/>
      <c r="J150" s="2119"/>
      <c r="K150" s="2119"/>
      <c r="L150" s="2119"/>
      <c r="M150" s="2119"/>
      <c r="N150" s="2119"/>
      <c r="O150" s="2119"/>
      <c r="P150" s="2119"/>
      <c r="Q150" s="2119"/>
      <c r="R150" s="2119"/>
      <c r="S150" s="2119"/>
      <c r="T150" s="211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679</v>
      </c>
      <c r="F153" s="32"/>
      <c r="G153" s="32"/>
      <c r="H153" s="32"/>
      <c r="I153" s="32"/>
      <c r="J153" s="32"/>
      <c r="K153" s="32"/>
      <c r="L153" s="32"/>
      <c r="M153" s="32"/>
      <c r="N153" s="32"/>
      <c r="O153" s="2050" t="s">
        <v>2525</v>
      </c>
      <c r="P153" s="2208"/>
      <c r="Q153" s="2208"/>
      <c r="R153" s="2208"/>
      <c r="S153" s="2208"/>
      <c r="T153" s="2208"/>
      <c r="U153" s="2208"/>
      <c r="V153" s="2208"/>
      <c r="W153" s="2208"/>
      <c r="X153" s="2208"/>
      <c r="Y153" s="2208"/>
      <c r="Z153" s="2208"/>
      <c r="AA153" s="2208"/>
      <c r="AB153" s="2208"/>
      <c r="AC153" s="2208"/>
      <c r="AD153" s="2208"/>
      <c r="AE153" s="2208"/>
      <c r="AF153" s="2208"/>
      <c r="AG153" s="2208"/>
      <c r="AH153" s="2208"/>
    </row>
    <row r="154" spans="1:96" ht="12.75" customHeight="1">
      <c r="D154" s="466" t="s">
        <v>462</v>
      </c>
      <c r="F154" s="32"/>
      <c r="G154" s="32"/>
      <c r="H154" s="32"/>
      <c r="I154" s="32"/>
      <c r="J154" s="32"/>
      <c r="K154" s="32"/>
      <c r="L154" s="32"/>
      <c r="M154" s="32"/>
      <c r="N154" s="32"/>
      <c r="O154" s="2051" t="s">
        <v>2639</v>
      </c>
      <c r="P154" s="2171"/>
      <c r="Q154" s="2171"/>
      <c r="R154" s="2171"/>
      <c r="S154" s="2171"/>
      <c r="T154" s="2171"/>
      <c r="U154" s="2171"/>
      <c r="V154" s="2171"/>
      <c r="W154" s="2171"/>
      <c r="X154" s="2171"/>
      <c r="Y154" s="2171"/>
      <c r="Z154" s="2171"/>
      <c r="AA154" s="2171"/>
      <c r="AB154" s="2171"/>
      <c r="AC154" s="2171"/>
      <c r="AD154" s="2171"/>
      <c r="AE154" s="2171"/>
      <c r="AF154" s="2171"/>
      <c r="AG154" s="2171"/>
      <c r="AH154" s="2171"/>
      <c r="AZ154" s="25"/>
    </row>
    <row r="155" spans="1:96" ht="12.5">
      <c r="D155" s="13" t="s">
        <v>463</v>
      </c>
      <c r="F155" s="13"/>
      <c r="G155" s="13"/>
      <c r="H155" s="13"/>
      <c r="I155" s="13"/>
      <c r="J155" s="13"/>
      <c r="K155" s="13"/>
      <c r="L155" s="13"/>
      <c r="M155" s="13"/>
      <c r="N155" s="13"/>
      <c r="O155" s="2233" t="s">
        <v>2640</v>
      </c>
      <c r="P155" s="2234"/>
      <c r="Q155" s="2234"/>
      <c r="R155" s="2234"/>
      <c r="S155" s="2234"/>
      <c r="T155" s="2234"/>
      <c r="U155" s="2234"/>
      <c r="V155" s="2234"/>
      <c r="W155" s="2234"/>
      <c r="X155" s="2234"/>
      <c r="Y155" s="2234"/>
      <c r="Z155" s="2234"/>
      <c r="AA155" s="2234"/>
      <c r="AB155" s="2234"/>
      <c r="AC155" s="2234"/>
      <c r="AD155" s="2234"/>
      <c r="AE155" s="2234"/>
      <c r="AF155" s="2234"/>
      <c r="AG155" s="2234"/>
      <c r="AH155" s="2234"/>
      <c r="AZ155" s="25"/>
    </row>
    <row r="156" spans="1:96" ht="12.5">
      <c r="D156" s="32" t="s">
        <v>322</v>
      </c>
      <c r="F156" s="32"/>
      <c r="G156" s="32"/>
      <c r="H156" s="32"/>
      <c r="I156" s="32"/>
      <c r="J156" s="32"/>
      <c r="K156" s="32"/>
      <c r="L156" s="32"/>
      <c r="M156" s="32"/>
      <c r="N156" s="32"/>
      <c r="O156" s="2050" t="s">
        <v>2612</v>
      </c>
      <c r="P156" s="2038"/>
      <c r="Q156" s="2038"/>
      <c r="R156" s="2038"/>
      <c r="S156" s="2038"/>
      <c r="T156" s="2038"/>
      <c r="U156" s="2038"/>
      <c r="V156" s="2038"/>
      <c r="W156" s="2038"/>
      <c r="X156" s="2038"/>
      <c r="Y156" s="2038"/>
      <c r="Z156" s="2038"/>
      <c r="AA156" s="2038"/>
      <c r="AB156" s="2038"/>
      <c r="AC156" s="2038"/>
      <c r="AD156" s="2038"/>
      <c r="AE156" s="2038"/>
      <c r="AF156" s="2038"/>
      <c r="AG156" s="2038"/>
      <c r="AH156" s="2038"/>
      <c r="BT156" s="12" t="s">
        <v>316</v>
      </c>
    </row>
    <row r="157" spans="1:96" ht="13">
      <c r="D157" s="32" t="s">
        <v>323</v>
      </c>
      <c r="F157" s="32"/>
      <c r="G157" s="32"/>
      <c r="H157" s="32"/>
      <c r="I157" s="32"/>
      <c r="J157" s="32"/>
      <c r="K157" s="32"/>
      <c r="L157" s="32"/>
      <c r="M157" s="32"/>
      <c r="N157" s="32"/>
      <c r="O157" s="2050" t="s">
        <v>198</v>
      </c>
      <c r="P157" s="2208"/>
      <c r="Q157" s="2208"/>
      <c r="R157" s="2208"/>
      <c r="S157" s="2208"/>
      <c r="T157" s="2208"/>
      <c r="U157" s="2208"/>
      <c r="V157" s="2208"/>
      <c r="W157" s="2208"/>
      <c r="X157" s="2208"/>
      <c r="Y157" s="14"/>
      <c r="Z157" s="14"/>
      <c r="AA157" s="14"/>
      <c r="AB157" s="14"/>
      <c r="AC157" s="14"/>
      <c r="AD157" s="14"/>
      <c r="AE157" s="14"/>
      <c r="AF157" s="14"/>
      <c r="BN157" s="36" t="s">
        <v>670</v>
      </c>
      <c r="BT157" s="12" t="s">
        <v>508</v>
      </c>
    </row>
    <row r="158" spans="1:96" ht="13">
      <c r="D158" s="32" t="s">
        <v>324</v>
      </c>
      <c r="F158" s="32"/>
      <c r="G158" s="32"/>
      <c r="H158" s="32"/>
      <c r="I158" s="32"/>
      <c r="J158" s="32"/>
      <c r="K158" s="32"/>
      <c r="L158" s="32"/>
      <c r="M158" s="32"/>
      <c r="N158" s="32"/>
      <c r="O158" s="2225">
        <v>95050</v>
      </c>
      <c r="P158" s="2225"/>
      <c r="Q158" s="2225"/>
      <c r="R158" s="2225"/>
      <c r="S158" s="15"/>
      <c r="T158" s="15"/>
      <c r="U158" s="15"/>
      <c r="V158" s="15"/>
      <c r="W158" s="15"/>
      <c r="X158" s="15"/>
      <c r="Y158" s="15"/>
      <c r="Z158" s="15"/>
      <c r="AA158" s="15"/>
      <c r="AB158" s="15"/>
      <c r="AC158" s="15"/>
      <c r="AD158" s="15"/>
      <c r="AE158" s="15"/>
      <c r="AF158" s="15"/>
      <c r="BN158" s="36" t="s">
        <v>671</v>
      </c>
      <c r="BT158" s="12" t="s">
        <v>509</v>
      </c>
    </row>
    <row r="159" spans="1:96" ht="13">
      <c r="D159" s="32" t="s">
        <v>325</v>
      </c>
      <c r="F159" s="32"/>
      <c r="G159" s="32"/>
      <c r="H159" s="32"/>
      <c r="I159" s="32"/>
      <c r="J159" s="32"/>
      <c r="K159" s="32"/>
      <c r="L159" s="32"/>
      <c r="M159" s="32"/>
      <c r="N159" s="32"/>
      <c r="O159" s="2211">
        <v>4086152451</v>
      </c>
      <c r="P159" s="2211"/>
      <c r="Q159" s="2211"/>
      <c r="R159" s="2211"/>
      <c r="S159" s="2211"/>
      <c r="T159" s="2211"/>
      <c r="V159" s="146" t="s">
        <v>277</v>
      </c>
      <c r="W159" s="2226"/>
      <c r="X159" s="2226"/>
      <c r="Y159" s="16"/>
      <c r="Z159" s="16"/>
      <c r="AA159" s="16"/>
      <c r="AB159" s="16"/>
      <c r="AC159" s="16"/>
      <c r="AD159" s="16"/>
      <c r="AE159" s="16"/>
      <c r="AF159" s="16"/>
      <c r="BN159" s="36" t="s">
        <v>349</v>
      </c>
      <c r="BT159" s="12" t="s">
        <v>510</v>
      </c>
    </row>
    <row r="160" spans="1:96" ht="13">
      <c r="D160" s="32" t="s">
        <v>326</v>
      </c>
      <c r="F160" s="32"/>
      <c r="G160" s="32"/>
      <c r="H160" s="32"/>
      <c r="I160" s="32"/>
      <c r="J160" s="32"/>
      <c r="K160" s="32"/>
      <c r="L160" s="32"/>
      <c r="M160" s="32"/>
      <c r="N160" s="32"/>
      <c r="O160" s="2211">
        <v>4082416771</v>
      </c>
      <c r="P160" s="2211"/>
      <c r="Q160" s="2211"/>
      <c r="R160" s="2211"/>
      <c r="S160" s="2211"/>
      <c r="T160" s="2211"/>
      <c r="U160" s="16"/>
      <c r="V160" s="16"/>
      <c r="W160" s="16"/>
      <c r="X160" s="16"/>
      <c r="Y160" s="16"/>
      <c r="Z160" s="16"/>
      <c r="AA160" s="16"/>
      <c r="AB160" s="16"/>
      <c r="AC160" s="16"/>
      <c r="AD160" s="16"/>
      <c r="AE160" s="16"/>
      <c r="AF160" s="16"/>
      <c r="BN160" s="36" t="s">
        <v>696</v>
      </c>
      <c r="BT160" s="12" t="s">
        <v>511</v>
      </c>
    </row>
    <row r="161" spans="1:72" ht="13">
      <c r="D161" s="32" t="s">
        <v>327</v>
      </c>
      <c r="F161" s="32"/>
      <c r="G161" s="32"/>
      <c r="H161" s="32"/>
      <c r="I161" s="32"/>
      <c r="J161" s="32"/>
      <c r="K161" s="32"/>
      <c r="L161" s="32"/>
      <c r="M161" s="32"/>
      <c r="N161" s="32"/>
      <c r="O161" s="2203" t="s">
        <v>2641</v>
      </c>
      <c r="P161" s="2203"/>
      <c r="Q161" s="2203"/>
      <c r="R161" s="2203"/>
      <c r="S161" s="2203"/>
      <c r="T161" s="2203"/>
      <c r="U161" s="2203"/>
      <c r="V161" s="2203"/>
      <c r="W161" s="2203"/>
      <c r="X161" s="2203"/>
      <c r="Y161" s="2203"/>
      <c r="Z161" s="2203"/>
      <c r="AA161" s="2203"/>
      <c r="AB161" s="2203"/>
      <c r="AC161" s="2203"/>
      <c r="AD161" s="2203"/>
      <c r="AE161" s="2203"/>
      <c r="AF161" s="2203"/>
      <c r="AG161" s="2203"/>
      <c r="AH161" s="2203"/>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212" t="s">
        <v>1455</v>
      </c>
      <c r="E164" s="2212"/>
      <c r="F164" s="2212"/>
      <c r="G164" s="2212"/>
      <c r="H164" s="2212"/>
      <c r="I164" s="2212"/>
      <c r="J164" s="2212"/>
      <c r="K164" s="2212"/>
      <c r="L164" s="2212"/>
      <c r="M164" s="2212"/>
      <c r="N164" s="2212"/>
      <c r="O164" s="2212"/>
      <c r="P164" s="2212"/>
      <c r="Q164" s="2212"/>
      <c r="R164" s="2212"/>
      <c r="S164" s="2212"/>
      <c r="T164" s="2212"/>
      <c r="U164" s="2212"/>
      <c r="V164" s="2212"/>
      <c r="W164" s="2212"/>
      <c r="X164" s="2212"/>
      <c r="Y164" s="2212"/>
      <c r="Z164" s="2212"/>
      <c r="AA164" s="2212"/>
      <c r="AB164" s="2212"/>
      <c r="AC164" s="2212"/>
      <c r="AD164" s="2212"/>
      <c r="AE164" s="2212"/>
      <c r="AF164" s="2212"/>
      <c r="AG164" s="2212"/>
      <c r="AH164" s="2212"/>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048" t="s">
        <v>571</v>
      </c>
      <c r="B169" s="2048"/>
      <c r="C169" s="2048"/>
      <c r="D169" s="2048"/>
      <c r="E169" s="2048"/>
      <c r="F169" s="2048"/>
      <c r="G169" s="2048"/>
      <c r="H169" s="2048"/>
      <c r="I169" s="2048"/>
      <c r="J169" s="2048"/>
      <c r="K169" s="2048"/>
      <c r="L169" s="2048"/>
      <c r="M169" s="2048"/>
      <c r="N169" s="2048"/>
      <c r="O169" s="2048"/>
      <c r="P169" s="2048"/>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49"/>
      <c r="B170" s="2049"/>
      <c r="C170" s="2049"/>
      <c r="D170" s="2049"/>
      <c r="E170" s="2049"/>
      <c r="F170" s="2049"/>
      <c r="G170" s="2049"/>
      <c r="H170" s="2049"/>
      <c r="I170" s="2049"/>
      <c r="J170" s="2049"/>
      <c r="K170" s="2049"/>
      <c r="L170" s="2049"/>
      <c r="M170" s="2049"/>
      <c r="N170" s="2049"/>
      <c r="O170" s="2049"/>
      <c r="P170" s="2049"/>
      <c r="Q170" s="2049"/>
      <c r="R170" s="2049"/>
      <c r="S170" s="2049"/>
      <c r="T170" s="2049"/>
      <c r="U170" s="2049"/>
      <c r="V170" s="2049"/>
      <c r="W170" s="2049"/>
      <c r="X170" s="2049"/>
      <c r="Y170" s="2049"/>
      <c r="Z170" s="2049"/>
      <c r="AA170" s="2049"/>
      <c r="AB170" s="2049"/>
      <c r="AC170" s="2049"/>
      <c r="AD170" s="2049"/>
      <c r="AE170" s="2049"/>
      <c r="AF170" s="2049"/>
      <c r="AG170" s="2049"/>
      <c r="AH170" s="2049"/>
      <c r="AI170" s="2049"/>
      <c r="AJ170" s="2049"/>
      <c r="AK170" s="2049"/>
      <c r="AL170" s="2049"/>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3">
      <c r="A173" s="25"/>
      <c r="C173" s="38"/>
      <c r="D173" s="39" t="s">
        <v>330</v>
      </c>
      <c r="J173" s="2227" t="s">
        <v>389</v>
      </c>
      <c r="K173" s="2227"/>
      <c r="L173" s="2227"/>
      <c r="M173" s="2227"/>
      <c r="N173" s="2227"/>
      <c r="O173" s="2227"/>
      <c r="P173" s="2227"/>
      <c r="Q173" s="2227"/>
      <c r="R173" s="2227"/>
      <c r="S173" s="2227"/>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3">
      <c r="A174" s="25"/>
      <c r="C174" s="38"/>
      <c r="D174" s="58" t="s">
        <v>1408</v>
      </c>
      <c r="E174" s="25"/>
      <c r="F174" s="25"/>
      <c r="G174" s="25"/>
      <c r="H174" s="25"/>
      <c r="I174" s="25"/>
      <c r="J174" s="2038" t="s">
        <v>2521</v>
      </c>
      <c r="K174" s="2038"/>
      <c r="L174" s="2038"/>
      <c r="M174" s="2038"/>
      <c r="N174" s="2038"/>
      <c r="O174" s="2038"/>
      <c r="P174" s="2038"/>
      <c r="Q174" s="2038"/>
      <c r="R174" s="2038"/>
      <c r="S174" s="2038"/>
      <c r="T174" s="2038"/>
      <c r="U174" s="2038"/>
      <c r="V174" s="2038"/>
      <c r="W174" s="2038"/>
      <c r="X174" s="2038"/>
      <c r="Y174" s="2038"/>
      <c r="Z174" s="2038"/>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3">
      <c r="A175" s="25"/>
      <c r="C175" s="13"/>
      <c r="D175" s="58" t="s">
        <v>331</v>
      </c>
      <c r="F175" s="719"/>
      <c r="G175" s="719"/>
      <c r="H175" s="719"/>
      <c r="I175" s="719"/>
      <c r="J175" s="719"/>
      <c r="K175" s="719"/>
      <c r="L175" s="719"/>
      <c r="M175" s="719"/>
      <c r="N175" s="719"/>
      <c r="O175" s="42"/>
      <c r="Q175" s="25"/>
      <c r="R175" s="25"/>
      <c r="T175" s="719"/>
      <c r="U175" s="2037" t="s">
        <v>705</v>
      </c>
      <c r="V175" s="2037"/>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58"/>
      <c r="V176" s="2058"/>
      <c r="W176" s="4" t="s">
        <v>315</v>
      </c>
      <c r="X176" s="2235"/>
      <c r="Y176" s="2235"/>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3">
      <c r="A177" s="25"/>
      <c r="B177" s="12"/>
      <c r="C177" s="43"/>
      <c r="D177" s="25" t="s">
        <v>255</v>
      </c>
      <c r="E177" s="12"/>
      <c r="F177" s="12"/>
      <c r="G177" s="12"/>
      <c r="H177" s="12"/>
      <c r="I177" s="12"/>
      <c r="J177" s="12"/>
      <c r="K177" s="12"/>
      <c r="L177" s="12"/>
      <c r="M177" s="25"/>
      <c r="N177" s="12"/>
      <c r="O177" s="12"/>
      <c r="P177" s="12"/>
      <c r="Q177" s="12"/>
      <c r="R177" s="2037"/>
      <c r="S177" s="2037"/>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3">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1"/>
      <c r="AG178" s="2401"/>
      <c r="AH178" s="4" t="s">
        <v>315</v>
      </c>
      <c r="AI178" s="2237"/>
      <c r="AJ178" s="2237"/>
      <c r="AK178" s="223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464</v>
      </c>
      <c r="E180" s="25"/>
      <c r="X180" s="2037"/>
      <c r="Y180" s="2037"/>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612</v>
      </c>
      <c r="E184" s="25"/>
      <c r="F184" s="25"/>
      <c r="G184" s="25"/>
      <c r="H184" s="25"/>
      <c r="I184" s="2160" t="str">
        <f>H18</f>
        <v>Mainline North Apartments</v>
      </c>
      <c r="J184" s="2160"/>
      <c r="K184" s="2160"/>
      <c r="L184" s="2160"/>
      <c r="M184" s="2160"/>
      <c r="N184" s="2160"/>
      <c r="O184" s="2160"/>
      <c r="P184" s="2160"/>
      <c r="Q184" s="2160"/>
      <c r="R184" s="2160"/>
      <c r="S184" s="2160"/>
      <c r="T184" s="2160"/>
      <c r="U184" s="2160"/>
      <c r="V184" s="2160"/>
      <c r="W184" s="2160"/>
      <c r="X184" s="2160"/>
      <c r="Y184" s="2160"/>
      <c r="Z184" s="2160"/>
      <c r="AA184" s="2160"/>
      <c r="AB184" s="2160"/>
      <c r="AC184" s="2160"/>
      <c r="AD184" s="2160"/>
      <c r="AE184" s="2160"/>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3">
      <c r="A185" s="25"/>
      <c r="C185" s="45"/>
      <c r="D185" s="25" t="s">
        <v>613</v>
      </c>
      <c r="E185" s="25"/>
      <c r="F185" s="25"/>
      <c r="G185" s="25"/>
      <c r="H185" s="25"/>
      <c r="I185" s="2052" t="s">
        <v>2543</v>
      </c>
      <c r="J185" s="2052"/>
      <c r="K185" s="2052"/>
      <c r="L185" s="2052"/>
      <c r="M185" s="2052"/>
      <c r="N185" s="2052"/>
      <c r="O185" s="2052"/>
      <c r="P185" s="2052"/>
      <c r="Q185" s="2052"/>
      <c r="R185" s="2052"/>
      <c r="S185" s="2052"/>
      <c r="T185" s="2052"/>
      <c r="U185" s="2052"/>
      <c r="V185" s="2052"/>
      <c r="W185" s="2052"/>
      <c r="X185" s="2052"/>
      <c r="Y185" s="2052"/>
      <c r="Z185" s="2052"/>
      <c r="AA185" s="2052"/>
      <c r="AB185" s="2052"/>
      <c r="AC185" s="2052"/>
      <c r="AD185" s="2052"/>
      <c r="AE185" s="2052"/>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056"/>
      <c r="F187" s="2056"/>
      <c r="G187" s="2056"/>
      <c r="H187" s="2056"/>
      <c r="I187" s="2056"/>
      <c r="J187" s="2056"/>
      <c r="K187" s="2056"/>
      <c r="L187" s="2056"/>
      <c r="M187" s="2056"/>
      <c r="N187" s="2056"/>
      <c r="O187" s="2056"/>
      <c r="P187" s="2056"/>
      <c r="Q187" s="2056"/>
      <c r="R187" s="2056"/>
      <c r="S187" s="2056"/>
      <c r="T187" s="2056"/>
      <c r="U187" s="2056"/>
      <c r="V187" s="2056"/>
      <c r="W187" s="2056"/>
      <c r="X187" s="2056"/>
      <c r="Y187" s="2056"/>
      <c r="Z187" s="2056"/>
      <c r="AA187" s="2056"/>
      <c r="AB187" s="2056"/>
      <c r="AC187" s="2056"/>
      <c r="AD187" s="2056"/>
      <c r="AE187" s="2056"/>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057"/>
      <c r="F188" s="2057"/>
      <c r="G188" s="2057"/>
      <c r="H188" s="2057"/>
      <c r="I188" s="2057"/>
      <c r="J188" s="2057"/>
      <c r="K188" s="2057"/>
      <c r="L188" s="2057"/>
      <c r="M188" s="2057"/>
      <c r="N188" s="2057"/>
      <c r="O188" s="2057"/>
      <c r="P188" s="2057"/>
      <c r="Q188" s="2057"/>
      <c r="R188" s="2057"/>
      <c r="S188" s="2057"/>
      <c r="T188" s="2057"/>
      <c r="U188" s="2057"/>
      <c r="V188" s="2057"/>
      <c r="W188" s="2057"/>
      <c r="X188" s="2057"/>
      <c r="Y188" s="2057"/>
      <c r="Z188" s="2057"/>
      <c r="AA188" s="2057"/>
      <c r="AB188" s="2057"/>
      <c r="AC188" s="2057"/>
      <c r="AD188" s="2057"/>
      <c r="AE188" s="2057"/>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614</v>
      </c>
      <c r="E189" s="25"/>
      <c r="I189" s="2038" t="s">
        <v>198</v>
      </c>
      <c r="J189" s="2038"/>
      <c r="K189" s="2038"/>
      <c r="L189" s="2038"/>
      <c r="M189" s="2038"/>
      <c r="N189" s="2038"/>
      <c r="O189" s="2038"/>
      <c r="P189" s="2038"/>
      <c r="Q189" s="25" t="s">
        <v>616</v>
      </c>
      <c r="T189" s="2038" t="s">
        <v>198</v>
      </c>
      <c r="U189" s="2038"/>
      <c r="V189" s="2038"/>
      <c r="W189" s="2038"/>
      <c r="X189" s="2038"/>
      <c r="Y189" s="2038"/>
      <c r="Z189" s="2038"/>
      <c r="AA189" s="2038"/>
      <c r="AB189" s="2038"/>
      <c r="AC189" s="2038"/>
      <c r="AD189" s="2038"/>
      <c r="AE189" s="2038"/>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3">
      <c r="A190" s="25"/>
      <c r="C190" s="46"/>
      <c r="D190" s="25" t="s">
        <v>617</v>
      </c>
      <c r="E190" s="25"/>
      <c r="F190" s="25"/>
      <c r="G190" s="25"/>
      <c r="I190" s="2052">
        <v>95054</v>
      </c>
      <c r="J190" s="2052"/>
      <c r="K190" s="2052"/>
      <c r="L190" s="2052"/>
      <c r="M190" s="2052"/>
      <c r="N190" s="2052"/>
      <c r="O190" s="25" t="s">
        <v>619</v>
      </c>
      <c r="P190" s="25"/>
      <c r="Q190" s="25"/>
      <c r="R190" s="25"/>
      <c r="S190" s="25"/>
      <c r="T190" s="2223">
        <v>5050.01</v>
      </c>
      <c r="U190" s="2223"/>
      <c r="V190" s="2223"/>
      <c r="W190" s="2223"/>
      <c r="X190" s="2223"/>
      <c r="Y190" s="2223"/>
      <c r="Z190" s="2223"/>
      <c r="AA190" s="2223"/>
      <c r="AB190" s="2223"/>
      <c r="AC190" s="2223"/>
      <c r="AD190" s="2223"/>
      <c r="AE190" s="2223"/>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3">
      <c r="A191" s="25"/>
      <c r="C191" s="46"/>
      <c r="D191" s="25" t="s">
        <v>494</v>
      </c>
      <c r="E191" s="25"/>
      <c r="F191" s="25"/>
      <c r="G191" s="25"/>
      <c r="H191" s="25"/>
      <c r="I191" s="25"/>
      <c r="J191" s="25"/>
      <c r="K191" s="25"/>
      <c r="L191" s="25"/>
      <c r="M191" s="25"/>
      <c r="N191" s="2056" t="s">
        <v>2544</v>
      </c>
      <c r="O191" s="2056"/>
      <c r="P191" s="2056"/>
      <c r="Q191" s="2056"/>
      <c r="R191" s="2056"/>
      <c r="S191" s="2056"/>
      <c r="T191" s="2056"/>
      <c r="U191" s="2056"/>
      <c r="V191" s="2056"/>
      <c r="W191" s="2056"/>
      <c r="X191" s="2056"/>
      <c r="Y191" s="2056"/>
      <c r="Z191" s="2056"/>
      <c r="AA191" s="2056"/>
      <c r="AB191" s="2056"/>
      <c r="AC191" s="2056"/>
      <c r="AD191" s="2056"/>
      <c r="AE191" s="2056"/>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3">
      <c r="A192" s="25"/>
      <c r="C192" s="46"/>
      <c r="D192" s="25"/>
      <c r="E192" s="25"/>
      <c r="F192" s="25"/>
      <c r="G192" s="25"/>
      <c r="H192" s="25"/>
      <c r="I192" s="25"/>
      <c r="J192" s="25"/>
      <c r="K192" s="25"/>
      <c r="L192" s="25"/>
      <c r="M192" s="170"/>
      <c r="N192" s="2057"/>
      <c r="O192" s="2057"/>
      <c r="P192" s="2057"/>
      <c r="Q192" s="2057"/>
      <c r="R192" s="2057"/>
      <c r="S192" s="2057"/>
      <c r="T192" s="2057"/>
      <c r="U192" s="2057"/>
      <c r="V192" s="2057"/>
      <c r="W192" s="2057"/>
      <c r="X192" s="2057"/>
      <c r="Y192" s="2057"/>
      <c r="Z192" s="2057"/>
      <c r="AA192" s="2057"/>
      <c r="AB192" s="2057"/>
      <c r="AC192" s="2057"/>
      <c r="AD192" s="2057"/>
      <c r="AE192" s="2057"/>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3">
      <c r="A193" s="25"/>
      <c r="B193" s="719"/>
      <c r="C193" s="46"/>
      <c r="D193" s="687" t="s">
        <v>2013</v>
      </c>
      <c r="E193" s="25"/>
      <c r="F193" s="25"/>
      <c r="G193" s="25"/>
      <c r="H193" s="25"/>
      <c r="I193" s="25"/>
      <c r="J193" s="25"/>
      <c r="K193" s="25"/>
      <c r="L193" s="25"/>
      <c r="M193" s="170"/>
      <c r="N193" s="1518"/>
      <c r="O193" s="1518"/>
      <c r="P193" s="1518"/>
      <c r="Q193" s="1518"/>
      <c r="R193" s="1518"/>
      <c r="S193" s="1518"/>
      <c r="T193" s="2214"/>
      <c r="U193" s="2214"/>
      <c r="V193" s="2214"/>
      <c r="W193" s="2214"/>
      <c r="X193" s="2214"/>
      <c r="Y193" s="2214"/>
      <c r="Z193" s="2214"/>
      <c r="AA193" s="2214"/>
      <c r="AB193" s="2214"/>
      <c r="AC193" s="2214"/>
      <c r="AD193" s="2214"/>
      <c r="AE193" s="2214"/>
      <c r="AF193" s="2214"/>
      <c r="AG193" s="2214"/>
      <c r="AH193" s="2214"/>
      <c r="AI193" s="2214"/>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3">
      <c r="A194" s="25"/>
      <c r="C194" s="46"/>
      <c r="D194" s="25" t="s">
        <v>340</v>
      </c>
      <c r="E194" s="25"/>
      <c r="F194" s="25"/>
      <c r="G194" s="25"/>
      <c r="H194" s="25"/>
      <c r="I194" s="25"/>
      <c r="J194" s="25"/>
      <c r="K194" s="25"/>
      <c r="L194" s="25"/>
      <c r="M194" s="25"/>
      <c r="N194" s="25"/>
      <c r="O194" s="25"/>
      <c r="P194" s="25"/>
      <c r="Q194" s="25"/>
      <c r="R194" s="25"/>
      <c r="T194" s="2037" t="s">
        <v>577</v>
      </c>
      <c r="U194" s="2037"/>
      <c r="W194" s="25" t="s">
        <v>721</v>
      </c>
      <c r="X194" s="25"/>
      <c r="Y194" s="25"/>
      <c r="Z194" s="25"/>
      <c r="AA194" s="25"/>
      <c r="AB194" s="25"/>
      <c r="AC194" s="25"/>
      <c r="AD194" s="25"/>
      <c r="AE194" s="25"/>
      <c r="AF194" s="25"/>
      <c r="AG194" s="25"/>
      <c r="AH194" s="2037">
        <v>17</v>
      </c>
      <c r="AI194" s="2037"/>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044" t="s">
        <v>705</v>
      </c>
      <c r="U195" s="2044"/>
      <c r="V195" s="12"/>
      <c r="W195" s="25" t="s">
        <v>722</v>
      </c>
      <c r="X195" s="25"/>
      <c r="Y195" s="25"/>
      <c r="Z195" s="25"/>
      <c r="AA195" s="25"/>
      <c r="AB195" s="25"/>
      <c r="AC195" s="25"/>
      <c r="AD195" s="25"/>
      <c r="AE195" s="25"/>
      <c r="AF195" s="25"/>
      <c r="AG195" s="25"/>
      <c r="AH195" s="2037">
        <v>25</v>
      </c>
      <c r="AI195" s="2037"/>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771</v>
      </c>
      <c r="CR195" s="25"/>
    </row>
    <row r="196" spans="1:96" ht="13">
      <c r="A196" s="25"/>
      <c r="C196" s="46"/>
      <c r="D196" s="177" t="s">
        <v>174</v>
      </c>
      <c r="E196" s="25"/>
      <c r="F196" s="25"/>
      <c r="G196" s="25"/>
      <c r="H196" s="25"/>
      <c r="I196" s="25"/>
      <c r="J196" s="25"/>
      <c r="K196" s="25"/>
      <c r="L196" s="25"/>
      <c r="M196" s="25"/>
      <c r="N196" s="25"/>
      <c r="O196" s="25"/>
      <c r="P196" s="25"/>
      <c r="Q196" s="25"/>
      <c r="R196" s="25"/>
      <c r="T196" s="2044" t="s">
        <v>705</v>
      </c>
      <c r="U196" s="2044"/>
      <c r="W196" s="25" t="s">
        <v>723</v>
      </c>
      <c r="X196" s="25"/>
      <c r="Y196" s="25"/>
      <c r="Z196" s="25"/>
      <c r="AA196" s="25"/>
      <c r="AB196" s="25"/>
      <c r="AC196" s="25"/>
      <c r="AD196" s="25"/>
      <c r="AE196" s="25"/>
      <c r="AF196" s="25"/>
      <c r="AG196" s="25"/>
      <c r="AH196" s="2037">
        <v>10</v>
      </c>
      <c r="AI196" s="2037"/>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44"/>
      <c r="U197" s="2044"/>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7" t="s">
        <v>705</v>
      </c>
      <c r="Z198" s="2037"/>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160" t="s">
        <v>403</v>
      </c>
      <c r="E203" s="2160"/>
      <c r="F203" s="2160"/>
      <c r="G203" s="2160"/>
      <c r="H203" s="2160"/>
      <c r="I203" s="2160"/>
      <c r="J203" s="2160"/>
      <c r="K203" s="2160"/>
      <c r="L203" s="2160"/>
      <c r="M203" s="2160"/>
      <c r="P203" s="2231">
        <f>M26</f>
        <v>3365998</v>
      </c>
      <c r="Q203" s="2216"/>
      <c r="R203" s="2216"/>
      <c r="S203" s="2216"/>
      <c r="T203" s="2216"/>
      <c r="U203" s="2216"/>
      <c r="V203" s="25"/>
      <c r="W203" s="25"/>
      <c r="X203" s="25"/>
      <c r="Y203" s="25"/>
      <c r="Z203" s="2228" t="s">
        <v>1383</v>
      </c>
      <c r="AA203" s="2228"/>
      <c r="AB203" s="2228"/>
      <c r="AC203" s="2228"/>
      <c r="AD203" s="2228"/>
      <c r="AE203" s="2228"/>
      <c r="AF203" s="2228"/>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215" t="s">
        <v>1476</v>
      </c>
      <c r="E204" s="2160"/>
      <c r="F204" s="2160"/>
      <c r="G204" s="2160"/>
      <c r="H204" s="2160"/>
      <c r="I204" s="2160"/>
      <c r="J204" s="2160"/>
      <c r="K204" s="2160"/>
      <c r="L204" s="2160"/>
      <c r="M204" s="2160"/>
      <c r="P204" s="2216">
        <f>M27</f>
        <v>0</v>
      </c>
      <c r="Q204" s="2216"/>
      <c r="R204" s="2216"/>
      <c r="S204" s="2216"/>
      <c r="T204" s="2216"/>
      <c r="U204" s="2216"/>
      <c r="V204" s="47"/>
      <c r="W204" s="58" t="s">
        <v>2218</v>
      </c>
      <c r="Z204" s="2228"/>
      <c r="AA204" s="2228"/>
      <c r="AB204" s="2228"/>
      <c r="AC204" s="2228"/>
      <c r="AD204" s="2228"/>
      <c r="AE204" s="2228"/>
      <c r="AF204" s="2228"/>
      <c r="AG204" s="25" t="s">
        <v>1477</v>
      </c>
      <c r="AH204" s="25"/>
      <c r="AI204" s="25"/>
      <c r="AJ204" s="25"/>
      <c r="AK204" s="25"/>
      <c r="AL204" s="25"/>
      <c r="AM204" s="25"/>
      <c r="AN204" s="25"/>
      <c r="AO204" s="25"/>
      <c r="AP204" s="2037" t="s">
        <v>705</v>
      </c>
      <c r="AQ204" s="2037"/>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9"/>
      <c r="AA205" s="2229"/>
      <c r="AB205" s="2229"/>
      <c r="AC205" s="2229"/>
      <c r="AD205" s="2229"/>
      <c r="AE205" s="2229"/>
      <c r="AF205" s="2229"/>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3">
      <c r="A207" s="25"/>
      <c r="C207" s="45"/>
      <c r="D207" s="2208" t="s">
        <v>2522</v>
      </c>
      <c r="E207" s="2208"/>
      <c r="F207" s="2208"/>
      <c r="G207" s="2208"/>
      <c r="H207" s="2208"/>
      <c r="I207" s="2208"/>
      <c r="J207" s="2208"/>
      <c r="K207" s="2208"/>
      <c r="L207" s="2208"/>
      <c r="M207" s="220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3">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3">
      <c r="C210" s="45"/>
      <c r="D210" s="2208" t="s">
        <v>2384</v>
      </c>
      <c r="E210" s="2208"/>
      <c r="F210" s="2208"/>
      <c r="G210" s="2208"/>
      <c r="H210" s="2208"/>
      <c r="I210" s="2208"/>
      <c r="J210" s="2208"/>
      <c r="K210" s="2208"/>
      <c r="L210" s="2208"/>
      <c r="M210" s="220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7"/>
      <c r="Z211" s="2037"/>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079" t="s">
        <v>625</v>
      </c>
      <c r="E213" s="2079"/>
      <c r="F213" s="2079"/>
      <c r="G213" s="2079"/>
      <c r="H213" s="2079"/>
      <c r="I213" s="2079"/>
      <c r="J213" s="2079"/>
      <c r="K213" s="2079"/>
      <c r="L213" s="2079"/>
      <c r="M213" s="2079"/>
      <c r="N213" s="2079"/>
      <c r="O213" s="2079"/>
      <c r="P213" s="2079"/>
      <c r="Q213" s="2079"/>
      <c r="R213" s="2079"/>
      <c r="S213" s="2079"/>
      <c r="T213" s="2079"/>
      <c r="U213" s="2079"/>
      <c r="V213" s="2079"/>
      <c r="W213" s="2079"/>
      <c r="X213" s="2079"/>
      <c r="Y213" s="2079"/>
      <c r="Z213" s="2079"/>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3">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78"/>
      <c r="AC214" s="2078"/>
      <c r="AD214" s="2078"/>
      <c r="AE214" s="2078"/>
      <c r="AF214" s="2078"/>
      <c r="AG214" s="2078"/>
      <c r="AH214" s="2078"/>
      <c r="AI214" s="2078"/>
      <c r="AJ214" s="2078"/>
      <c r="AK214" s="2078"/>
      <c r="AL214" s="2078"/>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078"/>
      <c r="AC215" s="2078"/>
      <c r="AD215" s="2078"/>
      <c r="AE215" s="2078"/>
      <c r="AF215" s="2078"/>
      <c r="AG215" s="2078"/>
      <c r="AH215" s="2078"/>
      <c r="AI215" s="2078"/>
      <c r="AJ215" s="2078"/>
      <c r="AK215" s="2078"/>
      <c r="AL215" s="2078"/>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08" t="s">
        <v>1138</v>
      </c>
      <c r="E219" s="2208"/>
      <c r="F219" s="2208"/>
      <c r="G219" s="2208"/>
      <c r="H219" s="2208"/>
      <c r="I219" s="2208"/>
      <c r="J219" s="2208"/>
      <c r="K219" s="2208"/>
      <c r="L219" s="2208"/>
      <c r="M219" s="2208"/>
      <c r="N219" s="2208"/>
      <c r="O219" s="2208"/>
      <c r="P219" s="2208"/>
      <c r="Q219" s="2208"/>
      <c r="R219" s="2208"/>
      <c r="S219" s="2208"/>
      <c r="T219" s="2208"/>
      <c r="U219" s="2208"/>
      <c r="V219" s="2208"/>
      <c r="W219" s="2208"/>
      <c r="X219" s="2208"/>
      <c r="Y219" s="2208"/>
      <c r="Z219" s="220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048" t="s">
        <v>572</v>
      </c>
      <c r="B221" s="2048"/>
      <c r="C221" s="2048"/>
      <c r="D221" s="2048"/>
      <c r="E221" s="2048"/>
      <c r="F221" s="2048"/>
      <c r="G221" s="2048"/>
      <c r="H221" s="2048"/>
      <c r="I221" s="2048"/>
      <c r="J221" s="2048"/>
      <c r="K221" s="2048"/>
      <c r="L221" s="2048"/>
      <c r="M221" s="2048"/>
      <c r="N221" s="2048"/>
      <c r="O221" s="2048"/>
      <c r="P221" s="2048"/>
      <c r="Q221" s="2048"/>
      <c r="R221" s="2048"/>
      <c r="S221" s="2048"/>
      <c r="T221" s="2048"/>
      <c r="U221" s="2048"/>
      <c r="V221" s="2048"/>
      <c r="W221" s="2048"/>
      <c r="X221" s="2048"/>
      <c r="Y221" s="2048"/>
      <c r="Z221" s="2048"/>
      <c r="AA221" s="2048"/>
      <c r="AB221" s="2048"/>
      <c r="AC221" s="2048"/>
      <c r="AD221" s="2048"/>
      <c r="AE221" s="2048"/>
      <c r="AF221" s="2048"/>
      <c r="AG221" s="2048"/>
      <c r="AH221" s="2048"/>
      <c r="AI221" s="2048"/>
      <c r="AJ221" s="2048"/>
      <c r="AK221" s="2048"/>
      <c r="AL221" s="2048"/>
      <c r="AM221" s="144"/>
      <c r="AN221" s="144"/>
      <c r="AO221" s="144"/>
      <c r="AP221" s="144"/>
      <c r="AQ221" s="144"/>
      <c r="AR221" s="144"/>
      <c r="AS221" s="144"/>
      <c r="AT221" s="144"/>
      <c r="AU221" s="144"/>
      <c r="AV221" s="144"/>
      <c r="AW221" s="144"/>
      <c r="AX221" s="144"/>
      <c r="AY221" s="144"/>
      <c r="BA221" s="58"/>
    </row>
    <row r="222" spans="1:96" ht="13.5" thickBot="1">
      <c r="A222" s="2049"/>
      <c r="B222" s="2049"/>
      <c r="C222" s="2049"/>
      <c r="D222" s="2049"/>
      <c r="E222" s="2049"/>
      <c r="F222" s="2049"/>
      <c r="G222" s="2049"/>
      <c r="H222" s="2049"/>
      <c r="I222" s="2049"/>
      <c r="J222" s="2049"/>
      <c r="K222" s="2049"/>
      <c r="L222" s="2049"/>
      <c r="M222" s="2049"/>
      <c r="N222" s="2049"/>
      <c r="O222" s="2049"/>
      <c r="P222" s="2049"/>
      <c r="Q222" s="2049"/>
      <c r="R222" s="2049"/>
      <c r="S222" s="2049"/>
      <c r="T222" s="2049"/>
      <c r="U222" s="2049"/>
      <c r="V222" s="2049"/>
      <c r="W222" s="2049"/>
      <c r="X222" s="2049"/>
      <c r="Y222" s="2049"/>
      <c r="Z222" s="2049"/>
      <c r="AA222" s="2049"/>
      <c r="AB222" s="2049"/>
      <c r="AC222" s="2049"/>
      <c r="AD222" s="2049"/>
      <c r="AE222" s="2049"/>
      <c r="AF222" s="2049"/>
      <c r="AG222" s="2049"/>
      <c r="AH222" s="2049"/>
      <c r="AI222" s="2049"/>
      <c r="AJ222" s="2049"/>
      <c r="AK222" s="2049"/>
      <c r="AL222" s="2049"/>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7" t="s">
        <v>625</v>
      </c>
      <c r="AJ225" s="2037"/>
      <c r="AL225" s="58"/>
      <c r="AM225" s="239"/>
      <c r="AN225" s="239"/>
      <c r="AO225" s="239"/>
      <c r="AP225" s="239"/>
      <c r="AQ225" s="239"/>
      <c r="AR225" s="239"/>
      <c r="AS225" s="239"/>
      <c r="AT225" s="239"/>
      <c r="AU225" s="239"/>
      <c r="AV225" s="239"/>
      <c r="AW225" s="239"/>
      <c r="AX225" s="239"/>
      <c r="AY225" s="239"/>
      <c r="BO225" s="61"/>
    </row>
    <row r="226" spans="1:69" ht="12.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7" t="s">
        <v>625</v>
      </c>
      <c r="AJ226" s="2037"/>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7" t="s">
        <v>577</v>
      </c>
      <c r="AJ227" s="2037"/>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7" t="s">
        <v>625</v>
      </c>
      <c r="AJ228" s="2037"/>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3">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5">
      <c r="D231" s="57" t="s">
        <v>502</v>
      </c>
      <c r="E231" s="57"/>
      <c r="F231" s="57"/>
      <c r="G231" s="57"/>
      <c r="H231" s="57"/>
      <c r="I231" s="57"/>
      <c r="J231" s="57"/>
      <c r="K231" s="7"/>
      <c r="M231" s="2217" t="str">
        <f>H16</f>
        <v>Mainline North 701, L.P.</v>
      </c>
      <c r="N231" s="2217"/>
      <c r="O231" s="2217"/>
      <c r="P231" s="2217"/>
      <c r="Q231" s="2217"/>
      <c r="R231" s="2217"/>
      <c r="S231" s="2217"/>
      <c r="T231" s="2217"/>
      <c r="U231" s="2217"/>
      <c r="V231" s="2217"/>
      <c r="W231" s="2217"/>
      <c r="X231" s="2217"/>
      <c r="Y231" s="2217"/>
      <c r="Z231" s="2217"/>
      <c r="AA231" s="2217"/>
      <c r="AB231" s="2217"/>
      <c r="AC231" s="2217"/>
      <c r="AD231" s="2217"/>
      <c r="AE231" s="2217"/>
      <c r="AF231" s="2217"/>
      <c r="AG231" s="2217"/>
      <c r="AH231" s="2217"/>
      <c r="AI231" s="2217"/>
      <c r="AJ231" s="2217"/>
      <c r="AK231" s="2217"/>
      <c r="BA231" s="58"/>
      <c r="BB231" s="384"/>
      <c r="BG231" s="387"/>
      <c r="BQ231" s="61"/>
    </row>
    <row r="232" spans="1:69" ht="13">
      <c r="D232" s="57" t="s">
        <v>90</v>
      </c>
      <c r="E232" s="57"/>
      <c r="F232" s="57"/>
      <c r="G232" s="57"/>
      <c r="H232" s="57"/>
      <c r="I232" s="57"/>
      <c r="J232" s="57"/>
      <c r="K232" s="7"/>
      <c r="M232" s="2050" t="s">
        <v>2562</v>
      </c>
      <c r="N232" s="2050"/>
      <c r="O232" s="2050"/>
      <c r="P232" s="2050"/>
      <c r="Q232" s="2050"/>
      <c r="R232" s="2050"/>
      <c r="S232" s="2050"/>
      <c r="T232" s="2050"/>
      <c r="U232" s="2050"/>
      <c r="V232" s="2050"/>
      <c r="W232" s="2050"/>
      <c r="X232" s="2050"/>
      <c r="Y232" s="2050"/>
      <c r="Z232" s="2050"/>
      <c r="AA232" s="2050"/>
      <c r="AB232" s="2050"/>
      <c r="AC232" s="2050"/>
      <c r="AD232" s="2050"/>
      <c r="AE232" s="2050"/>
      <c r="AZ232" s="7"/>
      <c r="BA232" s="58"/>
      <c r="BB232" s="334" t="s">
        <v>570</v>
      </c>
      <c r="BG232" s="389">
        <f>IF(AND(AND($M$248="nonprofit",$M$256="nonprofit",$M$264="for profit")),2,0)</f>
        <v>0</v>
      </c>
      <c r="BQ232" s="61"/>
    </row>
    <row r="233" spans="1:69" ht="13">
      <c r="D233" s="57" t="s">
        <v>614</v>
      </c>
      <c r="E233" s="57"/>
      <c r="M233" s="2050" t="s">
        <v>2566</v>
      </c>
      <c r="N233" s="2208"/>
      <c r="O233" s="2208"/>
      <c r="P233" s="2208"/>
      <c r="Q233" s="2208"/>
      <c r="R233" s="2208"/>
      <c r="S233" s="2208"/>
      <c r="T233" s="2208"/>
      <c r="V233" s="59" t="s">
        <v>91</v>
      </c>
      <c r="W233" s="2051" t="s">
        <v>2567</v>
      </c>
      <c r="X233" s="2171"/>
      <c r="Y233" s="57" t="s">
        <v>617</v>
      </c>
      <c r="AC233" s="2208">
        <v>95661</v>
      </c>
      <c r="AD233" s="2208"/>
      <c r="AE233" s="2208"/>
      <c r="BB233" s="334" t="s">
        <v>570</v>
      </c>
      <c r="BG233" s="389">
        <f>IF(AND(AND($M$248="nonprofit",$M$256="for profit",$M$264="nonprofit")),2,0)</f>
        <v>0</v>
      </c>
    </row>
    <row r="234" spans="1:69" ht="13">
      <c r="D234" s="60" t="s">
        <v>92</v>
      </c>
      <c r="E234" s="7"/>
      <c r="F234" s="7"/>
      <c r="G234" s="7"/>
      <c r="H234" s="7"/>
      <c r="I234" s="7"/>
      <c r="J234" s="7"/>
      <c r="K234" s="29"/>
      <c r="M234" s="2050" t="s">
        <v>2568</v>
      </c>
      <c r="N234" s="2208"/>
      <c r="O234" s="2208"/>
      <c r="P234" s="2208"/>
      <c r="Q234" s="2208"/>
      <c r="R234" s="2208"/>
      <c r="S234" s="2208"/>
      <c r="T234" s="2208"/>
      <c r="U234" s="2208"/>
      <c r="V234" s="2208"/>
      <c r="W234" s="2208"/>
      <c r="X234" s="2208"/>
      <c r="Y234" s="2208"/>
      <c r="Z234" s="2208"/>
      <c r="AA234" s="2208"/>
      <c r="AB234" s="2208"/>
      <c r="AC234" s="2208"/>
      <c r="AD234" s="2208"/>
      <c r="AE234" s="2208"/>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092">
        <v>9168653981</v>
      </c>
      <c r="N235" s="2092"/>
      <c r="O235" s="2092"/>
      <c r="P235" s="2092"/>
      <c r="Q235" s="2092"/>
      <c r="R235" s="2092"/>
      <c r="S235" s="7" t="s">
        <v>212</v>
      </c>
      <c r="T235" s="7"/>
      <c r="U235" s="2171"/>
      <c r="V235" s="2171"/>
      <c r="W235" s="2171"/>
      <c r="X235" s="7" t="s">
        <v>94</v>
      </c>
      <c r="Z235" s="2092"/>
      <c r="AA235" s="2092"/>
      <c r="AB235" s="2092"/>
      <c r="AC235" s="2092"/>
      <c r="AD235" s="2092"/>
      <c r="AE235" s="2092"/>
      <c r="BB235" s="385"/>
      <c r="BG235" s="386"/>
    </row>
    <row r="236" spans="1:69" ht="12.5">
      <c r="D236" s="60" t="s">
        <v>95</v>
      </c>
      <c r="E236" s="7"/>
      <c r="F236" s="7"/>
      <c r="M236" s="2203" t="s">
        <v>2569</v>
      </c>
      <c r="N236" s="2203"/>
      <c r="O236" s="2203"/>
      <c r="P236" s="2203"/>
      <c r="Q236" s="2203"/>
      <c r="R236" s="2203"/>
      <c r="S236" s="2203"/>
      <c r="T236" s="2203"/>
      <c r="U236" s="2203"/>
      <c r="V236" s="2203"/>
      <c r="W236" s="2203"/>
      <c r="X236" s="2203"/>
      <c r="Y236" s="2203"/>
      <c r="Z236" s="2203"/>
      <c r="AA236" s="2203"/>
      <c r="AB236" s="2203"/>
      <c r="AC236" s="2203"/>
      <c r="AD236" s="2203"/>
      <c r="AE236" s="220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052" t="s">
        <v>560</v>
      </c>
      <c r="N237" s="2052"/>
      <c r="O237" s="2052"/>
      <c r="P237" s="2052"/>
      <c r="Q237" s="2052"/>
      <c r="R237" s="2052"/>
      <c r="S237" s="2052"/>
      <c r="T237" s="2052"/>
      <c r="U237" s="387" t="s">
        <v>974</v>
      </c>
      <c r="V237" s="325"/>
      <c r="W237" s="325"/>
      <c r="X237" s="325"/>
      <c r="Y237" s="325"/>
      <c r="Z237" s="325"/>
      <c r="AA237" s="2218" t="s">
        <v>2570</v>
      </c>
      <c r="AB237" s="2219"/>
      <c r="AC237" s="2219"/>
      <c r="AD237" s="2219"/>
      <c r="AE237" s="2219"/>
      <c r="AF237" s="2219"/>
      <c r="AG237" s="2219"/>
      <c r="AH237" s="2219"/>
      <c r="AI237" s="2219"/>
      <c r="AJ237" s="2219"/>
      <c r="AK237" s="2219"/>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5">
      <c r="D238" s="12" t="s">
        <v>563</v>
      </c>
      <c r="M238" s="2038"/>
      <c r="N238" s="2038"/>
      <c r="O238" s="2038"/>
      <c r="P238" s="2038"/>
      <c r="Q238" s="2038"/>
      <c r="R238" s="2038"/>
      <c r="S238" s="2038"/>
      <c r="T238" s="2038"/>
      <c r="U238" s="2038"/>
      <c r="V238" s="2038"/>
      <c r="W238" s="2038"/>
      <c r="X238" s="2038"/>
      <c r="Y238" s="2038"/>
      <c r="Z238" s="2038"/>
      <c r="AA238" s="2038"/>
      <c r="AB238" s="2038"/>
      <c r="AC238" s="2038"/>
      <c r="AD238" s="2038"/>
      <c r="AE238" s="203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5">
      <c r="D239" s="60"/>
      <c r="K239" s="3"/>
      <c r="BB239" s="383" t="s">
        <v>941</v>
      </c>
      <c r="BG239" s="389">
        <f>IF(AND(AND($M$248="for profit",$M$256="for profit",$M$264="(select one)")),3,0)</f>
        <v>0</v>
      </c>
    </row>
    <row r="240" spans="1:69" ht="13">
      <c r="A240" s="50" t="s">
        <v>623</v>
      </c>
      <c r="C240" s="50" t="s">
        <v>1382</v>
      </c>
      <c r="D240" s="60"/>
      <c r="K240" s="3"/>
      <c r="L240" s="14"/>
      <c r="M240" s="14"/>
      <c r="N240" s="14"/>
      <c r="BB240" s="383" t="s">
        <v>941</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206" t="s">
        <v>2572</v>
      </c>
      <c r="N242" s="2205"/>
      <c r="O242" s="2205"/>
      <c r="P242" s="2205"/>
      <c r="Q242" s="2205"/>
      <c r="R242" s="2205"/>
      <c r="S242" s="2205"/>
      <c r="T242" s="2205"/>
      <c r="U242" s="2205"/>
      <c r="V242" s="2205"/>
      <c r="W242" s="2205"/>
      <c r="X242" s="2205"/>
      <c r="Y242" s="2205"/>
      <c r="Z242" s="2205"/>
      <c r="AA242" s="2205"/>
      <c r="AB242" s="2205"/>
      <c r="AC242" s="2205"/>
      <c r="AD242" s="2205"/>
      <c r="AE242" s="2205"/>
      <c r="AF242" s="2205" t="s">
        <v>2571</v>
      </c>
      <c r="AG242" s="2205"/>
      <c r="AH242" s="2205"/>
      <c r="AI242" s="2205"/>
      <c r="AJ242" s="2205"/>
      <c r="AK242" s="2205"/>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50" t="s">
        <v>2562</v>
      </c>
      <c r="N243" s="2050"/>
      <c r="O243" s="2050"/>
      <c r="P243" s="2050"/>
      <c r="Q243" s="2050"/>
      <c r="R243" s="2050"/>
      <c r="S243" s="2050"/>
      <c r="T243" s="2050"/>
      <c r="U243" s="2050"/>
      <c r="V243" s="2050"/>
      <c r="W243" s="2050"/>
      <c r="X243" s="2050"/>
      <c r="Y243" s="2050"/>
      <c r="Z243" s="2050"/>
      <c r="AA243" s="2050"/>
      <c r="AB243" s="2050"/>
      <c r="AC243" s="2050"/>
      <c r="AD243" s="2050"/>
      <c r="AE243" s="2050"/>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614</v>
      </c>
      <c r="E244" s="57"/>
      <c r="M244" s="2050" t="s">
        <v>2566</v>
      </c>
      <c r="N244" s="2208"/>
      <c r="O244" s="2208"/>
      <c r="P244" s="2208"/>
      <c r="Q244" s="2208"/>
      <c r="R244" s="2208"/>
      <c r="S244" s="2208"/>
      <c r="T244" s="2208"/>
      <c r="V244" s="59" t="s">
        <v>91</v>
      </c>
      <c r="W244" s="2051" t="s">
        <v>2567</v>
      </c>
      <c r="X244" s="2171"/>
      <c r="Y244" s="57" t="s">
        <v>617</v>
      </c>
      <c r="AC244" s="2208">
        <v>95661</v>
      </c>
      <c r="AD244" s="2208"/>
      <c r="AE244" s="2208"/>
      <c r="AF244" s="58" t="s">
        <v>1379</v>
      </c>
      <c r="AG244" s="719"/>
      <c r="AH244" s="719"/>
      <c r="AI244" s="719"/>
      <c r="AJ244" s="719"/>
      <c r="AK244" s="719"/>
      <c r="BB244" s="12" t="s">
        <v>316</v>
      </c>
      <c r="BG244" s="12">
        <v>1</v>
      </c>
      <c r="BH244" s="12" t="s">
        <v>566</v>
      </c>
      <c r="BM244" s="25"/>
      <c r="BN244" s="3"/>
      <c r="BO244" s="3"/>
    </row>
    <row r="245" spans="1:72" ht="12.5">
      <c r="A245" s="29"/>
      <c r="B245" s="7"/>
      <c r="C245" s="7"/>
      <c r="D245" s="60" t="s">
        <v>92</v>
      </c>
      <c r="E245" s="7"/>
      <c r="F245" s="7"/>
      <c r="G245" s="7"/>
      <c r="H245" s="7"/>
      <c r="I245" s="7"/>
      <c r="J245" s="7"/>
      <c r="K245" s="7"/>
      <c r="L245" s="29"/>
      <c r="M245" s="2050" t="s">
        <v>2568</v>
      </c>
      <c r="N245" s="2208"/>
      <c r="O245" s="2208"/>
      <c r="P245" s="2208"/>
      <c r="Q245" s="2208"/>
      <c r="R245" s="2208"/>
      <c r="S245" s="2208"/>
      <c r="T245" s="2208"/>
      <c r="U245" s="2208"/>
      <c r="V245" s="2208"/>
      <c r="W245" s="2208"/>
      <c r="X245" s="2208"/>
      <c r="Y245" s="2208"/>
      <c r="Z245" s="2208"/>
      <c r="AA245" s="2208"/>
      <c r="AB245" s="2208"/>
      <c r="AC245" s="2208"/>
      <c r="AD245" s="2208"/>
      <c r="AE245" s="2208"/>
      <c r="AH245" s="2093">
        <v>8.9999999999999993E-3</v>
      </c>
      <c r="AI245" s="2093"/>
      <c r="AJ245" s="2093"/>
      <c r="AK245" s="2093"/>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5">
      <c r="A246" s="29"/>
      <c r="B246" s="7"/>
      <c r="C246" s="7"/>
      <c r="D246" s="60" t="s">
        <v>93</v>
      </c>
      <c r="E246" s="7"/>
      <c r="F246" s="7"/>
      <c r="M246" s="2092">
        <v>9168653982</v>
      </c>
      <c r="N246" s="2092"/>
      <c r="O246" s="2092"/>
      <c r="P246" s="2092"/>
      <c r="Q246" s="2092"/>
      <c r="R246" s="2092"/>
      <c r="S246" s="7" t="s">
        <v>212</v>
      </c>
      <c r="T246" s="7"/>
      <c r="U246" s="2171"/>
      <c r="V246" s="2171"/>
      <c r="W246" s="2171"/>
      <c r="X246" s="7" t="s">
        <v>94</v>
      </c>
      <c r="Z246" s="2092"/>
      <c r="AA246" s="2092"/>
      <c r="AB246" s="2092"/>
      <c r="AC246" s="2092"/>
      <c r="AD246" s="2092"/>
      <c r="AE246" s="2092"/>
      <c r="BB246" s="7" t="s">
        <v>178</v>
      </c>
      <c r="BG246" s="12">
        <v>3</v>
      </c>
      <c r="BH246" s="12" t="s">
        <v>568</v>
      </c>
      <c r="BN246" s="390"/>
      <c r="BO246" s="39"/>
    </row>
    <row r="247" spans="1:72" ht="12.5">
      <c r="A247" s="29"/>
      <c r="B247" s="7"/>
      <c r="C247" s="7"/>
      <c r="D247" s="60" t="s">
        <v>95</v>
      </c>
      <c r="E247" s="7"/>
      <c r="F247" s="7"/>
      <c r="M247" s="2203" t="s">
        <v>2569</v>
      </c>
      <c r="N247" s="2203"/>
      <c r="O247" s="2203"/>
      <c r="P247" s="2203"/>
      <c r="Q247" s="2203"/>
      <c r="R247" s="2203"/>
      <c r="S247" s="2203"/>
      <c r="T247" s="2203"/>
      <c r="U247" s="2203"/>
      <c r="V247" s="2203"/>
      <c r="W247" s="2203"/>
      <c r="X247" s="2203"/>
      <c r="Y247" s="2203"/>
      <c r="Z247" s="2203"/>
      <c r="AA247" s="2203"/>
      <c r="AB247" s="2203"/>
      <c r="AC247" s="2203"/>
      <c r="AD247" s="2203"/>
      <c r="AE247" s="220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52" t="s">
        <v>568</v>
      </c>
      <c r="N248" s="2052"/>
      <c r="O248" s="2052"/>
      <c r="P248" s="2052"/>
      <c r="Q248" s="2052"/>
      <c r="R248" s="2052"/>
      <c r="S248" s="2052"/>
      <c r="T248" s="2052"/>
      <c r="U248" s="387" t="s">
        <v>974</v>
      </c>
      <c r="V248" s="325"/>
      <c r="W248" s="325"/>
      <c r="X248" s="325"/>
      <c r="Y248" s="325"/>
      <c r="Z248" s="325"/>
      <c r="AA248" s="2218" t="s">
        <v>2570</v>
      </c>
      <c r="AB248" s="2219"/>
      <c r="AC248" s="2219"/>
      <c r="AD248" s="2219"/>
      <c r="AE248" s="2219"/>
      <c r="AF248" s="2219"/>
      <c r="AG248" s="2219"/>
      <c r="AH248" s="2219"/>
      <c r="AI248" s="2219"/>
      <c r="AJ248" s="2219"/>
      <c r="AK248" s="2219"/>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1033</v>
      </c>
      <c r="E250" s="57"/>
      <c r="F250" s="57"/>
      <c r="G250" s="57"/>
      <c r="H250" s="57"/>
      <c r="I250" s="57"/>
      <c r="J250" s="57"/>
      <c r="K250" s="57"/>
      <c r="L250" s="7"/>
      <c r="M250" s="2206" t="s">
        <v>2575</v>
      </c>
      <c r="N250" s="2206"/>
      <c r="O250" s="2206"/>
      <c r="P250" s="2206"/>
      <c r="Q250" s="2206"/>
      <c r="R250" s="2206"/>
      <c r="S250" s="2206"/>
      <c r="T250" s="2206"/>
      <c r="U250" s="2206"/>
      <c r="V250" s="2206"/>
      <c r="W250" s="2206"/>
      <c r="X250" s="2206"/>
      <c r="Y250" s="2206"/>
      <c r="Z250" s="2206"/>
      <c r="AA250" s="2206"/>
      <c r="AB250" s="2206"/>
      <c r="AC250" s="2206"/>
      <c r="AD250" s="2206"/>
      <c r="AE250" s="2206"/>
      <c r="AF250" s="2205" t="s">
        <v>2573</v>
      </c>
      <c r="AG250" s="2205"/>
      <c r="AH250" s="2205"/>
      <c r="AI250" s="2205"/>
      <c r="AJ250" s="2205"/>
      <c r="AK250" s="2205"/>
      <c r="BN250" s="61"/>
    </row>
    <row r="251" spans="1:72" ht="12.5">
      <c r="A251" s="29"/>
      <c r="B251" s="7"/>
      <c r="C251" s="7"/>
      <c r="D251" s="57" t="s">
        <v>90</v>
      </c>
      <c r="E251" s="57"/>
      <c r="F251" s="57"/>
      <c r="G251" s="57"/>
      <c r="H251" s="57"/>
      <c r="I251" s="57"/>
      <c r="J251" s="57"/>
      <c r="K251" s="57"/>
      <c r="L251" s="7"/>
      <c r="M251" s="2050" t="s">
        <v>2576</v>
      </c>
      <c r="N251" s="2050"/>
      <c r="O251" s="2050"/>
      <c r="P251" s="2050"/>
      <c r="Q251" s="2050"/>
      <c r="R251" s="2050"/>
      <c r="S251" s="2050"/>
      <c r="T251" s="2050"/>
      <c r="U251" s="2050"/>
      <c r="V251" s="2050"/>
      <c r="W251" s="2050"/>
      <c r="X251" s="2050"/>
      <c r="Y251" s="2050"/>
      <c r="Z251" s="2050"/>
      <c r="AA251" s="2050"/>
      <c r="AB251" s="2050"/>
      <c r="AC251" s="2050"/>
      <c r="AD251" s="2050"/>
      <c r="AE251" s="2050"/>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614</v>
      </c>
      <c r="E252" s="57"/>
      <c r="M252" s="2050" t="s">
        <v>2577</v>
      </c>
      <c r="N252" s="2208"/>
      <c r="O252" s="2208"/>
      <c r="P252" s="2208"/>
      <c r="Q252" s="2208"/>
      <c r="R252" s="2208"/>
      <c r="S252" s="2208"/>
      <c r="T252" s="2208"/>
      <c r="V252" s="59" t="s">
        <v>91</v>
      </c>
      <c r="W252" s="2051" t="s">
        <v>2567</v>
      </c>
      <c r="X252" s="2171"/>
      <c r="Y252" s="57" t="s">
        <v>617</v>
      </c>
      <c r="AC252" s="2208">
        <v>92780</v>
      </c>
      <c r="AD252" s="2208"/>
      <c r="AE252" s="2208"/>
      <c r="AF252" s="58" t="s">
        <v>1379</v>
      </c>
      <c r="AG252" s="719"/>
      <c r="AH252" s="719"/>
      <c r="AI252" s="719"/>
      <c r="AJ252" s="719"/>
      <c r="AK252" s="719"/>
      <c r="BN252" s="61"/>
    </row>
    <row r="253" spans="1:72" ht="12.5">
      <c r="A253" s="29"/>
      <c r="B253" s="7"/>
      <c r="C253" s="7"/>
      <c r="D253" s="60" t="s">
        <v>92</v>
      </c>
      <c r="E253" s="7"/>
      <c r="F253" s="7"/>
      <c r="G253" s="7"/>
      <c r="H253" s="7"/>
      <c r="I253" s="7"/>
      <c r="J253" s="7"/>
      <c r="K253" s="7"/>
      <c r="L253" s="29"/>
      <c r="M253" s="2050" t="s">
        <v>2578</v>
      </c>
      <c r="N253" s="2208"/>
      <c r="O253" s="2208"/>
      <c r="P253" s="2208"/>
      <c r="Q253" s="2208"/>
      <c r="R253" s="2208"/>
      <c r="S253" s="2208"/>
      <c r="T253" s="2208"/>
      <c r="U253" s="2208"/>
      <c r="V253" s="2208"/>
      <c r="W253" s="2208"/>
      <c r="X253" s="2208"/>
      <c r="Y253" s="2208"/>
      <c r="Z253" s="2208"/>
      <c r="AA253" s="2208"/>
      <c r="AB253" s="2208"/>
      <c r="AC253" s="2208"/>
      <c r="AD253" s="2208"/>
      <c r="AE253" s="2208"/>
      <c r="AF253" s="719"/>
      <c r="AG253" s="719"/>
      <c r="AH253" s="2093">
        <v>1E-3</v>
      </c>
      <c r="AI253" s="2093"/>
      <c r="AJ253" s="2093"/>
      <c r="AK253" s="2093"/>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92">
        <v>7146281654</v>
      </c>
      <c r="N254" s="2092"/>
      <c r="O254" s="2092"/>
      <c r="P254" s="2092"/>
      <c r="Q254" s="2092"/>
      <c r="R254" s="2092"/>
      <c r="S254" s="7" t="s">
        <v>212</v>
      </c>
      <c r="T254" s="7"/>
      <c r="U254" s="2171"/>
      <c r="V254" s="2171"/>
      <c r="W254" s="2171"/>
      <c r="X254" s="7" t="s">
        <v>94</v>
      </c>
      <c r="Z254" s="2092"/>
      <c r="AA254" s="2092"/>
      <c r="AB254" s="2092"/>
      <c r="AC254" s="2092"/>
      <c r="AD254" s="2092"/>
      <c r="AE254" s="2092"/>
    </row>
    <row r="255" spans="1:72" ht="12.5">
      <c r="A255" s="29"/>
      <c r="B255" s="7"/>
      <c r="C255" s="7"/>
      <c r="D255" s="60" t="s">
        <v>95</v>
      </c>
      <c r="E255" s="7"/>
      <c r="F255" s="7"/>
      <c r="M255" s="2203" t="s">
        <v>2579</v>
      </c>
      <c r="N255" s="2203"/>
      <c r="O255" s="2203"/>
      <c r="P255" s="2203"/>
      <c r="Q255" s="2203"/>
      <c r="R255" s="2203"/>
      <c r="S255" s="2203"/>
      <c r="T255" s="2203"/>
      <c r="U255" s="2203"/>
      <c r="V255" s="2203"/>
      <c r="W255" s="2203"/>
      <c r="X255" s="2203"/>
      <c r="Y255" s="2203"/>
      <c r="Z255" s="2203"/>
      <c r="AA255" s="2203"/>
      <c r="AB255" s="2203"/>
      <c r="AC255" s="2203"/>
      <c r="AD255" s="2203"/>
      <c r="AE255" s="220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52" t="s">
        <v>566</v>
      </c>
      <c r="N256" s="2052"/>
      <c r="O256" s="2052"/>
      <c r="P256" s="2052"/>
      <c r="Q256" s="2052"/>
      <c r="R256" s="2052"/>
      <c r="S256" s="2052"/>
      <c r="T256" s="2052"/>
      <c r="U256" s="387" t="s">
        <v>974</v>
      </c>
      <c r="V256" s="325"/>
      <c r="W256" s="325"/>
      <c r="X256" s="325"/>
      <c r="Y256" s="325"/>
      <c r="Z256" s="325"/>
      <c r="AA256" s="2218" t="s">
        <v>2580</v>
      </c>
      <c r="AB256" s="2219"/>
      <c r="AC256" s="2219"/>
      <c r="AD256" s="2219"/>
      <c r="AE256" s="2219"/>
      <c r="AF256" s="2219"/>
      <c r="AG256" s="2219"/>
      <c r="AH256" s="2219"/>
      <c r="AI256" s="2219"/>
      <c r="AJ256" s="2219"/>
      <c r="AK256" s="221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05"/>
      <c r="N258" s="2205"/>
      <c r="O258" s="2205"/>
      <c r="P258" s="2205"/>
      <c r="Q258" s="2205"/>
      <c r="R258" s="2205"/>
      <c r="S258" s="2205"/>
      <c r="T258" s="2205"/>
      <c r="U258" s="2205"/>
      <c r="V258" s="2205"/>
      <c r="W258" s="2205"/>
      <c r="X258" s="2205"/>
      <c r="Y258" s="2205"/>
      <c r="Z258" s="2205"/>
      <c r="AA258" s="2205"/>
      <c r="AB258" s="2205"/>
      <c r="AC258" s="2205"/>
      <c r="AD258" s="2205"/>
      <c r="AE258" s="2205"/>
      <c r="AF258" s="2205" t="s">
        <v>316</v>
      </c>
      <c r="AG258" s="2205"/>
      <c r="AH258" s="2205"/>
      <c r="AI258" s="2205"/>
      <c r="AJ258" s="2205"/>
      <c r="AK258" s="220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8"/>
      <c r="N259" s="2208"/>
      <c r="O259" s="2208"/>
      <c r="P259" s="2208"/>
      <c r="Q259" s="2208"/>
      <c r="R259" s="2208"/>
      <c r="S259" s="2208"/>
      <c r="T259" s="2208"/>
      <c r="U259" s="2208"/>
      <c r="V259" s="2208"/>
      <c r="W259" s="2208"/>
      <c r="X259" s="2208"/>
      <c r="Y259" s="2208"/>
      <c r="Z259" s="2208"/>
      <c r="AA259" s="2208"/>
      <c r="AB259" s="2208"/>
      <c r="AC259" s="2208"/>
      <c r="AD259" s="2208"/>
      <c r="AE259" s="2208"/>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08"/>
      <c r="N260" s="2208"/>
      <c r="O260" s="2208"/>
      <c r="P260" s="2208"/>
      <c r="Q260" s="2208"/>
      <c r="R260" s="2208"/>
      <c r="S260" s="2208"/>
      <c r="T260" s="2208"/>
      <c r="V260" s="59" t="s">
        <v>91</v>
      </c>
      <c r="W260" s="2171"/>
      <c r="X260" s="2171"/>
      <c r="Y260" s="57" t="s">
        <v>617</v>
      </c>
      <c r="AC260" s="2208"/>
      <c r="AD260" s="2208"/>
      <c r="AE260" s="2208"/>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08"/>
      <c r="N261" s="2208"/>
      <c r="O261" s="2208"/>
      <c r="P261" s="2208"/>
      <c r="Q261" s="2208"/>
      <c r="R261" s="2208"/>
      <c r="S261" s="2208"/>
      <c r="T261" s="2208"/>
      <c r="U261" s="2208"/>
      <c r="V261" s="2208"/>
      <c r="W261" s="2208"/>
      <c r="X261" s="2208"/>
      <c r="Y261" s="2208"/>
      <c r="Z261" s="2208"/>
      <c r="AA261" s="2208"/>
      <c r="AB261" s="2208"/>
      <c r="AC261" s="2208"/>
      <c r="AD261" s="2208"/>
      <c r="AE261" s="2208"/>
      <c r="AF261" s="719"/>
      <c r="AG261" s="719"/>
      <c r="AH261" s="2093"/>
      <c r="AI261" s="2093"/>
      <c r="AJ261" s="2093"/>
      <c r="AK261" s="2093"/>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92"/>
      <c r="N262" s="2092"/>
      <c r="O262" s="2092"/>
      <c r="P262" s="2092"/>
      <c r="Q262" s="2092"/>
      <c r="R262" s="2092"/>
      <c r="S262" s="7" t="s">
        <v>212</v>
      </c>
      <c r="T262" s="7"/>
      <c r="U262" s="2171"/>
      <c r="V262" s="2171"/>
      <c r="W262" s="2171"/>
      <c r="X262" s="7" t="s">
        <v>94</v>
      </c>
      <c r="Z262" s="2092"/>
      <c r="AA262" s="2092"/>
      <c r="AB262" s="2092"/>
      <c r="AC262" s="2092"/>
      <c r="AD262" s="2092"/>
      <c r="AE262" s="2092"/>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03"/>
      <c r="N263" s="2203"/>
      <c r="O263" s="2203"/>
      <c r="P263" s="2203"/>
      <c r="Q263" s="2203"/>
      <c r="R263" s="2203"/>
      <c r="S263" s="2203"/>
      <c r="T263" s="2203"/>
      <c r="U263" s="2203"/>
      <c r="V263" s="2203"/>
      <c r="W263" s="2203"/>
      <c r="X263" s="2203"/>
      <c r="Y263" s="2203"/>
      <c r="Z263" s="2203"/>
      <c r="AA263" s="2221"/>
      <c r="AB263" s="2221"/>
      <c r="AC263" s="2221"/>
      <c r="AD263" s="2221"/>
      <c r="AE263" s="222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52" t="s">
        <v>316</v>
      </c>
      <c r="N264" s="2052"/>
      <c r="O264" s="2052"/>
      <c r="P264" s="2052"/>
      <c r="Q264" s="2052"/>
      <c r="R264" s="2052"/>
      <c r="S264" s="2052"/>
      <c r="T264" s="2052"/>
      <c r="U264" s="387" t="s">
        <v>974</v>
      </c>
      <c r="V264" s="325"/>
      <c r="W264" s="325"/>
      <c r="X264" s="325"/>
      <c r="Y264" s="325"/>
      <c r="Z264" s="325"/>
      <c r="AA264" s="2222"/>
      <c r="AB264" s="2222"/>
      <c r="AC264" s="2222"/>
      <c r="AD264" s="2222"/>
      <c r="AE264" s="2222"/>
      <c r="AF264" s="2222"/>
      <c r="AG264" s="2222"/>
      <c r="AH264" s="2222"/>
      <c r="AI264" s="2222"/>
      <c r="AJ264" s="2222"/>
      <c r="AK264" s="2222"/>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303</v>
      </c>
      <c r="D266" s="7"/>
      <c r="E266" s="7"/>
      <c r="F266" s="7"/>
      <c r="G266" s="7"/>
      <c r="H266" s="7"/>
      <c r="I266" s="7"/>
      <c r="J266" s="7"/>
      <c r="K266" s="7"/>
      <c r="L266" s="7"/>
      <c r="M266" s="147"/>
      <c r="N266" s="147"/>
      <c r="O266" s="147"/>
      <c r="P266" s="147"/>
      <c r="Q266" s="147"/>
      <c r="T266" s="2220" t="str">
        <f>BO245</f>
        <v>Joint Venture</v>
      </c>
      <c r="U266" s="2220"/>
      <c r="V266" s="2220"/>
      <c r="W266" s="2220"/>
      <c r="X266" s="2220"/>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208" t="s">
        <v>286</v>
      </c>
      <c r="E269" s="2208"/>
      <c r="F269" s="2208"/>
      <c r="G269" s="2208"/>
      <c r="H269" s="2208"/>
      <c r="J269" s="12" t="s">
        <v>285</v>
      </c>
      <c r="X269" s="2224"/>
      <c r="Y269" s="2224"/>
      <c r="Z269" s="2224"/>
      <c r="AA269" s="2224"/>
      <c r="AB269" s="2224"/>
      <c r="AC269" s="2224"/>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206" t="s">
        <v>2570</v>
      </c>
      <c r="M273" s="2205"/>
      <c r="N273" s="2205"/>
      <c r="O273" s="2205"/>
      <c r="P273" s="2205"/>
      <c r="Q273" s="2205"/>
      <c r="R273" s="2205"/>
      <c r="S273" s="2205"/>
      <c r="T273" s="2205"/>
      <c r="U273" s="2205"/>
      <c r="V273" s="2205"/>
      <c r="W273" s="2205"/>
      <c r="X273" s="2205"/>
      <c r="Y273" s="2205"/>
      <c r="Z273" s="2205"/>
      <c r="AA273" s="2205"/>
      <c r="AB273" s="2205"/>
      <c r="AC273" s="2205"/>
      <c r="AD273" s="2205"/>
      <c r="AE273" s="2205"/>
      <c r="AF273" s="2205"/>
      <c r="AG273" s="2205"/>
      <c r="AH273" s="2205"/>
      <c r="AI273" s="2205"/>
      <c r="AJ273" s="2205"/>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50" t="s">
        <v>2562</v>
      </c>
      <c r="M274" s="2208"/>
      <c r="N274" s="2208"/>
      <c r="O274" s="2208"/>
      <c r="P274" s="2208"/>
      <c r="Q274" s="2208"/>
      <c r="R274" s="2208"/>
      <c r="S274" s="2208"/>
      <c r="T274" s="2208"/>
      <c r="U274" s="2208"/>
      <c r="V274" s="2208"/>
      <c r="W274" s="2208"/>
      <c r="X274" s="2208"/>
      <c r="Y274" s="2208"/>
      <c r="Z274" s="2208"/>
      <c r="AA274" s="2208"/>
      <c r="AB274" s="2208"/>
      <c r="AC274" s="2208"/>
      <c r="AD274" s="2208"/>
      <c r="AK274" s="58"/>
      <c r="AL274" s="58"/>
      <c r="AM274" s="239"/>
      <c r="AN274" s="239"/>
      <c r="AO274" s="239"/>
      <c r="AP274" s="239"/>
      <c r="AQ274" s="239"/>
      <c r="AR274" s="239"/>
      <c r="AS274" s="239"/>
      <c r="AT274" s="239"/>
      <c r="AU274" s="239"/>
      <c r="AV274" s="239"/>
      <c r="AW274" s="239"/>
      <c r="AX274" s="239"/>
      <c r="AY274" s="239"/>
      <c r="BN274" s="61"/>
    </row>
    <row r="275" spans="1:66" ht="12.5">
      <c r="D275" s="57" t="s">
        <v>614</v>
      </c>
      <c r="E275" s="57"/>
      <c r="L275" s="2050" t="s">
        <v>2566</v>
      </c>
      <c r="M275" s="2208"/>
      <c r="N275" s="2208"/>
      <c r="O275" s="2208"/>
      <c r="P275" s="2208"/>
      <c r="Q275" s="2208"/>
      <c r="R275" s="2208"/>
      <c r="S275" s="2208"/>
      <c r="U275" s="59" t="s">
        <v>91</v>
      </c>
      <c r="V275" s="2051" t="s">
        <v>2567</v>
      </c>
      <c r="W275" s="2171"/>
      <c r="X275" s="57" t="s">
        <v>617</v>
      </c>
      <c r="AB275" s="2208">
        <v>95661</v>
      </c>
      <c r="AC275" s="2208"/>
      <c r="AD275" s="220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0" t="s">
        <v>2568</v>
      </c>
      <c r="M276" s="2208"/>
      <c r="N276" s="2208"/>
      <c r="O276" s="2208"/>
      <c r="P276" s="2208"/>
      <c r="Q276" s="2208"/>
      <c r="R276" s="2208"/>
      <c r="S276" s="2208"/>
      <c r="T276" s="2208"/>
      <c r="U276" s="2208"/>
      <c r="V276" s="2208"/>
      <c r="W276" s="2208"/>
      <c r="X276" s="2208"/>
      <c r="Y276" s="2208"/>
      <c r="Z276" s="2208"/>
      <c r="AA276" s="2208"/>
      <c r="AB276" s="2208"/>
      <c r="AC276" s="2208"/>
      <c r="AD276" s="2208"/>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092">
        <v>9168653981</v>
      </c>
      <c r="M277" s="2092"/>
      <c r="N277" s="2092"/>
      <c r="O277" s="2092"/>
      <c r="P277" s="2092"/>
      <c r="Q277" s="2092"/>
      <c r="R277" s="7" t="s">
        <v>212</v>
      </c>
      <c r="S277" s="7"/>
      <c r="T277" s="2171"/>
      <c r="U277" s="2171"/>
      <c r="V277" s="2171"/>
      <c r="W277" s="7" t="s">
        <v>94</v>
      </c>
      <c r="Y277" s="2092"/>
      <c r="Z277" s="2092"/>
      <c r="AA277" s="2092"/>
      <c r="AB277" s="2092"/>
      <c r="AC277" s="2092"/>
      <c r="AD277" s="2092"/>
      <c r="BN277" s="61"/>
    </row>
    <row r="278" spans="1:66" ht="12.5">
      <c r="D278" s="60" t="s">
        <v>95</v>
      </c>
      <c r="E278" s="7"/>
      <c r="F278" s="7"/>
      <c r="L278" s="2203" t="s">
        <v>2569</v>
      </c>
      <c r="M278" s="2203"/>
      <c r="N278" s="2203"/>
      <c r="O278" s="2203"/>
      <c r="P278" s="2203"/>
      <c r="Q278" s="2203"/>
      <c r="R278" s="2203"/>
      <c r="S278" s="2203"/>
      <c r="T278" s="2203"/>
      <c r="U278" s="2203"/>
      <c r="V278" s="2203"/>
      <c r="W278" s="2203"/>
      <c r="X278" s="2203"/>
      <c r="Y278" s="2203"/>
      <c r="Z278" s="2203"/>
      <c r="AA278" s="2203"/>
      <c r="AB278" s="2203"/>
      <c r="AC278" s="2203"/>
      <c r="AD278" s="2203"/>
      <c r="AF278" s="7"/>
      <c r="AG278" s="7"/>
      <c r="AH278" s="7"/>
      <c r="AI278" s="7"/>
      <c r="AJ278" s="7"/>
      <c r="BN278" s="61"/>
    </row>
    <row r="279" spans="1:66" ht="12.5">
      <c r="D279" s="58" t="s">
        <v>657</v>
      </c>
      <c r="E279" s="58"/>
      <c r="F279" s="58"/>
      <c r="G279" s="58"/>
      <c r="H279" s="58"/>
      <c r="I279" s="58"/>
      <c r="L279" s="2051" t="s">
        <v>2581</v>
      </c>
      <c r="M279" s="2051"/>
      <c r="N279" s="2051"/>
      <c r="O279" s="2051"/>
      <c r="P279" s="2051"/>
      <c r="Q279" s="2051"/>
      <c r="R279" s="2051"/>
      <c r="S279" s="2051"/>
      <c r="T279" s="2051"/>
      <c r="U279" s="2051"/>
      <c r="V279" s="2051"/>
      <c r="W279" s="2051"/>
      <c r="X279" s="2051"/>
      <c r="Y279" s="2051"/>
      <c r="Z279" s="2051"/>
      <c r="AA279" s="2051"/>
      <c r="AB279" s="2051"/>
      <c r="AC279" s="2051"/>
      <c r="AD279" s="2051"/>
      <c r="AK279" s="58"/>
      <c r="AL279" s="58"/>
      <c r="AM279" s="239"/>
      <c r="AN279" s="239"/>
      <c r="AO279" s="239"/>
      <c r="AP279" s="239"/>
      <c r="AQ279" s="239"/>
      <c r="AR279" s="239"/>
      <c r="AS279" s="239"/>
      <c r="AT279" s="239"/>
      <c r="AU279" s="239"/>
      <c r="AV279" s="239"/>
      <c r="AW279" s="239"/>
      <c r="AX279" s="239"/>
      <c r="AY279" s="239"/>
      <c r="BN279" s="61"/>
    </row>
    <row r="280" spans="1:66" ht="12.5">
      <c r="L280" s="35" t="s">
        <v>658</v>
      </c>
      <c r="BN280" s="61"/>
    </row>
    <row r="281" spans="1:66" ht="13">
      <c r="A281" s="2048" t="s">
        <v>573</v>
      </c>
      <c r="B281" s="2048"/>
      <c r="C281" s="2048"/>
      <c r="D281" s="2048"/>
      <c r="E281" s="2048"/>
      <c r="F281" s="2048"/>
      <c r="G281" s="2048"/>
      <c r="H281" s="2048"/>
      <c r="I281" s="2048"/>
      <c r="J281" s="2048"/>
      <c r="K281" s="2048"/>
      <c r="L281" s="2048"/>
      <c r="M281" s="2048"/>
      <c r="N281" s="2048"/>
      <c r="O281" s="2048"/>
      <c r="P281" s="2048"/>
      <c r="Q281" s="2048"/>
      <c r="R281" s="2048"/>
      <c r="S281" s="2048"/>
      <c r="T281" s="2048"/>
      <c r="U281" s="2048"/>
      <c r="V281" s="2048"/>
      <c r="W281" s="2048"/>
      <c r="X281" s="2048"/>
      <c r="Y281" s="2048"/>
      <c r="Z281" s="2048"/>
      <c r="AA281" s="2048"/>
      <c r="AB281" s="2048"/>
      <c r="AC281" s="2048"/>
      <c r="AD281" s="2048"/>
      <c r="AE281" s="2048"/>
      <c r="AF281" s="2048"/>
      <c r="AG281" s="2048"/>
      <c r="AH281" s="2048"/>
      <c r="AI281" s="2048"/>
      <c r="AJ281" s="2048"/>
      <c r="AK281" s="2048"/>
      <c r="AL281" s="2048"/>
      <c r="AM281" s="144"/>
      <c r="AN281" s="144"/>
      <c r="AO281" s="144"/>
      <c r="AP281" s="144"/>
      <c r="AQ281" s="144"/>
      <c r="AR281" s="144"/>
      <c r="AS281" s="144"/>
      <c r="AT281" s="144"/>
      <c r="AU281" s="144"/>
      <c r="AV281" s="144"/>
      <c r="AW281" s="144"/>
      <c r="AX281" s="144"/>
      <c r="AY281" s="144"/>
      <c r="BN281" s="61"/>
    </row>
    <row r="282" spans="1:66" ht="13.5" thickBot="1">
      <c r="A282" s="2049"/>
      <c r="B282" s="2049"/>
      <c r="C282" s="2049"/>
      <c r="D282" s="2049"/>
      <c r="E282" s="2049"/>
      <c r="F282" s="2049"/>
      <c r="G282" s="2049"/>
      <c r="H282" s="2049"/>
      <c r="I282" s="2049"/>
      <c r="J282" s="2049"/>
      <c r="K282" s="2049"/>
      <c r="L282" s="2049"/>
      <c r="M282" s="2049"/>
      <c r="N282" s="2049"/>
      <c r="O282" s="2049"/>
      <c r="P282" s="2049"/>
      <c r="Q282" s="2049"/>
      <c r="R282" s="2049"/>
      <c r="S282" s="2049"/>
      <c r="T282" s="2049"/>
      <c r="U282" s="2049"/>
      <c r="V282" s="2049"/>
      <c r="W282" s="2049"/>
      <c r="X282" s="2049"/>
      <c r="Y282" s="2049"/>
      <c r="Z282" s="2049"/>
      <c r="AA282" s="2049"/>
      <c r="AB282" s="2049"/>
      <c r="AC282" s="2049"/>
      <c r="AD282" s="2049"/>
      <c r="AE282" s="2049"/>
      <c r="AF282" s="2049"/>
      <c r="AG282" s="2049"/>
      <c r="AH282" s="2049"/>
      <c r="AI282" s="2049"/>
      <c r="AJ282" s="2049"/>
      <c r="AK282" s="2049"/>
      <c r="AL282" s="2049"/>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660</v>
      </c>
      <c r="C286" s="58"/>
      <c r="D286" s="58"/>
      <c r="E286" s="58"/>
      <c r="F286" s="58"/>
      <c r="H286" s="2038" t="s">
        <v>2582</v>
      </c>
      <c r="I286" s="2038"/>
      <c r="J286" s="2038"/>
      <c r="K286" s="2038"/>
      <c r="L286" s="2038"/>
      <c r="M286" s="2038"/>
      <c r="N286" s="2038"/>
      <c r="O286" s="2038"/>
      <c r="P286" s="2038"/>
      <c r="Q286" s="2038"/>
      <c r="R286" s="2038"/>
      <c r="T286" s="58" t="s">
        <v>599</v>
      </c>
      <c r="V286" s="58"/>
      <c r="W286" s="58"/>
      <c r="X286" s="58"/>
      <c r="Y286" s="58"/>
      <c r="AA286" s="2038" t="s">
        <v>2545</v>
      </c>
      <c r="AB286" s="2038"/>
      <c r="AC286" s="2038"/>
      <c r="AD286" s="2038"/>
      <c r="AE286" s="2038"/>
      <c r="AF286" s="2038"/>
      <c r="AG286" s="2038"/>
      <c r="AH286" s="2038"/>
      <c r="AI286" s="2038"/>
      <c r="AJ286" s="2038"/>
      <c r="AK286" s="2038"/>
      <c r="BN286" s="61"/>
    </row>
    <row r="287" spans="1:66" ht="12.5">
      <c r="B287" s="58" t="s">
        <v>503</v>
      </c>
      <c r="C287" s="58"/>
      <c r="D287" s="58"/>
      <c r="E287" s="58"/>
      <c r="F287" s="58"/>
      <c r="H287" s="2052" t="s">
        <v>2574</v>
      </c>
      <c r="I287" s="2052"/>
      <c r="J287" s="2052"/>
      <c r="K287" s="2052"/>
      <c r="L287" s="2052"/>
      <c r="M287" s="2052"/>
      <c r="N287" s="2052"/>
      <c r="O287" s="2052"/>
      <c r="P287" s="2052"/>
      <c r="Q287" s="2052"/>
      <c r="R287" s="2052"/>
      <c r="T287" s="58" t="s">
        <v>503</v>
      </c>
      <c r="V287" s="58"/>
      <c r="W287" s="58"/>
      <c r="X287" s="58"/>
      <c r="Y287" s="58"/>
      <c r="AA287" s="2052" t="s">
        <v>2546</v>
      </c>
      <c r="AB287" s="2052"/>
      <c r="AC287" s="2052"/>
      <c r="AD287" s="2052"/>
      <c r="AE287" s="2052"/>
      <c r="AF287" s="2052"/>
      <c r="AG287" s="2052"/>
      <c r="AH287" s="2052"/>
      <c r="AI287" s="2052"/>
      <c r="AJ287" s="2052"/>
      <c r="AK287" s="2052"/>
      <c r="BN287" s="61"/>
    </row>
    <row r="288" spans="1:66" ht="12.5">
      <c r="B288" s="58" t="s">
        <v>504</v>
      </c>
      <c r="C288" s="58"/>
      <c r="D288" s="58"/>
      <c r="E288" s="58"/>
      <c r="F288" s="58"/>
      <c r="H288" s="2052" t="s">
        <v>2563</v>
      </c>
      <c r="I288" s="2052"/>
      <c r="J288" s="2052"/>
      <c r="K288" s="2052"/>
      <c r="L288" s="2052"/>
      <c r="M288" s="2052"/>
      <c r="N288" s="2052"/>
      <c r="O288" s="2052"/>
      <c r="P288" s="2052"/>
      <c r="Q288" s="2052"/>
      <c r="R288" s="2052"/>
      <c r="T288" s="58" t="s">
        <v>79</v>
      </c>
      <c r="V288" s="58"/>
      <c r="W288" s="58"/>
      <c r="X288" s="58"/>
      <c r="Y288" s="58"/>
      <c r="AA288" s="2052" t="s">
        <v>2547</v>
      </c>
      <c r="AB288" s="2052"/>
      <c r="AC288" s="2052"/>
      <c r="AD288" s="2052"/>
      <c r="AE288" s="2052"/>
      <c r="AF288" s="2052"/>
      <c r="AG288" s="2052"/>
      <c r="AH288" s="2052"/>
      <c r="AI288" s="2052"/>
      <c r="AJ288" s="2052"/>
      <c r="AK288" s="2052"/>
      <c r="BN288" s="61"/>
    </row>
    <row r="289" spans="2:66" ht="12.75" customHeight="1">
      <c r="B289" s="58" t="s">
        <v>92</v>
      </c>
      <c r="C289" s="58"/>
      <c r="D289" s="58"/>
      <c r="E289" s="58"/>
      <c r="F289" s="58"/>
      <c r="H289" s="2052" t="s">
        <v>2564</v>
      </c>
      <c r="I289" s="2052"/>
      <c r="J289" s="2052"/>
      <c r="K289" s="2052"/>
      <c r="L289" s="2052"/>
      <c r="M289" s="2052"/>
      <c r="N289" s="2052"/>
      <c r="O289" s="2052"/>
      <c r="P289" s="2052"/>
      <c r="Q289" s="2052"/>
      <c r="R289" s="2052"/>
      <c r="T289" s="58" t="s">
        <v>92</v>
      </c>
      <c r="V289" s="58"/>
      <c r="W289" s="58"/>
      <c r="X289" s="58"/>
      <c r="Y289" s="58"/>
      <c r="AA289" s="2052" t="s">
        <v>2548</v>
      </c>
      <c r="AB289" s="2052"/>
      <c r="AC289" s="2052"/>
      <c r="AD289" s="2052"/>
      <c r="AE289" s="2052"/>
      <c r="AF289" s="2052"/>
      <c r="AG289" s="2052"/>
      <c r="AH289" s="2052"/>
      <c r="AI289" s="2052"/>
      <c r="AJ289" s="2052"/>
      <c r="AK289" s="2052"/>
      <c r="BN289" s="61"/>
    </row>
    <row r="290" spans="2:66" ht="12.75" customHeight="1">
      <c r="B290" s="58" t="s">
        <v>93</v>
      </c>
      <c r="C290" s="58"/>
      <c r="D290" s="58"/>
      <c r="E290" s="58"/>
      <c r="F290" s="58"/>
      <c r="G290" s="58"/>
      <c r="H290" s="2213">
        <v>9167736060</v>
      </c>
      <c r="I290" s="2213"/>
      <c r="J290" s="2213"/>
      <c r="K290" s="2213"/>
      <c r="L290" s="2213"/>
      <c r="M290" s="2213"/>
      <c r="N290" s="7" t="s">
        <v>212</v>
      </c>
      <c r="O290" s="7"/>
      <c r="P290" s="2208"/>
      <c r="Q290" s="2208"/>
      <c r="R290" s="2208"/>
      <c r="S290" s="58"/>
      <c r="T290" s="58" t="s">
        <v>93</v>
      </c>
      <c r="V290" s="58"/>
      <c r="W290" s="58"/>
      <c r="X290" s="58"/>
      <c r="Y290" s="58"/>
      <c r="AA290" s="2213" t="s">
        <v>2549</v>
      </c>
      <c r="AB290" s="2209"/>
      <c r="AC290" s="2209"/>
      <c r="AD290" s="2209"/>
      <c r="AE290" s="2209"/>
      <c r="AF290" s="2209"/>
      <c r="AG290" s="7" t="s">
        <v>212</v>
      </c>
      <c r="AH290" s="7"/>
      <c r="AI290" s="2050" t="s">
        <v>2550</v>
      </c>
      <c r="AJ290" s="2208"/>
      <c r="AK290" s="2208"/>
      <c r="BN290" s="61"/>
    </row>
    <row r="291" spans="2:66" ht="12.75" customHeight="1">
      <c r="B291" s="58" t="s">
        <v>94</v>
      </c>
      <c r="C291" s="58"/>
      <c r="D291" s="58"/>
      <c r="E291" s="58"/>
      <c r="F291" s="58"/>
      <c r="G291" s="58"/>
      <c r="H291" s="2159">
        <v>9167735866</v>
      </c>
      <c r="I291" s="2159"/>
      <c r="J291" s="2159"/>
      <c r="K291" s="2159"/>
      <c r="L291" s="2159"/>
      <c r="M291" s="2159"/>
      <c r="N291" s="60"/>
      <c r="O291" s="60"/>
      <c r="P291" s="62"/>
      <c r="Q291" s="62"/>
      <c r="R291" s="62"/>
      <c r="S291" s="58"/>
      <c r="T291" s="58" t="s">
        <v>94</v>
      </c>
      <c r="V291" s="58"/>
      <c r="W291" s="58"/>
      <c r="X291" s="58"/>
      <c r="Y291" s="58"/>
      <c r="AA291" s="2159" t="s">
        <v>2550</v>
      </c>
      <c r="AB291" s="2092"/>
      <c r="AC291" s="2092"/>
      <c r="AD291" s="2092"/>
      <c r="AE291" s="2092"/>
      <c r="AF291" s="2092"/>
      <c r="AG291" s="60"/>
      <c r="AH291" s="60"/>
      <c r="AI291" s="62"/>
      <c r="AJ291" s="62"/>
      <c r="AK291" s="62"/>
      <c r="BN291" s="61"/>
    </row>
    <row r="292" spans="2:66" ht="12.75" customHeight="1">
      <c r="B292" s="58" t="s">
        <v>80</v>
      </c>
      <c r="C292" s="58"/>
      <c r="D292" s="58"/>
      <c r="E292" s="58"/>
      <c r="F292" s="58"/>
      <c r="G292" s="58"/>
      <c r="H292" s="2052" t="s">
        <v>2583</v>
      </c>
      <c r="I292" s="2052"/>
      <c r="J292" s="2052"/>
      <c r="K292" s="2052"/>
      <c r="L292" s="2052"/>
      <c r="M292" s="2052"/>
      <c r="N292" s="2038"/>
      <c r="O292" s="2038"/>
      <c r="P292" s="2038"/>
      <c r="Q292" s="2038"/>
      <c r="R292" s="2038"/>
      <c r="S292" s="58"/>
      <c r="T292" s="58" t="s">
        <v>80</v>
      </c>
      <c r="V292" s="58"/>
      <c r="W292" s="58"/>
      <c r="X292" s="58"/>
      <c r="Y292" s="58"/>
      <c r="AA292" s="2052" t="s">
        <v>2551</v>
      </c>
      <c r="AB292" s="2052"/>
      <c r="AC292" s="2052"/>
      <c r="AD292" s="2052"/>
      <c r="AE292" s="2052"/>
      <c r="AF292" s="2052"/>
      <c r="AG292" s="2038"/>
      <c r="AH292" s="2038"/>
      <c r="AI292" s="2038"/>
      <c r="AJ292" s="2038"/>
      <c r="AK292" s="2038"/>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50" t="s">
        <v>2584</v>
      </c>
      <c r="I294" s="2038"/>
      <c r="J294" s="2038"/>
      <c r="K294" s="2038"/>
      <c r="L294" s="2038"/>
      <c r="M294" s="2038"/>
      <c r="N294" s="2038"/>
      <c r="O294" s="2038"/>
      <c r="P294" s="2038"/>
      <c r="Q294" s="2038"/>
      <c r="R294" s="2038"/>
      <c r="T294" s="58" t="s">
        <v>374</v>
      </c>
      <c r="V294" s="58"/>
      <c r="W294" s="58"/>
      <c r="X294" s="58"/>
      <c r="Y294" s="58"/>
      <c r="AA294" s="2038" t="s">
        <v>2589</v>
      </c>
      <c r="AB294" s="2038"/>
      <c r="AC294" s="2038"/>
      <c r="AD294" s="2038"/>
      <c r="AE294" s="2038"/>
      <c r="AF294" s="2038"/>
      <c r="AG294" s="2038"/>
      <c r="AH294" s="2038"/>
      <c r="AI294" s="2038"/>
      <c r="AJ294" s="2038"/>
      <c r="AK294" s="2038"/>
      <c r="BN294" s="61"/>
    </row>
    <row r="295" spans="2:66" ht="12.5">
      <c r="B295" s="58" t="s">
        <v>503</v>
      </c>
      <c r="C295" s="58"/>
      <c r="D295" s="58"/>
      <c r="E295" s="58"/>
      <c r="F295" s="58"/>
      <c r="H295" s="2051" t="s">
        <v>2585</v>
      </c>
      <c r="I295" s="2052"/>
      <c r="J295" s="2052"/>
      <c r="K295" s="2052"/>
      <c r="L295" s="2052"/>
      <c r="M295" s="2052"/>
      <c r="N295" s="2052"/>
      <c r="O295" s="2052"/>
      <c r="P295" s="2052"/>
      <c r="Q295" s="2052"/>
      <c r="R295" s="2052"/>
      <c r="T295" s="58" t="s">
        <v>503</v>
      </c>
      <c r="V295" s="58"/>
      <c r="W295" s="58"/>
      <c r="X295" s="58"/>
      <c r="Y295" s="58"/>
      <c r="AA295" s="2052" t="s">
        <v>2562</v>
      </c>
      <c r="AB295" s="2052"/>
      <c r="AC295" s="2052"/>
      <c r="AD295" s="2052"/>
      <c r="AE295" s="2052"/>
      <c r="AF295" s="2052"/>
      <c r="AG295" s="2052"/>
      <c r="AH295" s="2052"/>
      <c r="AI295" s="2052"/>
      <c r="AJ295" s="2052"/>
      <c r="AK295" s="2052"/>
      <c r="BN295" s="61"/>
    </row>
    <row r="296" spans="2:66" ht="12.5">
      <c r="B296" s="58" t="s">
        <v>504</v>
      </c>
      <c r="C296" s="58"/>
      <c r="D296" s="58"/>
      <c r="E296" s="58"/>
      <c r="F296" s="58"/>
      <c r="H296" s="2051" t="s">
        <v>2586</v>
      </c>
      <c r="I296" s="2052"/>
      <c r="J296" s="2052"/>
      <c r="K296" s="2052"/>
      <c r="L296" s="2052"/>
      <c r="M296" s="2052"/>
      <c r="N296" s="2052"/>
      <c r="O296" s="2052"/>
      <c r="P296" s="2052"/>
      <c r="Q296" s="2052"/>
      <c r="R296" s="2052"/>
      <c r="T296" s="58" t="s">
        <v>79</v>
      </c>
      <c r="V296" s="58"/>
      <c r="W296" s="58"/>
      <c r="X296" s="58"/>
      <c r="Y296" s="58"/>
      <c r="AA296" s="2052" t="s">
        <v>2563</v>
      </c>
      <c r="AB296" s="2052"/>
      <c r="AC296" s="2052"/>
      <c r="AD296" s="2052"/>
      <c r="AE296" s="2052"/>
      <c r="AF296" s="2052"/>
      <c r="AG296" s="2052"/>
      <c r="AH296" s="2052"/>
      <c r="AI296" s="2052"/>
      <c r="AJ296" s="2052"/>
      <c r="AK296" s="2052"/>
      <c r="BN296" s="61"/>
    </row>
    <row r="297" spans="2:66" ht="12.5">
      <c r="B297" s="58" t="s">
        <v>92</v>
      </c>
      <c r="C297" s="58"/>
      <c r="D297" s="58"/>
      <c r="E297" s="58"/>
      <c r="F297" s="58"/>
      <c r="H297" s="2051" t="s">
        <v>2587</v>
      </c>
      <c r="I297" s="2052"/>
      <c r="J297" s="2052"/>
      <c r="K297" s="2052"/>
      <c r="L297" s="2052"/>
      <c r="M297" s="2052"/>
      <c r="N297" s="2052"/>
      <c r="O297" s="2052"/>
      <c r="P297" s="2052"/>
      <c r="Q297" s="2052"/>
      <c r="R297" s="2052"/>
      <c r="T297" s="58" t="s">
        <v>92</v>
      </c>
      <c r="V297" s="58"/>
      <c r="W297" s="58"/>
      <c r="X297" s="58"/>
      <c r="Y297" s="58"/>
      <c r="AA297" s="2052" t="s">
        <v>2590</v>
      </c>
      <c r="AB297" s="2052"/>
      <c r="AC297" s="2052"/>
      <c r="AD297" s="2052"/>
      <c r="AE297" s="2052"/>
      <c r="AF297" s="2052"/>
      <c r="AG297" s="2052"/>
      <c r="AH297" s="2052"/>
      <c r="AI297" s="2052"/>
      <c r="AJ297" s="2052"/>
      <c r="AK297" s="2052"/>
      <c r="BN297" s="61"/>
    </row>
    <row r="298" spans="2:66" ht="12.5">
      <c r="B298" s="58" t="s">
        <v>93</v>
      </c>
      <c r="C298" s="58"/>
      <c r="D298" s="58"/>
      <c r="E298" s="58"/>
      <c r="F298" s="58"/>
      <c r="G298" s="58"/>
      <c r="H298" s="2213">
        <v>2132398048</v>
      </c>
      <c r="I298" s="2213"/>
      <c r="J298" s="2213"/>
      <c r="K298" s="2213"/>
      <c r="L298" s="2213"/>
      <c r="M298" s="2213"/>
      <c r="N298" s="7" t="s">
        <v>212</v>
      </c>
      <c r="O298" s="7"/>
      <c r="P298" s="2208"/>
      <c r="Q298" s="2208"/>
      <c r="R298" s="2208"/>
      <c r="S298" s="58"/>
      <c r="T298" s="58" t="s">
        <v>93</v>
      </c>
      <c r="V298" s="58"/>
      <c r="W298" s="58"/>
      <c r="X298" s="58"/>
      <c r="Y298" s="58"/>
      <c r="AA298" s="2213">
        <v>9167243856</v>
      </c>
      <c r="AB298" s="2213"/>
      <c r="AC298" s="2213"/>
      <c r="AD298" s="2213"/>
      <c r="AE298" s="2213"/>
      <c r="AF298" s="2213"/>
      <c r="AG298" s="7" t="s">
        <v>212</v>
      </c>
      <c r="AH298" s="7"/>
      <c r="AI298" s="2208"/>
      <c r="AJ298" s="2208"/>
      <c r="AK298" s="2208"/>
      <c r="BN298" s="61"/>
    </row>
    <row r="299" spans="2:66" ht="12.75" customHeight="1">
      <c r="B299" s="58" t="s">
        <v>94</v>
      </c>
      <c r="C299" s="58"/>
      <c r="D299" s="58"/>
      <c r="E299" s="58"/>
      <c r="F299" s="58"/>
      <c r="G299" s="58"/>
      <c r="H299" s="2159">
        <v>2132390410</v>
      </c>
      <c r="I299" s="2159"/>
      <c r="J299" s="2159"/>
      <c r="K299" s="2159"/>
      <c r="L299" s="2159"/>
      <c r="M299" s="2159"/>
      <c r="N299" s="60"/>
      <c r="O299" s="60"/>
      <c r="P299" s="62"/>
      <c r="Q299" s="62"/>
      <c r="R299" s="62"/>
      <c r="S299" s="58"/>
      <c r="T299" s="58" t="s">
        <v>94</v>
      </c>
      <c r="V299" s="58"/>
      <c r="W299" s="58"/>
      <c r="X299" s="58"/>
      <c r="Y299" s="58"/>
      <c r="AA299" s="2159">
        <v>9167735866</v>
      </c>
      <c r="AB299" s="2159"/>
      <c r="AC299" s="2159"/>
      <c r="AD299" s="2159"/>
      <c r="AE299" s="2159"/>
      <c r="AF299" s="2159"/>
      <c r="AG299" s="60"/>
      <c r="AH299" s="60"/>
      <c r="AI299" s="62"/>
      <c r="AJ299" s="62"/>
      <c r="AK299" s="62"/>
      <c r="BN299" s="61"/>
    </row>
    <row r="300" spans="2:66" ht="12.75" customHeight="1">
      <c r="B300" s="58" t="s">
        <v>80</v>
      </c>
      <c r="C300" s="58"/>
      <c r="D300" s="58"/>
      <c r="E300" s="58"/>
      <c r="F300" s="58"/>
      <c r="G300" s="58"/>
      <c r="H300" s="2052" t="s">
        <v>2588</v>
      </c>
      <c r="I300" s="2052"/>
      <c r="J300" s="2052"/>
      <c r="K300" s="2052"/>
      <c r="L300" s="2052"/>
      <c r="M300" s="2052"/>
      <c r="N300" s="2038"/>
      <c r="O300" s="2038"/>
      <c r="P300" s="2038"/>
      <c r="Q300" s="2038"/>
      <c r="R300" s="2038"/>
      <c r="S300" s="58"/>
      <c r="T300" s="58" t="s">
        <v>80</v>
      </c>
      <c r="V300" s="58"/>
      <c r="W300" s="58"/>
      <c r="X300" s="58"/>
      <c r="Y300" s="58"/>
      <c r="AA300" s="2052" t="s">
        <v>2591</v>
      </c>
      <c r="AB300" s="2052"/>
      <c r="AC300" s="2052"/>
      <c r="AD300" s="2052"/>
      <c r="AE300" s="2052"/>
      <c r="AF300" s="2052"/>
      <c r="AG300" s="2038"/>
      <c r="AH300" s="2038"/>
      <c r="AI300" s="2038"/>
      <c r="AJ300" s="2038"/>
      <c r="AK300" s="2038"/>
      <c r="BN300" s="61"/>
    </row>
    <row r="301" spans="2:66" ht="12.75" customHeight="1">
      <c r="BN301" s="61"/>
    </row>
    <row r="302" spans="2:66" ht="12.75" customHeight="1">
      <c r="B302" s="58" t="s">
        <v>81</v>
      </c>
      <c r="C302" s="58"/>
      <c r="D302" s="58"/>
      <c r="E302" s="58"/>
      <c r="F302" s="58"/>
      <c r="H302" s="2038" t="s">
        <v>2592</v>
      </c>
      <c r="I302" s="2038"/>
      <c r="J302" s="2038"/>
      <c r="K302" s="2038"/>
      <c r="L302" s="2038"/>
      <c r="M302" s="2038"/>
      <c r="N302" s="2038"/>
      <c r="O302" s="2038"/>
      <c r="P302" s="2038"/>
      <c r="Q302" s="2038"/>
      <c r="R302" s="2038"/>
      <c r="T302" s="7" t="s">
        <v>942</v>
      </c>
      <c r="V302" s="58"/>
      <c r="W302" s="58"/>
      <c r="X302" s="58"/>
      <c r="Y302" s="58"/>
      <c r="AA302" s="2038" t="s">
        <v>2580</v>
      </c>
      <c r="AB302" s="2038"/>
      <c r="AC302" s="2038"/>
      <c r="AD302" s="2038"/>
      <c r="AE302" s="2038"/>
      <c r="AF302" s="2038"/>
      <c r="AG302" s="2038"/>
      <c r="AH302" s="2038"/>
      <c r="AI302" s="2038"/>
      <c r="AJ302" s="2038"/>
      <c r="AK302" s="2038"/>
      <c r="BN302" s="61"/>
    </row>
    <row r="303" spans="2:66" ht="12.5">
      <c r="B303" s="58" t="s">
        <v>503</v>
      </c>
      <c r="C303" s="58"/>
      <c r="D303" s="58"/>
      <c r="E303" s="58"/>
      <c r="F303" s="58"/>
      <c r="H303" s="2052" t="s">
        <v>2615</v>
      </c>
      <c r="I303" s="2052"/>
      <c r="J303" s="2052"/>
      <c r="K303" s="2052"/>
      <c r="L303" s="2052"/>
      <c r="M303" s="2052"/>
      <c r="N303" s="2052"/>
      <c r="O303" s="2052"/>
      <c r="P303" s="2052"/>
      <c r="Q303" s="2052"/>
      <c r="R303" s="2052"/>
      <c r="T303" s="58" t="s">
        <v>503</v>
      </c>
      <c r="V303" s="58"/>
      <c r="W303" s="58"/>
      <c r="X303" s="58"/>
      <c r="Y303" s="58"/>
      <c r="AA303" s="2052"/>
      <c r="AB303" s="2052"/>
      <c r="AC303" s="2052"/>
      <c r="AD303" s="2052"/>
      <c r="AE303" s="2052"/>
      <c r="AF303" s="2052"/>
      <c r="AG303" s="2052"/>
      <c r="AH303" s="2052"/>
      <c r="AI303" s="2052"/>
      <c r="AJ303" s="2052"/>
      <c r="AK303" s="2052"/>
      <c r="BN303" s="61"/>
    </row>
    <row r="304" spans="2:66" ht="12.5">
      <c r="B304" s="58" t="s">
        <v>504</v>
      </c>
      <c r="C304" s="58"/>
      <c r="D304" s="58"/>
      <c r="E304" s="58"/>
      <c r="F304" s="58"/>
      <c r="H304" s="2052" t="s">
        <v>2616</v>
      </c>
      <c r="I304" s="2052"/>
      <c r="J304" s="2052"/>
      <c r="K304" s="2052"/>
      <c r="L304" s="2052"/>
      <c r="M304" s="2052"/>
      <c r="N304" s="2052"/>
      <c r="O304" s="2052"/>
      <c r="P304" s="2052"/>
      <c r="Q304" s="2052"/>
      <c r="R304" s="2052"/>
      <c r="T304" s="58" t="s">
        <v>79</v>
      </c>
      <c r="V304" s="58"/>
      <c r="W304" s="58"/>
      <c r="X304" s="58"/>
      <c r="Y304" s="58"/>
      <c r="AA304" s="2052"/>
      <c r="AB304" s="2052"/>
      <c r="AC304" s="2052"/>
      <c r="AD304" s="2052"/>
      <c r="AE304" s="2052"/>
      <c r="AF304" s="2052"/>
      <c r="AG304" s="2052"/>
      <c r="AH304" s="2052"/>
      <c r="AI304" s="2052"/>
      <c r="AJ304" s="2052"/>
      <c r="AK304" s="2052"/>
      <c r="BN304" s="61"/>
    </row>
    <row r="305" spans="2:66" ht="12.5">
      <c r="B305" s="58" t="s">
        <v>92</v>
      </c>
      <c r="C305" s="58"/>
      <c r="D305" s="58"/>
      <c r="E305" s="58"/>
      <c r="F305" s="58"/>
      <c r="H305" s="2052" t="s">
        <v>2617</v>
      </c>
      <c r="I305" s="2052"/>
      <c r="J305" s="2052"/>
      <c r="K305" s="2052"/>
      <c r="L305" s="2052"/>
      <c r="M305" s="2052"/>
      <c r="N305" s="2052"/>
      <c r="O305" s="2052"/>
      <c r="P305" s="2052"/>
      <c r="Q305" s="2052"/>
      <c r="R305" s="2052"/>
      <c r="T305" s="58" t="s">
        <v>92</v>
      </c>
      <c r="V305" s="58"/>
      <c r="W305" s="58"/>
      <c r="X305" s="58"/>
      <c r="Y305" s="58"/>
      <c r="AA305" s="2052"/>
      <c r="AB305" s="2052"/>
      <c r="AC305" s="2052"/>
      <c r="AD305" s="2052"/>
      <c r="AE305" s="2052"/>
      <c r="AF305" s="2052"/>
      <c r="AG305" s="2052"/>
      <c r="AH305" s="2052"/>
      <c r="AI305" s="2052"/>
      <c r="AJ305" s="2052"/>
      <c r="AK305" s="2052"/>
      <c r="BN305" s="61"/>
    </row>
    <row r="306" spans="2:66" ht="12.5">
      <c r="B306" s="58" t="s">
        <v>93</v>
      </c>
      <c r="C306" s="58"/>
      <c r="D306" s="58"/>
      <c r="E306" s="58"/>
      <c r="F306" s="58"/>
      <c r="G306" s="58"/>
      <c r="H306" s="2209">
        <v>4153568025</v>
      </c>
      <c r="I306" s="2209"/>
      <c r="J306" s="2209"/>
      <c r="K306" s="2209"/>
      <c r="L306" s="2209"/>
      <c r="M306" s="2209"/>
      <c r="N306" s="7" t="s">
        <v>212</v>
      </c>
      <c r="O306" s="7"/>
      <c r="P306" s="2208"/>
      <c r="Q306" s="2208"/>
      <c r="R306" s="2208"/>
      <c r="S306" s="58"/>
      <c r="T306" s="58" t="s">
        <v>93</v>
      </c>
      <c r="V306" s="58"/>
      <c r="W306" s="58"/>
      <c r="X306" s="58"/>
      <c r="Y306" s="58"/>
      <c r="AA306" s="2209"/>
      <c r="AB306" s="2209"/>
      <c r="AC306" s="2209"/>
      <c r="AD306" s="2209"/>
      <c r="AE306" s="2209"/>
      <c r="AF306" s="2209"/>
      <c r="AG306" s="7" t="s">
        <v>212</v>
      </c>
      <c r="AH306" s="7"/>
      <c r="AI306" s="2208"/>
      <c r="AJ306" s="2208"/>
      <c r="AK306" s="2208"/>
      <c r="BN306" s="61"/>
    </row>
    <row r="307" spans="2:66" ht="12.5">
      <c r="B307" s="58" t="s">
        <v>94</v>
      </c>
      <c r="C307" s="58"/>
      <c r="D307" s="58"/>
      <c r="E307" s="58"/>
      <c r="F307" s="58"/>
      <c r="G307" s="58"/>
      <c r="H307" s="2159" t="s">
        <v>2580</v>
      </c>
      <c r="I307" s="2092"/>
      <c r="J307" s="2092"/>
      <c r="K307" s="2092"/>
      <c r="L307" s="2092"/>
      <c r="M307" s="2092"/>
      <c r="N307" s="60"/>
      <c r="O307" s="60"/>
      <c r="P307" s="62"/>
      <c r="Q307" s="62"/>
      <c r="R307" s="62"/>
      <c r="S307" s="58"/>
      <c r="T307" s="58" t="s">
        <v>94</v>
      </c>
      <c r="V307" s="58"/>
      <c r="W307" s="58"/>
      <c r="X307" s="58"/>
      <c r="Y307" s="58"/>
      <c r="AA307" s="2092"/>
      <c r="AB307" s="2092"/>
      <c r="AC307" s="2092"/>
      <c r="AD307" s="2092"/>
      <c r="AE307" s="2092"/>
      <c r="AF307" s="2092"/>
      <c r="AG307" s="60"/>
      <c r="AH307" s="60"/>
      <c r="AI307" s="62"/>
      <c r="AJ307" s="62"/>
      <c r="AK307" s="62"/>
      <c r="BN307" s="61"/>
    </row>
    <row r="308" spans="2:66" ht="12.5">
      <c r="B308" s="58" t="s">
        <v>80</v>
      </c>
      <c r="C308" s="58"/>
      <c r="D308" s="58"/>
      <c r="E308" s="58"/>
      <c r="F308" s="58"/>
      <c r="G308" s="58"/>
      <c r="H308" s="2051" t="s">
        <v>2618</v>
      </c>
      <c r="I308" s="2052"/>
      <c r="J308" s="2052"/>
      <c r="K308" s="2052"/>
      <c r="L308" s="2052"/>
      <c r="M308" s="2052"/>
      <c r="N308" s="2038"/>
      <c r="O308" s="2038"/>
      <c r="P308" s="2038"/>
      <c r="Q308" s="2038"/>
      <c r="R308" s="2038"/>
      <c r="S308" s="58"/>
      <c r="T308" s="58" t="s">
        <v>80</v>
      </c>
      <c r="V308" s="58"/>
      <c r="W308" s="58"/>
      <c r="X308" s="58"/>
      <c r="Y308" s="58"/>
      <c r="AA308" s="2052"/>
      <c r="AB308" s="2052"/>
      <c r="AC308" s="2052"/>
      <c r="AD308" s="2052"/>
      <c r="AE308" s="2052"/>
      <c r="AF308" s="2052"/>
      <c r="AG308" s="2038"/>
      <c r="AH308" s="2038"/>
      <c r="AI308" s="2038"/>
      <c r="AJ308" s="2038"/>
      <c r="AK308" s="2038"/>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975</v>
      </c>
      <c r="C310" s="58"/>
      <c r="D310" s="58"/>
      <c r="E310" s="58"/>
      <c r="F310" s="58"/>
      <c r="H310" s="2050" t="s">
        <v>2580</v>
      </c>
      <c r="I310" s="2038"/>
      <c r="J310" s="2038"/>
      <c r="K310" s="2038"/>
      <c r="L310" s="2038"/>
      <c r="M310" s="2038"/>
      <c r="N310" s="2038"/>
      <c r="O310" s="2038"/>
      <c r="P310" s="2038"/>
      <c r="Q310" s="2038"/>
      <c r="R310" s="2038"/>
      <c r="S310" s="58"/>
      <c r="T310" s="58" t="s">
        <v>375</v>
      </c>
      <c r="V310" s="58"/>
      <c r="W310" s="58"/>
      <c r="X310" s="58"/>
      <c r="Y310" s="58"/>
      <c r="AA310" s="2050" t="s">
        <v>2619</v>
      </c>
      <c r="AB310" s="2038"/>
      <c r="AC310" s="2038"/>
      <c r="AD310" s="2038"/>
      <c r="AE310" s="2038"/>
      <c r="AF310" s="2038"/>
      <c r="AG310" s="2038"/>
      <c r="AH310" s="2038"/>
      <c r="AI310" s="2038"/>
      <c r="AJ310" s="2038"/>
      <c r="AK310" s="2038"/>
      <c r="BN310" s="61"/>
    </row>
    <row r="311" spans="2:66" ht="12.5">
      <c r="B311" s="58" t="s">
        <v>503</v>
      </c>
      <c r="C311" s="58"/>
      <c r="D311" s="58"/>
      <c r="E311" s="58"/>
      <c r="F311" s="58"/>
      <c r="H311" s="2052"/>
      <c r="I311" s="2052"/>
      <c r="J311" s="2052"/>
      <c r="K311" s="2052"/>
      <c r="L311" s="2052"/>
      <c r="M311" s="2052"/>
      <c r="N311" s="2052"/>
      <c r="O311" s="2052"/>
      <c r="P311" s="2052"/>
      <c r="Q311" s="2052"/>
      <c r="R311" s="2052"/>
      <c r="S311" s="58"/>
      <c r="T311" s="58" t="s">
        <v>503</v>
      </c>
      <c r="V311" s="58"/>
      <c r="W311" s="58"/>
      <c r="X311" s="58"/>
      <c r="Y311" s="58"/>
      <c r="AA311" s="2051" t="s">
        <v>2608</v>
      </c>
      <c r="AB311" s="2052"/>
      <c r="AC311" s="2052"/>
      <c r="AD311" s="2052"/>
      <c r="AE311" s="2052"/>
      <c r="AF311" s="2052"/>
      <c r="AG311" s="2052"/>
      <c r="AH311" s="2052"/>
      <c r="AI311" s="2052"/>
      <c r="AJ311" s="2052"/>
      <c r="AK311" s="2052"/>
      <c r="BN311" s="61"/>
    </row>
    <row r="312" spans="2:66" ht="12.75" customHeight="1">
      <c r="B312" s="58" t="s">
        <v>504</v>
      </c>
      <c r="C312" s="58"/>
      <c r="D312" s="58"/>
      <c r="E312" s="58"/>
      <c r="F312" s="58"/>
      <c r="H312" s="2052"/>
      <c r="I312" s="2052"/>
      <c r="J312" s="2052"/>
      <c r="K312" s="2052"/>
      <c r="L312" s="2052"/>
      <c r="M312" s="2052"/>
      <c r="N312" s="2052"/>
      <c r="O312" s="2052"/>
      <c r="P312" s="2052"/>
      <c r="Q312" s="2052"/>
      <c r="R312" s="2052"/>
      <c r="S312" s="58"/>
      <c r="T312" s="58" t="s">
        <v>79</v>
      </c>
      <c r="V312" s="58"/>
      <c r="W312" s="58"/>
      <c r="X312" s="58"/>
      <c r="Y312" s="58"/>
      <c r="AA312" s="2051" t="s">
        <v>2620</v>
      </c>
      <c r="AB312" s="2052"/>
      <c r="AC312" s="2052"/>
      <c r="AD312" s="2052"/>
      <c r="AE312" s="2052"/>
      <c r="AF312" s="2052"/>
      <c r="AG312" s="2052"/>
      <c r="AH312" s="2052"/>
      <c r="AI312" s="2052"/>
      <c r="AJ312" s="2052"/>
      <c r="AK312" s="2052"/>
      <c r="BN312" s="61"/>
    </row>
    <row r="313" spans="2:66" ht="12.5">
      <c r="B313" s="58" t="s">
        <v>92</v>
      </c>
      <c r="C313" s="58"/>
      <c r="D313" s="58"/>
      <c r="E313" s="58"/>
      <c r="F313" s="58"/>
      <c r="H313" s="2052"/>
      <c r="I313" s="2052"/>
      <c r="J313" s="2052"/>
      <c r="K313" s="2052"/>
      <c r="L313" s="2052"/>
      <c r="M313" s="2052"/>
      <c r="N313" s="2052"/>
      <c r="O313" s="2052"/>
      <c r="P313" s="2052"/>
      <c r="Q313" s="2052"/>
      <c r="R313" s="2052"/>
      <c r="S313" s="58"/>
      <c r="T313" s="58" t="s">
        <v>92</v>
      </c>
      <c r="V313" s="58"/>
      <c r="W313" s="58"/>
      <c r="X313" s="58"/>
      <c r="Y313" s="58"/>
      <c r="AA313" s="2051" t="s">
        <v>2609</v>
      </c>
      <c r="AB313" s="2052"/>
      <c r="AC313" s="2052"/>
      <c r="AD313" s="2052"/>
      <c r="AE313" s="2052"/>
      <c r="AF313" s="2052"/>
      <c r="AG313" s="2052"/>
      <c r="AH313" s="2052"/>
      <c r="AI313" s="2052"/>
      <c r="AJ313" s="2052"/>
      <c r="AK313" s="2052"/>
      <c r="BN313" s="61"/>
    </row>
    <row r="314" spans="2:66" ht="12.5">
      <c r="B314" s="58" t="s">
        <v>93</v>
      </c>
      <c r="C314" s="58"/>
      <c r="D314" s="58"/>
      <c r="E314" s="58"/>
      <c r="F314" s="58"/>
      <c r="G314" s="58"/>
      <c r="H314" s="2209"/>
      <c r="I314" s="2209"/>
      <c r="J314" s="2209"/>
      <c r="K314" s="2209"/>
      <c r="L314" s="2209"/>
      <c r="M314" s="2209"/>
      <c r="N314" s="7" t="s">
        <v>212</v>
      </c>
      <c r="O314" s="7"/>
      <c r="P314" s="2208"/>
      <c r="Q314" s="2208"/>
      <c r="R314" s="2208"/>
      <c r="S314" s="58"/>
      <c r="T314" s="58" t="s">
        <v>93</v>
      </c>
      <c r="V314" s="58"/>
      <c r="W314" s="58"/>
      <c r="X314" s="58"/>
      <c r="Y314" s="58"/>
      <c r="AA314" s="2209">
        <v>9494392616</v>
      </c>
      <c r="AB314" s="2209"/>
      <c r="AC314" s="2209"/>
      <c r="AD314" s="2209"/>
      <c r="AE314" s="2209"/>
      <c r="AF314" s="2209"/>
      <c r="AG314" s="7" t="s">
        <v>212</v>
      </c>
      <c r="AH314" s="7"/>
      <c r="AI314" s="2208"/>
      <c r="AJ314" s="2208"/>
      <c r="AK314" s="2208"/>
      <c r="BN314" s="61"/>
    </row>
    <row r="315" spans="2:66" ht="12.5">
      <c r="B315" s="58" t="s">
        <v>94</v>
      </c>
      <c r="C315" s="58"/>
      <c r="D315" s="58"/>
      <c r="E315" s="58"/>
      <c r="F315" s="58"/>
      <c r="G315" s="58"/>
      <c r="H315" s="2092"/>
      <c r="I315" s="2092"/>
      <c r="J315" s="2092"/>
      <c r="K315" s="2092"/>
      <c r="L315" s="2092"/>
      <c r="M315" s="2092"/>
      <c r="N315" s="60"/>
      <c r="O315" s="60"/>
      <c r="P315" s="62"/>
      <c r="Q315" s="62"/>
      <c r="R315" s="62"/>
      <c r="S315" s="58"/>
      <c r="T315" s="58" t="s">
        <v>94</v>
      </c>
      <c r="V315" s="58"/>
      <c r="W315" s="58"/>
      <c r="X315" s="58"/>
      <c r="Y315" s="58"/>
      <c r="AA315" s="2159" t="s">
        <v>2580</v>
      </c>
      <c r="AB315" s="2092"/>
      <c r="AC315" s="2092"/>
      <c r="AD315" s="2092"/>
      <c r="AE315" s="2092"/>
      <c r="AF315" s="2092"/>
      <c r="AG315" s="60"/>
      <c r="AH315" s="60"/>
      <c r="AI315" s="62"/>
      <c r="AJ315" s="62"/>
      <c r="AK315" s="62"/>
      <c r="BN315" s="61"/>
    </row>
    <row r="316" spans="2:66" ht="12.5">
      <c r="B316" s="58" t="s">
        <v>80</v>
      </c>
      <c r="C316" s="58"/>
      <c r="D316" s="58"/>
      <c r="E316" s="58"/>
      <c r="F316" s="58"/>
      <c r="G316" s="58"/>
      <c r="H316" s="2052"/>
      <c r="I316" s="2052"/>
      <c r="J316" s="2052"/>
      <c r="K316" s="2052"/>
      <c r="L316" s="2052"/>
      <c r="M316" s="2052"/>
      <c r="N316" s="2038"/>
      <c r="O316" s="2038"/>
      <c r="P316" s="2038"/>
      <c r="Q316" s="2038"/>
      <c r="R316" s="2038"/>
      <c r="S316" s="58"/>
      <c r="T316" s="58" t="s">
        <v>80</v>
      </c>
      <c r="V316" s="58"/>
      <c r="W316" s="58"/>
      <c r="X316" s="58"/>
      <c r="Y316" s="58"/>
      <c r="AA316" s="2051" t="s">
        <v>2621</v>
      </c>
      <c r="AB316" s="2052"/>
      <c r="AC316" s="2052"/>
      <c r="AD316" s="2052"/>
      <c r="AE316" s="2052"/>
      <c r="AF316" s="2052"/>
      <c r="AG316" s="2038"/>
      <c r="AH316" s="2038"/>
      <c r="AI316" s="2038"/>
      <c r="AJ316" s="2038"/>
      <c r="AK316" s="2038"/>
      <c r="BN316" s="61"/>
    </row>
    <row r="317" spans="2:66" ht="12.5">
      <c r="BN317" s="61"/>
    </row>
    <row r="318" spans="2:66" ht="12.5">
      <c r="B318" s="7" t="s">
        <v>976</v>
      </c>
      <c r="C318" s="58"/>
      <c r="D318" s="58"/>
      <c r="E318" s="58"/>
      <c r="F318" s="58"/>
      <c r="H318" s="2038" t="s">
        <v>2580</v>
      </c>
      <c r="I318" s="2038"/>
      <c r="J318" s="2038"/>
      <c r="K318" s="2038"/>
      <c r="L318" s="2038"/>
      <c r="M318" s="2038"/>
      <c r="N318" s="2038"/>
      <c r="O318" s="2038"/>
      <c r="P318" s="2038"/>
      <c r="Q318" s="2038"/>
      <c r="R318" s="2038"/>
      <c r="T318" s="58" t="s">
        <v>376</v>
      </c>
      <c r="V318" s="58"/>
      <c r="W318" s="58"/>
      <c r="X318" s="58"/>
      <c r="Y318" s="58"/>
      <c r="AA318" s="2038" t="s">
        <v>2593</v>
      </c>
      <c r="AB318" s="2038"/>
      <c r="AC318" s="2038"/>
      <c r="AD318" s="2038"/>
      <c r="AE318" s="2038"/>
      <c r="AF318" s="2038"/>
      <c r="AG318" s="2038"/>
      <c r="AH318" s="2038"/>
      <c r="AI318" s="2038"/>
      <c r="AJ318" s="2038"/>
      <c r="AK318" s="2038"/>
      <c r="BN318" s="61"/>
    </row>
    <row r="319" spans="2:66" ht="12.5">
      <c r="B319" s="58" t="s">
        <v>503</v>
      </c>
      <c r="C319" s="58"/>
      <c r="D319" s="58"/>
      <c r="E319" s="58"/>
      <c r="F319" s="58"/>
      <c r="H319" s="2052"/>
      <c r="I319" s="2052"/>
      <c r="J319" s="2052"/>
      <c r="K319" s="2052"/>
      <c r="L319" s="2052"/>
      <c r="M319" s="2052"/>
      <c r="N319" s="2052"/>
      <c r="O319" s="2052"/>
      <c r="P319" s="2052"/>
      <c r="Q319" s="2052"/>
      <c r="R319" s="2052"/>
      <c r="T319" s="58" t="s">
        <v>503</v>
      </c>
      <c r="V319" s="58"/>
      <c r="W319" s="58"/>
      <c r="X319" s="58"/>
      <c r="Y319" s="58"/>
      <c r="AA319" s="2052" t="s">
        <v>2594</v>
      </c>
      <c r="AB319" s="2052"/>
      <c r="AC319" s="2052"/>
      <c r="AD319" s="2052"/>
      <c r="AE319" s="2052"/>
      <c r="AF319" s="2052"/>
      <c r="AG319" s="2052"/>
      <c r="AH319" s="2052"/>
      <c r="AI319" s="2052"/>
      <c r="AJ319" s="2052"/>
      <c r="AK319" s="2052"/>
      <c r="BN319" s="61"/>
    </row>
    <row r="320" spans="2:66" ht="12.5">
      <c r="B320" s="58" t="s">
        <v>504</v>
      </c>
      <c r="C320" s="58"/>
      <c r="D320" s="58"/>
      <c r="E320" s="58"/>
      <c r="F320" s="58"/>
      <c r="H320" s="2052"/>
      <c r="I320" s="2052"/>
      <c r="J320" s="2052"/>
      <c r="K320" s="2052"/>
      <c r="L320" s="2052"/>
      <c r="M320" s="2052"/>
      <c r="N320" s="2052"/>
      <c r="O320" s="2052"/>
      <c r="P320" s="2052"/>
      <c r="Q320" s="2052"/>
      <c r="R320" s="2052"/>
      <c r="T320" s="58" t="s">
        <v>79</v>
      </c>
      <c r="V320" s="58"/>
      <c r="W320" s="58"/>
      <c r="X320" s="58"/>
      <c r="Y320" s="58"/>
      <c r="AA320" s="2052" t="s">
        <v>2595</v>
      </c>
      <c r="AB320" s="2052"/>
      <c r="AC320" s="2052"/>
      <c r="AD320" s="2052"/>
      <c r="AE320" s="2052"/>
      <c r="AF320" s="2052"/>
      <c r="AG320" s="2052"/>
      <c r="AH320" s="2052"/>
      <c r="AI320" s="2052"/>
      <c r="AJ320" s="2052"/>
      <c r="AK320" s="2052"/>
      <c r="BN320" s="61"/>
    </row>
    <row r="321" spans="1:66" ht="12.75" customHeight="1">
      <c r="A321" s="39"/>
      <c r="B321" s="58" t="s">
        <v>92</v>
      </c>
      <c r="C321" s="58"/>
      <c r="D321" s="58"/>
      <c r="E321" s="58"/>
      <c r="F321" s="58"/>
      <c r="H321" s="2052"/>
      <c r="I321" s="2052"/>
      <c r="J321" s="2052"/>
      <c r="K321" s="2052"/>
      <c r="L321" s="2052"/>
      <c r="M321" s="2052"/>
      <c r="N321" s="2052"/>
      <c r="O321" s="2052"/>
      <c r="P321" s="2052"/>
      <c r="Q321" s="2052"/>
      <c r="R321" s="2052"/>
      <c r="T321" s="58" t="s">
        <v>92</v>
      </c>
      <c r="V321" s="58"/>
      <c r="W321" s="58"/>
      <c r="X321" s="58"/>
      <c r="Y321" s="58"/>
      <c r="AA321" s="2051" t="s">
        <v>2596</v>
      </c>
      <c r="AB321" s="2052"/>
      <c r="AC321" s="2052"/>
      <c r="AD321" s="2052"/>
      <c r="AE321" s="2052"/>
      <c r="AF321" s="2052"/>
      <c r="AG321" s="2052"/>
      <c r="AH321" s="2052"/>
      <c r="AI321" s="2052"/>
      <c r="AJ321" s="2052"/>
      <c r="AK321" s="2052"/>
      <c r="AL321" s="39"/>
      <c r="BN321" s="61"/>
    </row>
    <row r="322" spans="1:66" ht="12.5">
      <c r="A322" s="39"/>
      <c r="B322" s="58" t="s">
        <v>93</v>
      </c>
      <c r="C322" s="58"/>
      <c r="D322" s="58"/>
      <c r="E322" s="58"/>
      <c r="F322" s="58"/>
      <c r="G322" s="58"/>
      <c r="H322" s="2209"/>
      <c r="I322" s="2209"/>
      <c r="J322" s="2209"/>
      <c r="K322" s="2209"/>
      <c r="L322" s="2209"/>
      <c r="M322" s="2209"/>
      <c r="N322" s="7" t="s">
        <v>212</v>
      </c>
      <c r="O322" s="7"/>
      <c r="P322" s="2208"/>
      <c r="Q322" s="2208"/>
      <c r="R322" s="2208"/>
      <c r="S322" s="58"/>
      <c r="T322" s="58" t="s">
        <v>93</v>
      </c>
      <c r="V322" s="58"/>
      <c r="W322" s="58"/>
      <c r="X322" s="58"/>
      <c r="Y322" s="58"/>
      <c r="AA322" s="2213">
        <v>4022020771</v>
      </c>
      <c r="AB322" s="2213"/>
      <c r="AC322" s="2213"/>
      <c r="AD322" s="2213"/>
      <c r="AE322" s="2213"/>
      <c r="AF322" s="2213"/>
      <c r="AG322" s="7" t="s">
        <v>212</v>
      </c>
      <c r="AH322" s="7"/>
      <c r="AI322" s="2208"/>
      <c r="AJ322" s="2208"/>
      <c r="AK322" s="2208"/>
      <c r="AL322" s="39"/>
      <c r="BN322" s="61"/>
    </row>
    <row r="323" spans="1:66" ht="12.75" customHeight="1">
      <c r="A323" s="39"/>
      <c r="B323" s="58" t="s">
        <v>94</v>
      </c>
      <c r="C323" s="58"/>
      <c r="D323" s="58"/>
      <c r="E323" s="58"/>
      <c r="F323" s="58"/>
      <c r="G323" s="58"/>
      <c r="H323" s="2092"/>
      <c r="I323" s="2092"/>
      <c r="J323" s="2092"/>
      <c r="K323" s="2092"/>
      <c r="L323" s="2092"/>
      <c r="M323" s="2092"/>
      <c r="N323" s="60"/>
      <c r="O323" s="60"/>
      <c r="P323" s="62"/>
      <c r="Q323" s="62"/>
      <c r="R323" s="62"/>
      <c r="S323" s="58"/>
      <c r="T323" s="58" t="s">
        <v>94</v>
      </c>
      <c r="V323" s="58"/>
      <c r="W323" s="58"/>
      <c r="X323" s="58"/>
      <c r="Y323" s="58"/>
      <c r="AA323" s="2159" t="s">
        <v>625</v>
      </c>
      <c r="AB323" s="2159"/>
      <c r="AC323" s="2159"/>
      <c r="AD323" s="2159"/>
      <c r="AE323" s="2159"/>
      <c r="AF323" s="2159"/>
      <c r="AG323" s="60"/>
      <c r="AH323" s="60"/>
      <c r="AI323" s="62"/>
      <c r="AJ323" s="62"/>
      <c r="AK323" s="62"/>
      <c r="AL323" s="39"/>
    </row>
    <row r="324" spans="1:66" ht="12.5">
      <c r="A324" s="39"/>
      <c r="B324" s="58" t="s">
        <v>80</v>
      </c>
      <c r="C324" s="58"/>
      <c r="D324" s="58"/>
      <c r="E324" s="58"/>
      <c r="F324" s="58"/>
      <c r="G324" s="58"/>
      <c r="H324" s="2052"/>
      <c r="I324" s="2052"/>
      <c r="J324" s="2052"/>
      <c r="K324" s="2052"/>
      <c r="L324" s="2052"/>
      <c r="M324" s="2052"/>
      <c r="N324" s="2038"/>
      <c r="O324" s="2038"/>
      <c r="P324" s="2038"/>
      <c r="Q324" s="2038"/>
      <c r="R324" s="2038"/>
      <c r="S324" s="58"/>
      <c r="T324" s="58" t="s">
        <v>80</v>
      </c>
      <c r="V324" s="58"/>
      <c r="W324" s="58"/>
      <c r="X324" s="58"/>
      <c r="Y324" s="58"/>
      <c r="AA324" s="2052" t="s">
        <v>2597</v>
      </c>
      <c r="AB324" s="2052"/>
      <c r="AC324" s="2052"/>
      <c r="AD324" s="2052"/>
      <c r="AE324" s="2052"/>
      <c r="AF324" s="2052"/>
      <c r="AG324" s="2038"/>
      <c r="AH324" s="2038"/>
      <c r="AI324" s="2038"/>
      <c r="AJ324" s="2038"/>
      <c r="AK324" s="2038"/>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50" t="s">
        <v>2580</v>
      </c>
      <c r="I326" s="2038"/>
      <c r="J326" s="2038"/>
      <c r="K326" s="2038"/>
      <c r="L326" s="2038"/>
      <c r="M326" s="2038"/>
      <c r="N326" s="2038"/>
      <c r="O326" s="2038"/>
      <c r="P326" s="2038"/>
      <c r="Q326" s="2038"/>
      <c r="R326" s="2038"/>
      <c r="T326" s="58" t="s">
        <v>378</v>
      </c>
      <c r="V326" s="58"/>
      <c r="W326" s="58"/>
      <c r="X326" s="58"/>
      <c r="Y326" s="58"/>
      <c r="AA326" s="2050" t="s">
        <v>2580</v>
      </c>
      <c r="AB326" s="2038"/>
      <c r="AC326" s="2038"/>
      <c r="AD326" s="2038"/>
      <c r="AE326" s="2038"/>
      <c r="AF326" s="2038"/>
      <c r="AG326" s="2038"/>
      <c r="AH326" s="2038"/>
      <c r="AI326" s="2038"/>
      <c r="AJ326" s="2038"/>
      <c r="AK326" s="2038"/>
      <c r="AL326" s="39"/>
    </row>
    <row r="327" spans="1:66" ht="12.5">
      <c r="A327" s="39"/>
      <c r="B327" s="58" t="s">
        <v>503</v>
      </c>
      <c r="C327" s="58"/>
      <c r="D327" s="58"/>
      <c r="E327" s="58"/>
      <c r="F327" s="58"/>
      <c r="H327" s="2052"/>
      <c r="I327" s="2052"/>
      <c r="J327" s="2052"/>
      <c r="K327" s="2052"/>
      <c r="L327" s="2052"/>
      <c r="M327" s="2052"/>
      <c r="N327" s="2052"/>
      <c r="O327" s="2052"/>
      <c r="P327" s="2052"/>
      <c r="Q327" s="2052"/>
      <c r="R327" s="2052"/>
      <c r="T327" s="58" t="s">
        <v>503</v>
      </c>
      <c r="V327" s="58"/>
      <c r="W327" s="58"/>
      <c r="X327" s="58"/>
      <c r="Y327" s="58"/>
      <c r="AA327" s="2052"/>
      <c r="AB327" s="2052"/>
      <c r="AC327" s="2052"/>
      <c r="AD327" s="2052"/>
      <c r="AE327" s="2052"/>
      <c r="AF327" s="2052"/>
      <c r="AG327" s="2052"/>
      <c r="AH327" s="2052"/>
      <c r="AI327" s="2052"/>
      <c r="AJ327" s="2052"/>
      <c r="AK327" s="2052"/>
      <c r="AL327" s="39"/>
    </row>
    <row r="328" spans="1:66" ht="12.5">
      <c r="A328" s="39"/>
      <c r="B328" s="58" t="s">
        <v>504</v>
      </c>
      <c r="C328" s="58"/>
      <c r="D328" s="58"/>
      <c r="E328" s="58"/>
      <c r="F328" s="58"/>
      <c r="H328" s="2052"/>
      <c r="I328" s="2052"/>
      <c r="J328" s="2052"/>
      <c r="K328" s="2052"/>
      <c r="L328" s="2052"/>
      <c r="M328" s="2052"/>
      <c r="N328" s="2052"/>
      <c r="O328" s="2052"/>
      <c r="P328" s="2052"/>
      <c r="Q328" s="2052"/>
      <c r="R328" s="2052"/>
      <c r="T328" s="58" t="s">
        <v>79</v>
      </c>
      <c r="V328" s="58"/>
      <c r="W328" s="58"/>
      <c r="X328" s="58"/>
      <c r="Y328" s="58"/>
      <c r="AA328" s="2052"/>
      <c r="AB328" s="2052"/>
      <c r="AC328" s="2052"/>
      <c r="AD328" s="2052"/>
      <c r="AE328" s="2052"/>
      <c r="AF328" s="2052"/>
      <c r="AG328" s="2052"/>
      <c r="AH328" s="2052"/>
      <c r="AI328" s="2052"/>
      <c r="AJ328" s="2052"/>
      <c r="AK328" s="2052"/>
      <c r="AL328" s="39"/>
    </row>
    <row r="329" spans="1:66" ht="12.5">
      <c r="A329" s="39"/>
      <c r="B329" s="58" t="s">
        <v>92</v>
      </c>
      <c r="C329" s="58"/>
      <c r="D329" s="58"/>
      <c r="E329" s="58"/>
      <c r="F329" s="58"/>
      <c r="H329" s="2052"/>
      <c r="I329" s="2052"/>
      <c r="J329" s="2052"/>
      <c r="K329" s="2052"/>
      <c r="L329" s="2052"/>
      <c r="M329" s="2052"/>
      <c r="N329" s="2052"/>
      <c r="O329" s="2052"/>
      <c r="P329" s="2052"/>
      <c r="Q329" s="2052"/>
      <c r="R329" s="2052"/>
      <c r="T329" s="58" t="s">
        <v>92</v>
      </c>
      <c r="V329" s="58"/>
      <c r="W329" s="58"/>
      <c r="X329" s="58"/>
      <c r="Y329" s="58"/>
      <c r="AA329" s="2052"/>
      <c r="AB329" s="2052"/>
      <c r="AC329" s="2052"/>
      <c r="AD329" s="2052"/>
      <c r="AE329" s="2052"/>
      <c r="AF329" s="2052"/>
      <c r="AG329" s="2052"/>
      <c r="AH329" s="2052"/>
      <c r="AI329" s="2052"/>
      <c r="AJ329" s="2052"/>
      <c r="AK329" s="2052"/>
      <c r="AL329" s="39"/>
    </row>
    <row r="330" spans="1:66" ht="12.75" customHeight="1">
      <c r="A330" s="39"/>
      <c r="B330" s="58" t="s">
        <v>93</v>
      </c>
      <c r="C330" s="58"/>
      <c r="D330" s="58"/>
      <c r="E330" s="58"/>
      <c r="F330" s="58"/>
      <c r="G330" s="58"/>
      <c r="H330" s="2209"/>
      <c r="I330" s="2209"/>
      <c r="J330" s="2209"/>
      <c r="K330" s="2209"/>
      <c r="L330" s="2209"/>
      <c r="M330" s="2209"/>
      <c r="N330" s="7" t="s">
        <v>212</v>
      </c>
      <c r="O330" s="7"/>
      <c r="P330" s="2208"/>
      <c r="Q330" s="2208"/>
      <c r="R330" s="2208"/>
      <c r="S330" s="58"/>
      <c r="T330" s="58" t="s">
        <v>93</v>
      </c>
      <c r="V330" s="58"/>
      <c r="W330" s="58"/>
      <c r="X330" s="58"/>
      <c r="Y330" s="58"/>
      <c r="AA330" s="2209"/>
      <c r="AB330" s="2209"/>
      <c r="AC330" s="2209"/>
      <c r="AD330" s="2209"/>
      <c r="AE330" s="2209"/>
      <c r="AF330" s="2209"/>
      <c r="AG330" s="7" t="s">
        <v>212</v>
      </c>
      <c r="AH330" s="7"/>
      <c r="AI330" s="2208"/>
      <c r="AJ330" s="2208"/>
      <c r="AK330" s="2208"/>
      <c r="AL330" s="39"/>
    </row>
    <row r="331" spans="1:66" ht="12.5">
      <c r="A331" s="39"/>
      <c r="B331" s="58" t="s">
        <v>94</v>
      </c>
      <c r="C331" s="58"/>
      <c r="D331" s="58"/>
      <c r="E331" s="58"/>
      <c r="F331" s="58"/>
      <c r="G331" s="58"/>
      <c r="H331" s="2092"/>
      <c r="I331" s="2092"/>
      <c r="J331" s="2092"/>
      <c r="K331" s="2092"/>
      <c r="L331" s="2092"/>
      <c r="M331" s="2092"/>
      <c r="N331" s="60"/>
      <c r="O331" s="60"/>
      <c r="P331" s="62"/>
      <c r="Q331" s="62"/>
      <c r="R331" s="62"/>
      <c r="S331" s="58"/>
      <c r="T331" s="58" t="s">
        <v>94</v>
      </c>
      <c r="V331" s="58"/>
      <c r="W331" s="58"/>
      <c r="X331" s="58"/>
      <c r="Y331" s="58"/>
      <c r="AA331" s="2092"/>
      <c r="AB331" s="2092"/>
      <c r="AC331" s="2092"/>
      <c r="AD331" s="2092"/>
      <c r="AE331" s="2092"/>
      <c r="AF331" s="2092"/>
      <c r="AG331" s="60"/>
      <c r="AH331" s="60"/>
      <c r="AI331" s="62"/>
      <c r="AJ331" s="62"/>
      <c r="AK331" s="62"/>
      <c r="AL331" s="39"/>
    </row>
    <row r="332" spans="1:66" ht="12.5">
      <c r="A332" s="39"/>
      <c r="B332" s="58" t="s">
        <v>80</v>
      </c>
      <c r="C332" s="58"/>
      <c r="D332" s="58"/>
      <c r="E332" s="58"/>
      <c r="F332" s="58"/>
      <c r="G332" s="58"/>
      <c r="H332" s="2052"/>
      <c r="I332" s="2052"/>
      <c r="J332" s="2052"/>
      <c r="K332" s="2052"/>
      <c r="L332" s="2052"/>
      <c r="M332" s="2052"/>
      <c r="N332" s="2038"/>
      <c r="O332" s="2038"/>
      <c r="P332" s="2038"/>
      <c r="Q332" s="2038"/>
      <c r="R332" s="2038"/>
      <c r="S332" s="58"/>
      <c r="T332" s="58" t="s">
        <v>80</v>
      </c>
      <c r="V332" s="58"/>
      <c r="W332" s="58"/>
      <c r="X332" s="58"/>
      <c r="Y332" s="58"/>
      <c r="AA332" s="2052"/>
      <c r="AB332" s="2052"/>
      <c r="AC332" s="2052"/>
      <c r="AD332" s="2052"/>
      <c r="AE332" s="2052"/>
      <c r="AF332" s="2052"/>
      <c r="AG332" s="2038"/>
      <c r="AH332" s="2038"/>
      <c r="AI332" s="2038"/>
      <c r="AJ332" s="2038"/>
      <c r="AK332" s="203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8" t="s">
        <v>2598</v>
      </c>
      <c r="I334" s="2038"/>
      <c r="J334" s="2038"/>
      <c r="K334" s="2038"/>
      <c r="L334" s="2038"/>
      <c r="M334" s="2038"/>
      <c r="N334" s="2038"/>
      <c r="O334" s="2038"/>
      <c r="P334" s="2038"/>
      <c r="Q334" s="2038"/>
      <c r="R334" s="2038"/>
      <c r="T334" s="405" t="s">
        <v>951</v>
      </c>
      <c r="V334" s="58"/>
      <c r="W334" s="58"/>
      <c r="X334" s="58"/>
      <c r="Y334" s="58"/>
      <c r="AA334" s="2050" t="s">
        <v>2605</v>
      </c>
      <c r="AB334" s="2038"/>
      <c r="AC334" s="2038"/>
      <c r="AD334" s="2038"/>
      <c r="AE334" s="2038"/>
      <c r="AF334" s="2038"/>
      <c r="AG334" s="2038"/>
      <c r="AH334" s="2038"/>
      <c r="AI334" s="2038"/>
      <c r="AJ334" s="2038"/>
      <c r="AK334" s="2038"/>
      <c r="AL334" s="39"/>
    </row>
    <row r="335" spans="1:66" ht="12.75" customHeight="1">
      <c r="B335" s="58" t="s">
        <v>503</v>
      </c>
      <c r="C335" s="240"/>
      <c r="D335" s="240"/>
      <c r="E335" s="240"/>
      <c r="F335" s="240"/>
      <c r="G335" s="3"/>
      <c r="H335" s="2052" t="s">
        <v>2599</v>
      </c>
      <c r="I335" s="2052"/>
      <c r="J335" s="2052"/>
      <c r="K335" s="2052"/>
      <c r="L335" s="2052"/>
      <c r="M335" s="2052"/>
      <c r="N335" s="2052"/>
      <c r="O335" s="2052"/>
      <c r="P335" s="2052"/>
      <c r="Q335" s="2052"/>
      <c r="R335" s="2052"/>
      <c r="T335" s="58" t="s">
        <v>503</v>
      </c>
      <c r="V335" s="58"/>
      <c r="W335" s="58"/>
      <c r="X335" s="58"/>
      <c r="Y335" s="58"/>
      <c r="AA335" s="2051" t="s">
        <v>2562</v>
      </c>
      <c r="AB335" s="2052"/>
      <c r="AC335" s="2052"/>
      <c r="AD335" s="2052"/>
      <c r="AE335" s="2052"/>
      <c r="AF335" s="2052"/>
      <c r="AG335" s="2052"/>
      <c r="AH335" s="2052"/>
      <c r="AI335" s="2052"/>
      <c r="AJ335" s="2052"/>
      <c r="AK335" s="2052"/>
      <c r="AL335" s="39"/>
    </row>
    <row r="336" spans="1:66" ht="12.75" customHeight="1">
      <c r="B336" s="58" t="s">
        <v>79</v>
      </c>
      <c r="C336" s="240"/>
      <c r="D336" s="240"/>
      <c r="E336" s="240"/>
      <c r="F336" s="240"/>
      <c r="G336" s="3"/>
      <c r="H336" s="2052" t="s">
        <v>2600</v>
      </c>
      <c r="I336" s="2052"/>
      <c r="J336" s="2052"/>
      <c r="K336" s="2052"/>
      <c r="L336" s="2052"/>
      <c r="M336" s="2052"/>
      <c r="N336" s="2052"/>
      <c r="O336" s="2052"/>
      <c r="P336" s="2052"/>
      <c r="Q336" s="2052"/>
      <c r="R336" s="2052"/>
      <c r="T336" s="58" t="s">
        <v>79</v>
      </c>
      <c r="V336" s="58"/>
      <c r="W336" s="58"/>
      <c r="X336" s="58"/>
      <c r="Y336" s="58"/>
      <c r="AA336" s="2051" t="s">
        <v>2563</v>
      </c>
      <c r="AB336" s="2052"/>
      <c r="AC336" s="2052"/>
      <c r="AD336" s="2052"/>
      <c r="AE336" s="2052"/>
      <c r="AF336" s="2052"/>
      <c r="AG336" s="2052"/>
      <c r="AH336" s="2052"/>
      <c r="AI336" s="2052"/>
      <c r="AJ336" s="2052"/>
      <c r="AK336" s="2052"/>
      <c r="AL336" s="39"/>
    </row>
    <row r="337" spans="1:66" ht="12.75" customHeight="1">
      <c r="A337" s="39"/>
      <c r="B337" s="58" t="s">
        <v>92</v>
      </c>
      <c r="C337" s="240"/>
      <c r="D337" s="240"/>
      <c r="E337" s="240"/>
      <c r="F337" s="240"/>
      <c r="G337" s="240"/>
      <c r="H337" s="2052" t="s">
        <v>2601</v>
      </c>
      <c r="I337" s="2052"/>
      <c r="J337" s="2052"/>
      <c r="K337" s="2052"/>
      <c r="L337" s="2052"/>
      <c r="M337" s="2052"/>
      <c r="N337" s="2052"/>
      <c r="O337" s="2052"/>
      <c r="P337" s="2052"/>
      <c r="Q337" s="2052"/>
      <c r="R337" s="2052"/>
      <c r="T337" s="58" t="s">
        <v>92</v>
      </c>
      <c r="V337" s="58"/>
      <c r="W337" s="58"/>
      <c r="X337" s="58"/>
      <c r="Y337" s="58"/>
      <c r="AA337" s="2051" t="s">
        <v>2606</v>
      </c>
      <c r="AB337" s="2052"/>
      <c r="AC337" s="2052"/>
      <c r="AD337" s="2052"/>
      <c r="AE337" s="2052"/>
      <c r="AF337" s="2052"/>
      <c r="AG337" s="2052"/>
      <c r="AH337" s="2052"/>
      <c r="AI337" s="2052"/>
      <c r="AJ337" s="2052"/>
      <c r="AK337" s="2052"/>
      <c r="AL337" s="39"/>
    </row>
    <row r="338" spans="1:66" ht="12.75" customHeight="1">
      <c r="A338" s="39"/>
      <c r="B338" s="58" t="s">
        <v>93</v>
      </c>
      <c r="C338" s="240"/>
      <c r="D338" s="240"/>
      <c r="E338" s="240"/>
      <c r="F338" s="240"/>
      <c r="G338" s="240"/>
      <c r="H338" s="2213" t="s">
        <v>2602</v>
      </c>
      <c r="I338" s="2213"/>
      <c r="J338" s="2213"/>
      <c r="K338" s="2213"/>
      <c r="L338" s="2213"/>
      <c r="M338" s="2213"/>
      <c r="N338" s="7" t="s">
        <v>212</v>
      </c>
      <c r="O338" s="7"/>
      <c r="P338" s="2208"/>
      <c r="Q338" s="2208"/>
      <c r="R338" s="2208"/>
      <c r="S338" s="58"/>
      <c r="T338" s="58" t="s">
        <v>93</v>
      </c>
      <c r="V338" s="58"/>
      <c r="W338" s="58"/>
      <c r="X338" s="58"/>
      <c r="Y338" s="58"/>
      <c r="AA338" s="2213">
        <v>9167243939</v>
      </c>
      <c r="AB338" s="2213"/>
      <c r="AC338" s="2213"/>
      <c r="AD338" s="2213"/>
      <c r="AE338" s="2213"/>
      <c r="AF338" s="2213"/>
      <c r="AG338" s="7" t="s">
        <v>212</v>
      </c>
      <c r="AH338" s="7"/>
      <c r="AI338" s="2208"/>
      <c r="AJ338" s="2208"/>
      <c r="AK338" s="2208"/>
      <c r="AL338" s="39"/>
    </row>
    <row r="339" spans="1:66" ht="12.5">
      <c r="A339" s="39"/>
      <c r="B339" s="58" t="s">
        <v>94</v>
      </c>
      <c r="C339" s="240"/>
      <c r="D339" s="240"/>
      <c r="E339" s="240"/>
      <c r="F339" s="240"/>
      <c r="G339" s="240"/>
      <c r="H339" s="2159" t="s">
        <v>2603</v>
      </c>
      <c r="I339" s="2159"/>
      <c r="J339" s="2159"/>
      <c r="K339" s="2159"/>
      <c r="L339" s="2159"/>
      <c r="M339" s="2159"/>
      <c r="N339" s="60"/>
      <c r="O339" s="60"/>
      <c r="P339" s="62"/>
      <c r="Q339" s="62"/>
      <c r="R339" s="62"/>
      <c r="S339" s="58"/>
      <c r="T339" s="58" t="s">
        <v>94</v>
      </c>
      <c r="V339" s="58"/>
      <c r="W339" s="58"/>
      <c r="X339" s="58"/>
      <c r="Y339" s="58"/>
      <c r="AA339" s="2159">
        <v>9167735866</v>
      </c>
      <c r="AB339" s="2159"/>
      <c r="AC339" s="2159"/>
      <c r="AD339" s="2159"/>
      <c r="AE339" s="2159"/>
      <c r="AF339" s="2159"/>
      <c r="AG339" s="60"/>
      <c r="AH339" s="60"/>
      <c r="AI339" s="62"/>
      <c r="AJ339" s="62"/>
      <c r="AK339" s="62"/>
      <c r="AL339" s="39"/>
    </row>
    <row r="340" spans="1:66" ht="12.5">
      <c r="A340" s="39"/>
      <c r="B340" s="58" t="s">
        <v>80</v>
      </c>
      <c r="C340" s="237"/>
      <c r="D340" s="237"/>
      <c r="E340" s="237"/>
      <c r="F340" s="237"/>
      <c r="G340" s="237"/>
      <c r="H340" s="2052" t="s">
        <v>2604</v>
      </c>
      <c r="I340" s="2052"/>
      <c r="J340" s="2052"/>
      <c r="K340" s="2052"/>
      <c r="L340" s="2052"/>
      <c r="M340" s="2052"/>
      <c r="N340" s="2038"/>
      <c r="O340" s="2038"/>
      <c r="P340" s="2038"/>
      <c r="Q340" s="2038"/>
      <c r="R340" s="2038"/>
      <c r="S340" s="58"/>
      <c r="T340" s="58" t="s">
        <v>80</v>
      </c>
      <c r="V340" s="58"/>
      <c r="W340" s="58"/>
      <c r="X340" s="58"/>
      <c r="Y340" s="58"/>
      <c r="AA340" s="2052" t="s">
        <v>2607</v>
      </c>
      <c r="AB340" s="2052"/>
      <c r="AC340" s="2052"/>
      <c r="AD340" s="2052"/>
      <c r="AE340" s="2052"/>
      <c r="AF340" s="2052"/>
      <c r="AG340" s="2038"/>
      <c r="AH340" s="2038"/>
      <c r="AI340" s="2038"/>
      <c r="AJ340" s="2038"/>
      <c r="AK340" s="203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952</v>
      </c>
      <c r="P342" s="2038" t="s">
        <v>2580</v>
      </c>
      <c r="Q342" s="2038"/>
      <c r="R342" s="2038"/>
      <c r="S342" s="2038"/>
      <c r="T342" s="2038"/>
      <c r="U342" s="2038"/>
      <c r="V342" s="2038"/>
      <c r="W342" s="2038"/>
      <c r="X342" s="2038"/>
      <c r="Y342" s="2038"/>
      <c r="Z342" s="2038"/>
      <c r="AA342" s="2038"/>
      <c r="AB342" s="2038"/>
      <c r="AC342" s="2038"/>
      <c r="AD342" s="2038"/>
      <c r="AE342" s="2038"/>
      <c r="AF342" s="88"/>
      <c r="AG342" s="88"/>
      <c r="AH342" s="88"/>
      <c r="AI342" s="88"/>
      <c r="AJ342" s="88"/>
      <c r="AK342" s="88"/>
      <c r="AL342" s="39"/>
      <c r="BN342" s="12" t="s">
        <v>625</v>
      </c>
    </row>
    <row r="343" spans="1:66" ht="12.5">
      <c r="A343" s="3"/>
      <c r="B343" s="60"/>
      <c r="C343" s="60"/>
      <c r="D343" s="60"/>
      <c r="E343" s="60"/>
      <c r="F343" s="60"/>
      <c r="G343" s="3"/>
      <c r="H343" s="88"/>
      <c r="I343" s="7" t="s">
        <v>503</v>
      </c>
      <c r="P343" s="2052"/>
      <c r="Q343" s="2052"/>
      <c r="R343" s="2052"/>
      <c r="S343" s="2052"/>
      <c r="T343" s="2052"/>
      <c r="U343" s="2052"/>
      <c r="V343" s="2052"/>
      <c r="W343" s="2052"/>
      <c r="X343" s="2052"/>
      <c r="Y343" s="2052"/>
      <c r="Z343" s="2052"/>
      <c r="AA343" s="2052"/>
      <c r="AB343" s="2052"/>
      <c r="AC343" s="2052"/>
      <c r="AD343" s="2052"/>
      <c r="AE343" s="2052"/>
      <c r="AF343" s="88"/>
      <c r="AG343" s="88"/>
      <c r="AH343" s="88"/>
      <c r="AI343" s="88"/>
      <c r="AJ343" s="88"/>
      <c r="AK343" s="88"/>
      <c r="AL343" s="39"/>
      <c r="BN343" s="12" t="s">
        <v>705</v>
      </c>
    </row>
    <row r="344" spans="1:66" ht="12.5">
      <c r="A344" s="3"/>
      <c r="B344" s="60"/>
      <c r="C344" s="60"/>
      <c r="D344" s="60"/>
      <c r="E344" s="60"/>
      <c r="F344" s="60"/>
      <c r="G344" s="3"/>
      <c r="H344" s="88"/>
      <c r="I344" s="7" t="s">
        <v>79</v>
      </c>
      <c r="P344" s="2052"/>
      <c r="Q344" s="2052"/>
      <c r="R344" s="2052"/>
      <c r="S344" s="2052"/>
      <c r="T344" s="2052"/>
      <c r="U344" s="2052"/>
      <c r="V344" s="2052"/>
      <c r="W344" s="2052"/>
      <c r="X344" s="2052"/>
      <c r="Y344" s="2052"/>
      <c r="Z344" s="2052"/>
      <c r="AA344" s="2052"/>
      <c r="AB344" s="2052"/>
      <c r="AC344" s="2052"/>
      <c r="AD344" s="2052"/>
      <c r="AE344" s="2052"/>
      <c r="AF344" s="88"/>
      <c r="AG344" s="88"/>
      <c r="AH344" s="88"/>
      <c r="AI344" s="88"/>
      <c r="AJ344" s="88"/>
      <c r="AK344" s="88"/>
      <c r="AL344" s="39"/>
      <c r="BN344" s="12" t="s">
        <v>577</v>
      </c>
    </row>
    <row r="345" spans="1:66" ht="12.5">
      <c r="A345" s="3"/>
      <c r="B345" s="60"/>
      <c r="C345" s="60"/>
      <c r="D345" s="60"/>
      <c r="E345" s="60"/>
      <c r="F345" s="60"/>
      <c r="G345" s="60"/>
      <c r="H345" s="88"/>
      <c r="I345" s="7" t="s">
        <v>92</v>
      </c>
      <c r="P345" s="2052"/>
      <c r="Q345" s="2052"/>
      <c r="R345" s="2052"/>
      <c r="S345" s="2052"/>
      <c r="T345" s="2052"/>
      <c r="U345" s="2052"/>
      <c r="V345" s="2052"/>
      <c r="W345" s="2052"/>
      <c r="X345" s="2052"/>
      <c r="Y345" s="2052"/>
      <c r="Z345" s="2052"/>
      <c r="AA345" s="2052"/>
      <c r="AB345" s="2052"/>
      <c r="AC345" s="2052"/>
      <c r="AD345" s="2052"/>
      <c r="AE345" s="2052"/>
      <c r="AF345" s="88"/>
      <c r="AG345" s="88"/>
      <c r="AH345" s="88"/>
      <c r="AI345" s="88"/>
      <c r="AJ345" s="88"/>
      <c r="AK345" s="88"/>
      <c r="AL345" s="39"/>
    </row>
    <row r="346" spans="1:66" ht="12.5">
      <c r="A346" s="3"/>
      <c r="B346" s="60"/>
      <c r="C346" s="60"/>
      <c r="D346" s="60"/>
      <c r="E346" s="60"/>
      <c r="F346" s="60"/>
      <c r="G346" s="60"/>
      <c r="H346" s="465"/>
      <c r="I346" s="7" t="s">
        <v>93</v>
      </c>
      <c r="P346" s="2092"/>
      <c r="Q346" s="2092"/>
      <c r="R346" s="2092"/>
      <c r="S346" s="2092"/>
      <c r="T346" s="2092"/>
      <c r="U346" s="2092"/>
      <c r="V346" s="2092"/>
      <c r="W346" s="2092"/>
      <c r="X346" s="2092"/>
      <c r="Y346" s="2092"/>
      <c r="Z346" s="2092"/>
      <c r="AA346" s="7" t="s">
        <v>212</v>
      </c>
      <c r="AB346" s="7"/>
      <c r="AC346" s="2171"/>
      <c r="AD346" s="2171"/>
      <c r="AE346" s="2171"/>
      <c r="AF346" s="465"/>
      <c r="AG346" s="60"/>
      <c r="AH346" s="60"/>
      <c r="AI346" s="406"/>
      <c r="AJ346" s="406"/>
      <c r="AK346" s="406"/>
      <c r="AL346" s="39"/>
    </row>
    <row r="347" spans="1:66" ht="12.75" customHeight="1">
      <c r="A347" s="3"/>
      <c r="B347" s="60"/>
      <c r="C347" s="60"/>
      <c r="D347" s="60"/>
      <c r="E347" s="60"/>
      <c r="F347" s="60"/>
      <c r="G347" s="60"/>
      <c r="H347" s="465"/>
      <c r="I347" s="7" t="s">
        <v>94</v>
      </c>
      <c r="P347" s="2092"/>
      <c r="Q347" s="2092"/>
      <c r="R347" s="2092"/>
      <c r="S347" s="2092"/>
      <c r="T347" s="2092"/>
      <c r="U347" s="2092"/>
      <c r="V347" s="2092"/>
      <c r="W347" s="2092"/>
      <c r="X347" s="2092"/>
      <c r="Y347" s="2092"/>
      <c r="Z347" s="2092"/>
      <c r="AF347" s="465"/>
      <c r="AG347" s="60"/>
      <c r="AH347" s="60"/>
      <c r="AI347" s="62"/>
      <c r="AJ347" s="62"/>
      <c r="AK347" s="62"/>
      <c r="AL347" s="39"/>
    </row>
    <row r="348" spans="1:66" ht="12.5">
      <c r="A348" s="3"/>
      <c r="B348" s="60"/>
      <c r="C348" s="406"/>
      <c r="D348" s="406"/>
      <c r="E348" s="406"/>
      <c r="F348" s="406"/>
      <c r="G348" s="406"/>
      <c r="H348" s="88"/>
      <c r="I348" s="7" t="s">
        <v>80</v>
      </c>
      <c r="P348" s="2038"/>
      <c r="Q348" s="2038"/>
      <c r="R348" s="2038"/>
      <c r="S348" s="2038"/>
      <c r="T348" s="2038"/>
      <c r="U348" s="2038"/>
      <c r="V348" s="2038"/>
      <c r="W348" s="2038"/>
      <c r="X348" s="2038"/>
      <c r="Y348" s="2038"/>
      <c r="Z348" s="2038"/>
      <c r="AA348" s="2038"/>
      <c r="AB348" s="2038"/>
      <c r="AC348" s="2038"/>
      <c r="AD348" s="2038"/>
      <c r="AE348" s="203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48" t="s">
        <v>574</v>
      </c>
      <c r="B350" s="2048"/>
      <c r="C350" s="2048"/>
      <c r="D350" s="2048"/>
      <c r="E350" s="2048"/>
      <c r="F350" s="2048"/>
      <c r="G350" s="2048"/>
      <c r="H350" s="2048"/>
      <c r="I350" s="2048"/>
      <c r="J350" s="2048"/>
      <c r="K350" s="2048"/>
      <c r="L350" s="2048"/>
      <c r="M350" s="2048"/>
      <c r="N350" s="2048"/>
      <c r="O350" s="2048"/>
      <c r="P350" s="2048"/>
      <c r="Q350" s="2048"/>
      <c r="R350" s="2048"/>
      <c r="S350" s="2048"/>
      <c r="T350" s="2048"/>
      <c r="U350" s="2048"/>
      <c r="V350" s="2048"/>
      <c r="W350" s="2048"/>
      <c r="X350" s="2048"/>
      <c r="Y350" s="2048"/>
      <c r="Z350" s="2048"/>
      <c r="AA350" s="2048"/>
      <c r="AB350" s="2048"/>
      <c r="AC350" s="2048"/>
      <c r="AD350" s="2048"/>
      <c r="AE350" s="2048"/>
      <c r="AF350" s="2048"/>
      <c r="AG350" s="2048"/>
      <c r="AH350" s="2048"/>
      <c r="AI350" s="2048"/>
      <c r="AJ350" s="2048"/>
      <c r="AK350" s="2048"/>
      <c r="AL350" s="2048"/>
      <c r="AM350" s="144"/>
      <c r="AN350" s="144"/>
      <c r="AO350" s="144"/>
      <c r="AP350" s="144"/>
      <c r="AQ350" s="144"/>
      <c r="AR350" s="144"/>
      <c r="AS350" s="144"/>
      <c r="AT350" s="144"/>
      <c r="AU350" s="144"/>
      <c r="AV350" s="144"/>
      <c r="AW350" s="144"/>
      <c r="AX350" s="144"/>
      <c r="AY350" s="144"/>
    </row>
    <row r="351" spans="1:66" ht="13.5" thickBot="1">
      <c r="A351" s="2049"/>
      <c r="B351" s="2049"/>
      <c r="C351" s="2049"/>
      <c r="D351" s="2049"/>
      <c r="E351" s="2049"/>
      <c r="F351" s="2049"/>
      <c r="G351" s="2049"/>
      <c r="H351" s="2049"/>
      <c r="I351" s="2049"/>
      <c r="J351" s="2049"/>
      <c r="K351" s="2049"/>
      <c r="L351" s="2049"/>
      <c r="M351" s="2049"/>
      <c r="N351" s="2049"/>
      <c r="O351" s="2049"/>
      <c r="P351" s="2049"/>
      <c r="Q351" s="2049"/>
      <c r="R351" s="2049"/>
      <c r="S351" s="2049"/>
      <c r="T351" s="2049"/>
      <c r="U351" s="2049"/>
      <c r="V351" s="2049"/>
      <c r="W351" s="2049"/>
      <c r="X351" s="2049"/>
      <c r="Y351" s="2049"/>
      <c r="Z351" s="2049"/>
      <c r="AA351" s="2049"/>
      <c r="AB351" s="2049"/>
      <c r="AC351" s="2049"/>
      <c r="AD351" s="2049"/>
      <c r="AE351" s="2049"/>
      <c r="AF351" s="2049"/>
      <c r="AG351" s="2049"/>
      <c r="AH351" s="2049"/>
      <c r="AI351" s="2049"/>
      <c r="AJ351" s="2049"/>
      <c r="AK351" s="2049"/>
      <c r="AL351" s="2049"/>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7" t="s">
        <v>577</v>
      </c>
      <c r="N354" s="2037"/>
      <c r="P354" s="12" t="s">
        <v>2003</v>
      </c>
      <c r="AJ354" s="2037" t="s">
        <v>577</v>
      </c>
      <c r="AK354" s="2037"/>
    </row>
    <row r="355" spans="1:37" ht="12.75" customHeight="1">
      <c r="D355" s="58" t="s">
        <v>1992</v>
      </c>
      <c r="M355" s="2037" t="s">
        <v>625</v>
      </c>
      <c r="N355" s="2037"/>
      <c r="P355" s="58" t="s">
        <v>2217</v>
      </c>
      <c r="AJ355" s="2127" t="s">
        <v>625</v>
      </c>
      <c r="AK355" s="2127"/>
    </row>
    <row r="356" spans="1:37" ht="12.75" customHeight="1">
      <c r="D356" s="12" t="s">
        <v>744</v>
      </c>
      <c r="M356" s="2037" t="s">
        <v>625</v>
      </c>
      <c r="N356" s="2037"/>
      <c r="P356" s="719" t="s">
        <v>2002</v>
      </c>
      <c r="AJ356" s="2037" t="s">
        <v>577</v>
      </c>
      <c r="AK356" s="2037"/>
    </row>
    <row r="357" spans="1:37" ht="12.75" customHeight="1">
      <c r="D357" s="12" t="s">
        <v>745</v>
      </c>
      <c r="M357" s="2037" t="s">
        <v>625</v>
      </c>
      <c r="N357" s="2037"/>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7" t="s">
        <v>625</v>
      </c>
      <c r="O362" s="2037"/>
      <c r="P362" s="69"/>
      <c r="Q362" s="69"/>
      <c r="R362" s="69"/>
      <c r="S362" s="69"/>
      <c r="T362" s="69"/>
      <c r="U362" s="69"/>
      <c r="V362" s="69"/>
      <c r="W362" s="69"/>
      <c r="X362" s="69"/>
      <c r="Y362" s="70"/>
      <c r="Z362" s="70"/>
      <c r="AC362" s="69"/>
      <c r="AD362" s="69"/>
      <c r="AE362" s="69"/>
    </row>
    <row r="363" spans="1:37" ht="12.75" customHeight="1">
      <c r="E363" s="12" t="s">
        <v>381</v>
      </c>
      <c r="Y363" s="2037" t="s">
        <v>625</v>
      </c>
      <c r="Z363" s="2037"/>
    </row>
    <row r="364" spans="1:37" ht="12.75" customHeight="1">
      <c r="D364" s="7" t="s">
        <v>1058</v>
      </c>
      <c r="Q364" s="2038" t="s">
        <v>625</v>
      </c>
      <c r="R364" s="2038"/>
      <c r="S364" s="2038"/>
      <c r="T364" s="2038"/>
      <c r="U364" s="2038"/>
      <c r="V364" s="2038"/>
      <c r="W364" s="2038"/>
      <c r="X364" s="2038"/>
      <c r="Y364" s="2038"/>
      <c r="Z364" s="2038"/>
      <c r="AA364" s="2038"/>
      <c r="AB364" s="2038"/>
      <c r="AC364" s="2038"/>
      <c r="AD364" s="2038"/>
      <c r="AE364" s="2038"/>
      <c r="AF364" s="2038"/>
      <c r="AG364" s="203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7" t="s">
        <v>625</v>
      </c>
      <c r="K366" s="2037"/>
      <c r="L366" s="69"/>
      <c r="M366" s="69"/>
      <c r="N366" s="69"/>
      <c r="O366" s="69"/>
      <c r="P366" s="69"/>
      <c r="Q366" s="69"/>
      <c r="R366" s="69"/>
      <c r="S366" s="69"/>
      <c r="T366" s="69"/>
      <c r="U366" s="69"/>
      <c r="V366" s="69"/>
      <c r="W366" s="69"/>
      <c r="X366" s="69"/>
      <c r="Y366" s="69"/>
      <c r="Z366" s="69"/>
      <c r="AC366" s="69"/>
      <c r="AD366" s="69"/>
      <c r="AE366" s="69"/>
    </row>
    <row r="367" spans="1:37" ht="12.75" customHeight="1">
      <c r="E367" s="2378" t="s">
        <v>746</v>
      </c>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row>
    <row r="368" spans="1:37" ht="12.75" customHeight="1">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row>
    <row r="369" spans="1:36" ht="12.75" customHeight="1">
      <c r="E369" s="7" t="s">
        <v>478</v>
      </c>
      <c r="F369" s="7"/>
      <c r="G369" s="7"/>
      <c r="H369" s="7"/>
      <c r="I369" s="7"/>
      <c r="J369" s="7"/>
      <c r="K369" s="7"/>
      <c r="L369" s="7"/>
      <c r="N369" s="2047"/>
      <c r="O369" s="2047"/>
      <c r="P369" s="2047"/>
      <c r="Q369" s="2047"/>
      <c r="R369" s="7"/>
      <c r="U369" s="7" t="s">
        <v>479</v>
      </c>
      <c r="V369" s="7"/>
      <c r="W369" s="7"/>
      <c r="X369" s="7"/>
      <c r="Y369" s="7"/>
      <c r="Z369" s="7"/>
      <c r="AA369" s="7"/>
      <c r="AB369" s="7"/>
      <c r="AC369" s="2047"/>
      <c r="AD369" s="2047"/>
      <c r="AE369" s="2047"/>
      <c r="AF369" s="2047"/>
    </row>
    <row r="370" spans="1:36" ht="12.75" customHeight="1">
      <c r="E370" s="7" t="s">
        <v>480</v>
      </c>
      <c r="F370" s="7"/>
      <c r="G370" s="7"/>
      <c r="H370" s="7"/>
      <c r="I370" s="7"/>
      <c r="J370" s="7"/>
      <c r="K370" s="7"/>
      <c r="L370" s="7"/>
      <c r="N370" s="2047"/>
      <c r="O370" s="2047"/>
      <c r="P370" s="2047"/>
      <c r="Q370" s="2047"/>
      <c r="R370" s="7"/>
      <c r="U370" s="7" t="s">
        <v>0</v>
      </c>
      <c r="V370" s="7"/>
      <c r="W370" s="7"/>
      <c r="X370" s="7"/>
      <c r="Y370" s="7"/>
      <c r="Z370" s="7"/>
      <c r="AA370" s="7"/>
      <c r="AB370" s="7"/>
      <c r="AC370" s="2047"/>
      <c r="AD370" s="2047"/>
      <c r="AE370" s="2047"/>
      <c r="AF370" s="2047"/>
    </row>
    <row r="371" spans="1:36" ht="12.75" customHeight="1">
      <c r="E371" s="7" t="s">
        <v>1</v>
      </c>
      <c r="F371" s="7"/>
      <c r="G371" s="7"/>
      <c r="H371" s="7"/>
      <c r="I371" s="7"/>
      <c r="J371" s="7"/>
      <c r="K371" s="7"/>
      <c r="L371" s="7"/>
      <c r="N371" s="2047"/>
      <c r="O371" s="2047"/>
      <c r="P371" s="2047"/>
      <c r="Q371" s="2047"/>
      <c r="R371" s="7"/>
      <c r="V371" s="7"/>
      <c r="W371" s="7"/>
      <c r="X371" s="7"/>
      <c r="Y371" s="7"/>
      <c r="Z371" s="7"/>
      <c r="AA371" s="7"/>
      <c r="AB371" s="7"/>
    </row>
    <row r="372" spans="1:36" ht="12.75" customHeight="1">
      <c r="E372" s="7" t="s">
        <v>2</v>
      </c>
      <c r="F372" s="7"/>
      <c r="G372" s="7"/>
      <c r="H372" s="7"/>
      <c r="I372" s="7"/>
      <c r="J372" s="7"/>
      <c r="K372" s="7"/>
      <c r="L372" s="7"/>
      <c r="N372" s="2245"/>
      <c r="O372" s="2245"/>
      <c r="P372" s="2245"/>
      <c r="Q372" s="2245"/>
      <c r="R372" s="2245"/>
      <c r="S372" s="2245"/>
      <c r="T372" s="2245"/>
      <c r="U372" s="2245"/>
      <c r="V372" s="2245"/>
      <c r="W372" s="2245"/>
      <c r="X372" s="2245"/>
      <c r="Y372" s="2245"/>
      <c r="Z372" s="2245"/>
      <c r="AA372" s="2245"/>
      <c r="AB372" s="2245"/>
      <c r="AC372" s="2245"/>
      <c r="AD372" s="2245"/>
      <c r="AE372" s="2245"/>
      <c r="AF372" s="2245"/>
    </row>
    <row r="373" spans="1:36" ht="12.75" customHeight="1">
      <c r="E373" s="7"/>
      <c r="F373" s="7"/>
      <c r="G373" s="7"/>
      <c r="H373" s="7"/>
      <c r="I373" s="7"/>
      <c r="J373" s="7"/>
      <c r="K373" s="7"/>
      <c r="L373" s="7"/>
      <c r="N373" s="2246"/>
      <c r="O373" s="2246"/>
      <c r="P373" s="2246"/>
      <c r="Q373" s="2246"/>
      <c r="R373" s="2246"/>
      <c r="S373" s="2246"/>
      <c r="T373" s="2246"/>
      <c r="U373" s="2246"/>
      <c r="V373" s="2246"/>
      <c r="W373" s="2246"/>
      <c r="X373" s="2246"/>
      <c r="Y373" s="2246"/>
      <c r="Z373" s="2246"/>
      <c r="AA373" s="2246"/>
      <c r="AB373" s="2246"/>
      <c r="AC373" s="2246"/>
      <c r="AD373" s="2246"/>
      <c r="AE373" s="2246"/>
      <c r="AF373" s="2246"/>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39"/>
      <c r="T376" s="2039"/>
      <c r="U376" s="4" t="s">
        <v>315</v>
      </c>
      <c r="V376" s="2039"/>
      <c r="W376" s="2039"/>
      <c r="Y376" s="25" t="s">
        <v>313</v>
      </c>
      <c r="AA376" s="25"/>
      <c r="AB376" s="25" t="s">
        <v>314</v>
      </c>
      <c r="AD376" s="2039"/>
      <c r="AE376" s="2039"/>
      <c r="AF376" s="4" t="s">
        <v>315</v>
      </c>
      <c r="AG376" s="2039"/>
      <c r="AH376" s="2039"/>
    </row>
    <row r="377" spans="1:36" ht="12.75" customHeight="1">
      <c r="E377" s="7" t="s">
        <v>1089</v>
      </c>
      <c r="F377" s="7"/>
      <c r="G377" s="7"/>
      <c r="H377" s="7"/>
      <c r="I377" s="7"/>
      <c r="J377" s="7"/>
      <c r="K377" s="7"/>
      <c r="L377" s="7"/>
      <c r="N377" s="2039"/>
      <c r="O377" s="2039"/>
      <c r="P377" s="2039"/>
    </row>
    <row r="378" spans="1:36" ht="12.75" customHeight="1">
      <c r="E378" s="382" t="s">
        <v>1090</v>
      </c>
      <c r="F378" s="7"/>
      <c r="G378" s="7"/>
      <c r="H378" s="7"/>
      <c r="I378" s="7"/>
      <c r="J378" s="7"/>
      <c r="K378" s="7"/>
      <c r="L378" s="7"/>
      <c r="AG378" s="2237" t="s">
        <v>625</v>
      </c>
      <c r="AH378" s="2237"/>
    </row>
    <row r="379" spans="1:36" ht="12.75" customHeight="1">
      <c r="E379" s="7"/>
      <c r="F379" s="7"/>
      <c r="G379" s="7" t="s">
        <v>1111</v>
      </c>
      <c r="H379" s="7"/>
      <c r="I379" s="7"/>
      <c r="J379" s="7"/>
      <c r="K379" s="7"/>
      <c r="L379" s="7"/>
      <c r="AG379" s="2237" t="s">
        <v>625</v>
      </c>
      <c r="AH379" s="2237"/>
    </row>
    <row r="380" spans="1:36" ht="12.75" customHeight="1">
      <c r="E380" s="7"/>
      <c r="F380" s="7"/>
      <c r="G380" s="509" t="s">
        <v>1091</v>
      </c>
      <c r="H380" s="7"/>
      <c r="I380" s="7"/>
      <c r="J380" s="7"/>
      <c r="K380" s="7"/>
      <c r="L380" s="7"/>
      <c r="V380" s="2037" t="s">
        <v>625</v>
      </c>
      <c r="W380" s="2037"/>
      <c r="Y380" s="35" t="s">
        <v>1060</v>
      </c>
    </row>
    <row r="381" spans="1:36" ht="12.75" customHeight="1">
      <c r="E381" s="7" t="s">
        <v>1061</v>
      </c>
      <c r="F381" s="7"/>
      <c r="G381" s="7"/>
      <c r="H381" s="7"/>
      <c r="I381" s="7"/>
      <c r="J381" s="7"/>
      <c r="K381" s="7"/>
      <c r="L381" s="7"/>
      <c r="V381" s="2037" t="s">
        <v>625</v>
      </c>
      <c r="W381" s="2037"/>
      <c r="Y381" s="7" t="s">
        <v>1062</v>
      </c>
    </row>
    <row r="382" spans="1:36" ht="12.75" customHeight="1"/>
    <row r="383" spans="1:36" ht="12.75" customHeight="1">
      <c r="A383" s="50" t="s">
        <v>82</v>
      </c>
      <c r="B383" s="50"/>
    </row>
    <row r="384" spans="1:36" ht="12.75" customHeight="1">
      <c r="D384" s="12" t="s">
        <v>449</v>
      </c>
      <c r="J384" s="2050" t="s">
        <v>2622</v>
      </c>
      <c r="K384" s="2038"/>
      <c r="L384" s="2038"/>
      <c r="M384" s="2038"/>
      <c r="N384" s="2038"/>
      <c r="O384" s="2038"/>
      <c r="P384" s="2038"/>
      <c r="Q384" s="2038"/>
      <c r="R384" s="2038"/>
      <c r="S384" s="2038"/>
      <c r="T384" s="2038"/>
      <c r="U384" s="2038"/>
      <c r="V384" s="14" t="s">
        <v>88</v>
      </c>
      <c r="W384" s="14"/>
      <c r="X384" s="14"/>
      <c r="Y384" s="14"/>
      <c r="Z384" s="14"/>
      <c r="AA384" s="14"/>
      <c r="AB384" s="14"/>
      <c r="AC384" s="2050" t="s">
        <v>2564</v>
      </c>
      <c r="AD384" s="2038"/>
      <c r="AE384" s="2038"/>
      <c r="AF384" s="2038"/>
      <c r="AG384" s="2038"/>
      <c r="AH384" s="2038"/>
      <c r="AI384" s="2038"/>
      <c r="AJ384" s="2038"/>
    </row>
    <row r="385" spans="1:96" ht="12.75" customHeight="1">
      <c r="A385" s="719"/>
      <c r="B385" s="719"/>
      <c r="C385" s="719"/>
      <c r="D385" s="58" t="s">
        <v>1381</v>
      </c>
      <c r="E385" s="719"/>
      <c r="F385" s="719"/>
      <c r="G385" s="719"/>
      <c r="H385" s="719"/>
      <c r="I385" s="719"/>
      <c r="J385" s="2051" t="s">
        <v>2564</v>
      </c>
      <c r="K385" s="2052"/>
      <c r="L385" s="2052"/>
      <c r="M385" s="2052"/>
      <c r="N385" s="2052"/>
      <c r="O385" s="2052"/>
      <c r="P385" s="2052"/>
      <c r="Q385" s="2052"/>
      <c r="R385" s="2052"/>
      <c r="S385" s="2052"/>
      <c r="T385" s="2052"/>
      <c r="U385" s="2052"/>
      <c r="V385" s="58" t="s">
        <v>1381</v>
      </c>
      <c r="W385" s="14"/>
      <c r="X385" s="14"/>
      <c r="Y385" s="14"/>
      <c r="Z385" s="14"/>
      <c r="AA385" s="14"/>
      <c r="AB385" s="14"/>
      <c r="AC385" s="2038"/>
      <c r="AD385" s="2038"/>
      <c r="AE385" s="2038"/>
      <c r="AF385" s="2038"/>
      <c r="AG385" s="2038"/>
      <c r="AH385" s="2038"/>
      <c r="AI385" s="2038"/>
      <c r="AJ385" s="2038"/>
      <c r="AK385" s="719"/>
      <c r="AL385" s="719"/>
    </row>
    <row r="386" spans="1:96" ht="12.75" customHeight="1">
      <c r="A386" s="719"/>
      <c r="B386" s="719"/>
      <c r="C386" s="719"/>
      <c r="D386" s="58" t="s">
        <v>463</v>
      </c>
      <c r="E386" s="719"/>
      <c r="F386" s="719"/>
      <c r="G386" s="719"/>
      <c r="H386" s="719"/>
      <c r="I386" s="719"/>
      <c r="J386" s="2051" t="s">
        <v>2623</v>
      </c>
      <c r="K386" s="2052"/>
      <c r="L386" s="2052"/>
      <c r="M386" s="2052"/>
      <c r="N386" s="2052"/>
      <c r="O386" s="2052"/>
      <c r="P386" s="2052"/>
      <c r="Q386" s="2052"/>
      <c r="R386" s="2052"/>
      <c r="S386" s="2052"/>
      <c r="T386" s="2052"/>
      <c r="U386" s="2052"/>
      <c r="V386" s="58" t="s">
        <v>463</v>
      </c>
      <c r="W386" s="14"/>
      <c r="X386" s="14"/>
      <c r="Y386" s="14"/>
      <c r="Z386" s="14"/>
      <c r="AA386" s="14"/>
      <c r="AB386" s="14"/>
      <c r="AC386" s="2038"/>
      <c r="AD386" s="2038"/>
      <c r="AE386" s="2038"/>
      <c r="AF386" s="2038"/>
      <c r="AG386" s="2038"/>
      <c r="AH386" s="2038"/>
      <c r="AI386" s="2038"/>
      <c r="AJ386" s="2038"/>
      <c r="AK386" s="719"/>
      <c r="AL386" s="719"/>
    </row>
    <row r="387" spans="1:96" ht="12.75" customHeight="1">
      <c r="A387" s="719"/>
      <c r="B387" s="719"/>
      <c r="C387" s="719"/>
      <c r="D387" s="479" t="s">
        <v>1377</v>
      </c>
      <c r="E387" s="719"/>
      <c r="F387" s="719"/>
      <c r="G387" s="719"/>
      <c r="H387" s="719"/>
      <c r="I387" s="88"/>
      <c r="J387" s="2095" t="s">
        <v>2624</v>
      </c>
      <c r="K387" s="2044"/>
      <c r="L387" s="2044"/>
      <c r="M387" s="2044"/>
      <c r="N387" s="2044"/>
      <c r="O387" s="2044"/>
      <c r="P387" s="2044"/>
      <c r="Q387" s="2044"/>
      <c r="R387" s="2044"/>
      <c r="S387" s="2044"/>
      <c r="T387" s="2044"/>
      <c r="U387" s="2044"/>
      <c r="V387" s="2050" t="s">
        <v>2625</v>
      </c>
      <c r="W387" s="2038"/>
      <c r="X387" s="2038"/>
      <c r="Y387" s="2038"/>
      <c r="Z387" s="2038"/>
      <c r="AA387" s="2038"/>
      <c r="AB387" s="2038"/>
      <c r="AC387" s="2038"/>
      <c r="AD387" s="2038"/>
      <c r="AE387" s="2038"/>
      <c r="AF387" s="2038"/>
      <c r="AG387" s="2038"/>
      <c r="AH387" s="2038"/>
      <c r="AI387" s="2038"/>
      <c r="AJ387" s="2038"/>
      <c r="AK387" s="719"/>
      <c r="AL387" s="719"/>
    </row>
    <row r="388" spans="1:96" ht="12.75" customHeight="1">
      <c r="D388" s="12" t="s">
        <v>4</v>
      </c>
      <c r="Q388" s="2239">
        <v>44409</v>
      </c>
      <c r="R388" s="2239"/>
      <c r="S388" s="2239"/>
      <c r="T388" s="2239"/>
      <c r="U388" s="2239"/>
      <c r="V388" s="12" t="s">
        <v>318</v>
      </c>
      <c r="AI388" s="2037"/>
      <c r="AJ388" s="2037"/>
    </row>
    <row r="389" spans="1:96" ht="12.75" customHeight="1">
      <c r="D389" s="12" t="s">
        <v>5</v>
      </c>
      <c r="Q389" s="2278">
        <v>44926</v>
      </c>
      <c r="R389" s="2377"/>
      <c r="S389" s="2377"/>
      <c r="T389" s="2377"/>
      <c r="U389" s="2377"/>
      <c r="W389" s="33" t="s">
        <v>78</v>
      </c>
      <c r="AG389" s="2240"/>
      <c r="AH389" s="2240"/>
      <c r="AI389" s="2240"/>
      <c r="AJ389" s="2240"/>
    </row>
    <row r="390" spans="1:96" ht="12.75" customHeight="1">
      <c r="D390" s="12" t="s">
        <v>448</v>
      </c>
      <c r="Q390" s="2241">
        <v>9652425</v>
      </c>
      <c r="R390" s="2241"/>
      <c r="S390" s="2241"/>
      <c r="T390" s="2241"/>
      <c r="U390" s="2241"/>
      <c r="V390" s="58" t="s">
        <v>1380</v>
      </c>
      <c r="AG390" s="2244">
        <v>44671</v>
      </c>
      <c r="AH390" s="2244"/>
      <c r="AI390" s="2244"/>
      <c r="AJ390" s="2244"/>
    </row>
    <row r="391" spans="1:96" ht="12.75" customHeight="1">
      <c r="D391" s="12" t="s">
        <v>93</v>
      </c>
      <c r="I391" s="2209">
        <v>9167736060</v>
      </c>
      <c r="J391" s="2209"/>
      <c r="K391" s="2209"/>
      <c r="L391" s="2209"/>
      <c r="M391" s="2209"/>
      <c r="N391" s="2209"/>
      <c r="Q391" s="57" t="s">
        <v>212</v>
      </c>
      <c r="S391" s="2238"/>
      <c r="T391" s="2238"/>
      <c r="U391" s="2238"/>
      <c r="V391" s="12" t="s">
        <v>77</v>
      </c>
      <c r="AI391" s="2037" t="s">
        <v>705</v>
      </c>
      <c r="AJ391" s="2037"/>
    </row>
    <row r="392" spans="1:96" ht="12.75" customHeight="1">
      <c r="D392" s="12" t="s">
        <v>319</v>
      </c>
      <c r="Q392" s="2096"/>
      <c r="R392" s="2096"/>
      <c r="S392" s="2096"/>
      <c r="T392" s="2096"/>
      <c r="U392" s="2096"/>
      <c r="V392" s="12" t="s">
        <v>320</v>
      </c>
      <c r="AG392" s="2240"/>
      <c r="AH392" s="2240"/>
      <c r="AI392" s="2240"/>
      <c r="AJ392" s="2240"/>
    </row>
    <row r="393" spans="1:96" ht="12.75" customHeight="1">
      <c r="D393" s="12" t="s">
        <v>321</v>
      </c>
      <c r="Q393" s="2375"/>
      <c r="R393" s="2375"/>
      <c r="S393" s="2375"/>
      <c r="T393" s="2375"/>
      <c r="U393" s="2375"/>
      <c r="V393" s="719" t="s">
        <v>1357</v>
      </c>
      <c r="AG393" s="2240"/>
      <c r="AH393" s="2240"/>
      <c r="AI393" s="2240"/>
      <c r="AJ393" s="2240"/>
    </row>
    <row r="394" spans="1:96" ht="12.5">
      <c r="D394" s="719" t="s">
        <v>1356</v>
      </c>
      <c r="V394" s="719"/>
      <c r="AG394" s="2240"/>
      <c r="AH394" s="2240"/>
      <c r="AI394" s="2240"/>
      <c r="AJ394" s="2240"/>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2021</v>
      </c>
      <c r="AG396" s="748"/>
      <c r="AH396" s="748"/>
      <c r="AI396" s="2037" t="s">
        <v>705</v>
      </c>
      <c r="AJ396" s="2037"/>
      <c r="AM396" s="39"/>
      <c r="AN396" s="39"/>
      <c r="AO396" s="39"/>
      <c r="AP396" s="39"/>
      <c r="AQ396" s="39"/>
      <c r="AR396" s="39"/>
      <c r="AS396" s="39"/>
      <c r="AT396" s="39"/>
      <c r="AU396" s="39"/>
      <c r="AV396" s="39"/>
      <c r="AW396" s="39"/>
      <c r="AX396" s="39"/>
      <c r="AY396" s="39"/>
      <c r="CR396" s="25"/>
    </row>
    <row r="397" spans="1:96" s="719" customFormat="1" ht="12.5">
      <c r="D397" s="58" t="s">
        <v>2023</v>
      </c>
      <c r="T397" s="2070"/>
      <c r="U397" s="2070"/>
      <c r="V397" s="2070"/>
      <c r="W397" s="2070"/>
      <c r="X397" s="2070"/>
      <c r="Y397" s="2070"/>
      <c r="Z397" s="2070"/>
      <c r="AA397" s="2070"/>
      <c r="AB397" s="2070"/>
      <c r="AC397" s="2070"/>
      <c r="AD397" s="2070"/>
      <c r="AE397" s="2070"/>
      <c r="AF397" s="2070"/>
      <c r="AG397" s="2070"/>
      <c r="AH397" s="2070"/>
      <c r="AI397" s="2070"/>
      <c r="AJ397" s="2070"/>
      <c r="AM397" s="39"/>
      <c r="AN397" s="39"/>
      <c r="AO397" s="39"/>
      <c r="AP397" s="39"/>
      <c r="AQ397" s="39"/>
      <c r="AR397" s="39"/>
      <c r="AS397" s="39"/>
      <c r="AT397" s="39"/>
      <c r="AU397" s="39"/>
      <c r="AV397" s="39"/>
      <c r="AW397" s="39"/>
      <c r="AX397" s="39"/>
      <c r="AY397" s="39"/>
      <c r="CR397" s="25"/>
    </row>
    <row r="398" spans="1:96" s="719" customFormat="1" ht="12.5">
      <c r="D398" s="58" t="s">
        <v>2022</v>
      </c>
      <c r="T398" s="2070"/>
      <c r="U398" s="2070"/>
      <c r="V398" s="2070"/>
      <c r="W398" s="2070"/>
      <c r="X398" s="2070"/>
      <c r="Y398" s="2070"/>
      <c r="Z398" s="2070"/>
      <c r="AA398" s="2070"/>
      <c r="AB398" s="2070"/>
      <c r="AC398" s="2070"/>
      <c r="AD398" s="2070"/>
      <c r="AE398" s="2070"/>
      <c r="AF398" s="2070"/>
      <c r="AG398" s="2070"/>
      <c r="AH398" s="2070"/>
      <c r="AI398" s="2070"/>
      <c r="AJ398" s="2070"/>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2015</v>
      </c>
      <c r="E400" s="719"/>
      <c r="F400" s="719"/>
      <c r="G400" s="719"/>
      <c r="H400" s="719"/>
      <c r="I400" s="719"/>
      <c r="J400" s="719"/>
      <c r="K400" s="719"/>
      <c r="L400" s="719"/>
      <c r="M400" s="719"/>
      <c r="N400" s="719"/>
      <c r="O400" s="719"/>
      <c r="P400" s="719"/>
      <c r="Q400" s="719"/>
      <c r="R400" s="719"/>
      <c r="S400" s="2070" t="s">
        <v>577</v>
      </c>
      <c r="T400" s="2070"/>
      <c r="U400" s="2070"/>
      <c r="V400" s="479" t="s">
        <v>2016</v>
      </c>
      <c r="W400" s="719"/>
      <c r="X400" s="719"/>
      <c r="Y400" s="719"/>
      <c r="Z400" s="719"/>
      <c r="AA400" s="719"/>
      <c r="AB400" s="39"/>
      <c r="AC400" s="39"/>
      <c r="AD400" s="39"/>
      <c r="AE400" s="39"/>
      <c r="AF400" s="39"/>
      <c r="AG400" s="2097">
        <v>75</v>
      </c>
      <c r="AH400" s="2097"/>
      <c r="AI400" s="2097"/>
      <c r="AJ400" s="2097"/>
      <c r="AK400" s="39"/>
      <c r="AL400" s="719"/>
    </row>
    <row r="401" spans="1:96" s="719" customFormat="1" ht="12.5">
      <c r="D401" s="58" t="s">
        <v>2012</v>
      </c>
      <c r="S401" s="2070" t="s">
        <v>577</v>
      </c>
      <c r="T401" s="2070"/>
      <c r="U401" s="2070"/>
      <c r="V401" s="479" t="s">
        <v>2018</v>
      </c>
      <c r="AB401" s="39"/>
      <c r="AC401" s="39"/>
      <c r="AD401" s="39"/>
      <c r="AE401" s="2242" t="s">
        <v>2626</v>
      </c>
      <c r="AF401" s="2243"/>
      <c r="AG401" s="2243"/>
      <c r="AH401" s="2243"/>
      <c r="AI401" s="2243"/>
      <c r="AJ401" s="2243"/>
      <c r="AK401" s="39"/>
      <c r="AM401" s="39"/>
      <c r="AN401" s="39"/>
      <c r="AO401" s="39"/>
      <c r="AP401" s="39"/>
      <c r="AQ401" s="39"/>
      <c r="AR401" s="39"/>
      <c r="AS401" s="39"/>
      <c r="AT401" s="39"/>
      <c r="AU401" s="39"/>
      <c r="AV401" s="39"/>
      <c r="AW401" s="39"/>
      <c r="AX401" s="39"/>
      <c r="AY401" s="39"/>
      <c r="CR401" s="25"/>
    </row>
    <row r="402" spans="1:96" s="719" customFormat="1" ht="12.5">
      <c r="D402" s="58" t="s">
        <v>2014</v>
      </c>
      <c r="K402" s="2078"/>
      <c r="L402" s="2078"/>
      <c r="M402" s="2078"/>
      <c r="N402" s="2078"/>
      <c r="O402" s="2078"/>
      <c r="P402" s="2078"/>
      <c r="Q402" s="2078"/>
      <c r="R402" s="2078"/>
      <c r="S402" s="2078"/>
      <c r="T402" s="2078"/>
      <c r="U402" s="2078"/>
      <c r="V402" s="2078"/>
      <c r="W402" s="2078"/>
      <c r="X402" s="2078"/>
      <c r="Y402" s="2078"/>
      <c r="Z402" s="2078"/>
      <c r="AA402" s="2078"/>
      <c r="AB402" s="2078"/>
      <c r="AC402" s="2078"/>
      <c r="AD402" s="2078"/>
      <c r="AE402" s="2078"/>
      <c r="AF402" s="2078"/>
      <c r="AG402" s="2078"/>
      <c r="AH402" s="2078"/>
      <c r="AI402" s="2078"/>
      <c r="AJ402" s="2078"/>
      <c r="AK402" s="39"/>
      <c r="AM402" s="39"/>
      <c r="AN402" s="39"/>
      <c r="AO402" s="39"/>
      <c r="AP402" s="39"/>
      <c r="AQ402" s="39"/>
      <c r="AR402" s="39"/>
      <c r="AS402" s="39"/>
      <c r="AT402" s="39"/>
      <c r="AU402" s="39"/>
      <c r="AV402" s="39"/>
      <c r="AW402" s="39"/>
      <c r="AX402" s="39"/>
      <c r="AY402" s="39"/>
      <c r="CR402" s="25"/>
    </row>
    <row r="403" spans="1:96" s="719" customFormat="1" ht="12.5">
      <c r="D403" s="58" t="s">
        <v>2017</v>
      </c>
      <c r="K403" s="2078" t="s">
        <v>2627</v>
      </c>
      <c r="L403" s="2078"/>
      <c r="M403" s="2078"/>
      <c r="N403" s="2078"/>
      <c r="O403" s="2078"/>
      <c r="P403" s="2078"/>
      <c r="Q403" s="2078"/>
      <c r="R403" s="2078"/>
      <c r="S403" s="2078"/>
      <c r="T403" s="2078"/>
      <c r="U403" s="2078"/>
      <c r="V403" s="2078"/>
      <c r="W403" s="2078"/>
      <c r="X403" s="2078"/>
      <c r="Y403" s="2078"/>
      <c r="Z403" s="2078"/>
      <c r="AA403" s="2078"/>
      <c r="AB403" s="2078"/>
      <c r="AC403" s="2078"/>
      <c r="AD403" s="2078"/>
      <c r="AE403" s="2078"/>
      <c r="AF403" s="2078"/>
      <c r="AG403" s="2078"/>
      <c r="AH403" s="2078"/>
      <c r="AI403" s="2078"/>
      <c r="AJ403" s="2078"/>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061" t="s">
        <v>2628</v>
      </c>
      <c r="T404" s="2061"/>
      <c r="U404" s="2061"/>
      <c r="V404" s="2061"/>
      <c r="W404" s="2061"/>
      <c r="X404" s="2061"/>
      <c r="Y404" s="2061"/>
      <c r="Z404" s="2061"/>
      <c r="AA404" s="2061"/>
      <c r="AB404" s="2061"/>
      <c r="AC404" s="2061"/>
      <c r="AD404" s="2061"/>
      <c r="AE404" s="2061"/>
      <c r="AF404" s="2061"/>
      <c r="AG404" s="2061"/>
      <c r="AH404" s="2061"/>
      <c r="AI404" s="2061"/>
      <c r="AJ404" s="2061"/>
      <c r="AK404" s="39"/>
      <c r="AL404" s="39"/>
      <c r="AM404" s="39"/>
      <c r="AN404" s="39"/>
      <c r="AO404" s="39"/>
      <c r="AP404" s="39"/>
      <c r="AQ404" s="39"/>
      <c r="AR404" s="39"/>
      <c r="AS404" s="39"/>
      <c r="AT404" s="39"/>
      <c r="AU404" s="39"/>
      <c r="AV404" s="39"/>
      <c r="AW404" s="39"/>
      <c r="AX404" s="39"/>
      <c r="AY404" s="39"/>
      <c r="CR404" s="25"/>
    </row>
    <row r="405" spans="1:96" s="719" customFormat="1" ht="12.5">
      <c r="D405" s="2060" t="s">
        <v>2019</v>
      </c>
      <c r="E405" s="2060"/>
      <c r="F405" s="2060"/>
      <c r="G405" s="2060"/>
      <c r="H405" s="2060"/>
      <c r="I405" s="2060"/>
      <c r="J405" s="2060"/>
      <c r="K405" s="2060"/>
      <c r="L405" s="2060"/>
      <c r="M405" s="2060"/>
      <c r="N405" s="2060"/>
      <c r="O405" s="2060"/>
      <c r="P405" s="2060"/>
      <c r="Q405" s="2060"/>
      <c r="R405" s="2060"/>
      <c r="S405" s="2060"/>
      <c r="T405" s="2060"/>
      <c r="U405" s="2060"/>
      <c r="V405" s="2060"/>
      <c r="W405" s="2060"/>
      <c r="X405" s="2060"/>
      <c r="Y405" s="2060"/>
      <c r="Z405" s="2060"/>
      <c r="AA405" s="2060"/>
      <c r="AB405" s="2060"/>
      <c r="AC405" s="2060"/>
      <c r="AD405" s="2060"/>
      <c r="AE405" s="2060"/>
      <c r="AF405" s="2060"/>
      <c r="AG405" s="2060"/>
      <c r="AH405" s="2060"/>
      <c r="AI405" s="2060"/>
      <c r="AJ405" s="2060"/>
      <c r="AK405" s="39"/>
      <c r="AL405" s="39"/>
      <c r="AM405" s="39"/>
      <c r="AN405" s="39"/>
      <c r="AO405" s="39"/>
      <c r="AP405" s="39"/>
      <c r="AQ405" s="39"/>
      <c r="AR405" s="39"/>
      <c r="AS405" s="39"/>
      <c r="AT405" s="39"/>
      <c r="AU405" s="39"/>
      <c r="AV405" s="39"/>
      <c r="AW405" s="39"/>
      <c r="AX405" s="39"/>
      <c r="AY405" s="39"/>
      <c r="CR405" s="25"/>
    </row>
    <row r="406" spans="1:96" s="719" customFormat="1" ht="12.5">
      <c r="D406" s="2060"/>
      <c r="E406" s="2060"/>
      <c r="F406" s="2060"/>
      <c r="G406" s="2060"/>
      <c r="H406" s="2060"/>
      <c r="I406" s="2060"/>
      <c r="J406" s="2060"/>
      <c r="K406" s="2060"/>
      <c r="L406" s="2060"/>
      <c r="M406" s="2060"/>
      <c r="N406" s="2060"/>
      <c r="O406" s="2060"/>
      <c r="P406" s="2060"/>
      <c r="Q406" s="2060"/>
      <c r="R406" s="2060"/>
      <c r="S406" s="2060"/>
      <c r="T406" s="2060"/>
      <c r="U406" s="2060"/>
      <c r="V406" s="2060"/>
      <c r="W406" s="2060"/>
      <c r="X406" s="2060"/>
      <c r="Y406" s="2060"/>
      <c r="Z406" s="2060"/>
      <c r="AA406" s="2060"/>
      <c r="AB406" s="2060"/>
      <c r="AC406" s="2060"/>
      <c r="AD406" s="2060"/>
      <c r="AE406" s="2060"/>
      <c r="AF406" s="2060"/>
      <c r="AG406" s="2060"/>
      <c r="AH406" s="2060"/>
      <c r="AI406" s="2060"/>
      <c r="AJ406" s="2060"/>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50" t="s">
        <v>2523</v>
      </c>
      <c r="J409" s="2050"/>
      <c r="K409" s="2050"/>
      <c r="L409" s="2050"/>
      <c r="M409" s="2050"/>
      <c r="N409" s="2050"/>
      <c r="O409" s="2050"/>
      <c r="P409" s="2050"/>
      <c r="Q409" s="2050"/>
      <c r="R409" s="2050"/>
      <c r="S409" s="2050"/>
      <c r="T409" s="2050"/>
      <c r="U409" s="2050"/>
      <c r="V409" s="2050"/>
      <c r="W409" s="2050"/>
      <c r="X409" s="2050"/>
      <c r="Y409" s="2050"/>
      <c r="Z409" s="2050"/>
      <c r="AA409" s="2050"/>
      <c r="AB409" s="2050"/>
      <c r="AC409" s="2050"/>
      <c r="AD409" s="2050"/>
      <c r="AE409" s="2050"/>
    </row>
    <row r="410" spans="1:96" ht="12.75" customHeight="1">
      <c r="C410" s="25"/>
      <c r="D410" s="25"/>
      <c r="E410" s="12" t="s">
        <v>111</v>
      </c>
      <c r="F410" s="25"/>
      <c r="G410" s="25"/>
      <c r="H410" s="25"/>
      <c r="I410" s="25"/>
      <c r="J410" s="25"/>
      <c r="K410" s="25"/>
      <c r="L410" s="25"/>
      <c r="M410" s="25"/>
      <c r="N410" s="25"/>
      <c r="O410" s="25"/>
      <c r="P410" s="719"/>
      <c r="Q410" s="719"/>
      <c r="R410" s="2037" t="s">
        <v>577</v>
      </c>
      <c r="S410" s="2037"/>
      <c r="T410" s="12" t="s">
        <v>603</v>
      </c>
      <c r="U410" s="719"/>
      <c r="V410" s="719"/>
      <c r="W410" s="719"/>
      <c r="X410" s="719"/>
      <c r="Y410" s="719"/>
      <c r="Z410" s="719"/>
      <c r="AA410" s="719"/>
      <c r="AB410" s="719"/>
      <c r="AC410" s="719"/>
      <c r="AD410" s="2047">
        <v>8</v>
      </c>
      <c r="AE410" s="2047"/>
      <c r="AF410" s="719"/>
    </row>
    <row r="411" spans="1:96" ht="12.5">
      <c r="C411" s="25"/>
      <c r="E411" s="12" t="s">
        <v>112</v>
      </c>
      <c r="F411" s="719"/>
      <c r="G411" s="719"/>
      <c r="H411" s="719"/>
      <c r="I411" s="719"/>
      <c r="J411" s="719"/>
      <c r="K411" s="719"/>
      <c r="L411" s="719"/>
      <c r="M411" s="719"/>
      <c r="N411" s="25"/>
      <c r="O411" s="25"/>
      <c r="P411" s="719"/>
      <c r="Q411" s="719"/>
      <c r="R411" s="2037" t="s">
        <v>625</v>
      </c>
      <c r="S411" s="2037"/>
      <c r="T411" s="12" t="s">
        <v>603</v>
      </c>
      <c r="U411" s="719"/>
      <c r="V411" s="719"/>
      <c r="W411" s="719"/>
      <c r="X411" s="719"/>
      <c r="Y411" s="719"/>
      <c r="Z411" s="719"/>
      <c r="AA411" s="719"/>
      <c r="AB411" s="719"/>
      <c r="AC411" s="719"/>
      <c r="AD411" s="2047">
        <v>0</v>
      </c>
      <c r="AE411" s="2047"/>
      <c r="AF411" s="719"/>
    </row>
    <row r="412" spans="1:96" ht="12.75" customHeight="1">
      <c r="C412" s="25"/>
      <c r="E412" s="12" t="s">
        <v>113</v>
      </c>
      <c r="F412" s="719"/>
      <c r="G412" s="719"/>
      <c r="H412" s="719"/>
      <c r="I412" s="719"/>
      <c r="J412" s="719"/>
      <c r="K412" s="719"/>
      <c r="L412" s="719"/>
      <c r="M412" s="719"/>
      <c r="N412" s="25"/>
      <c r="O412" s="25"/>
      <c r="P412" s="719"/>
      <c r="Q412" s="719"/>
      <c r="R412" s="719"/>
      <c r="S412" s="2037" t="s">
        <v>625</v>
      </c>
      <c r="T412" s="2037"/>
      <c r="U412" s="719"/>
      <c r="V412" s="719"/>
      <c r="W412" s="719"/>
      <c r="X412" s="719"/>
      <c r="Y412" s="719"/>
      <c r="Z412" s="719"/>
      <c r="AA412" s="719"/>
      <c r="AB412" s="719"/>
      <c r="AC412" s="719"/>
      <c r="AD412" s="719"/>
      <c r="AE412" s="719"/>
      <c r="AF412" s="719"/>
    </row>
    <row r="413" spans="1:96" ht="12.75" customHeight="1">
      <c r="E413" s="12" t="s">
        <v>175</v>
      </c>
      <c r="F413" s="719"/>
      <c r="G413" s="719"/>
      <c r="H413" s="2566" t="s">
        <v>2552</v>
      </c>
      <c r="I413" s="2566"/>
      <c r="J413" s="2566"/>
      <c r="K413" s="2566"/>
      <c r="L413" s="2566"/>
      <c r="M413" s="2566"/>
      <c r="N413" s="2566"/>
      <c r="O413" s="2566"/>
      <c r="P413" s="2566"/>
      <c r="Q413" s="2566"/>
      <c r="R413" s="2566"/>
      <c r="S413" s="2566"/>
      <c r="T413" s="2566"/>
      <c r="U413" s="2566"/>
      <c r="V413" s="2566"/>
      <c r="W413" s="2566"/>
      <c r="X413" s="2566"/>
      <c r="Y413" s="2566"/>
      <c r="Z413" s="2566"/>
      <c r="AA413" s="2566"/>
      <c r="AB413" s="2566"/>
      <c r="AC413" s="2566"/>
      <c r="AD413" s="2566"/>
      <c r="AE413" s="2566"/>
      <c r="AF413" s="719"/>
    </row>
    <row r="414" spans="1:96" ht="12.75" customHeight="1">
      <c r="E414" s="25"/>
      <c r="F414" s="719"/>
      <c r="G414" s="719"/>
      <c r="H414" s="2567"/>
      <c r="I414" s="2567"/>
      <c r="J414" s="2567"/>
      <c r="K414" s="2567"/>
      <c r="L414" s="2567"/>
      <c r="M414" s="2567"/>
      <c r="N414" s="2567"/>
      <c r="O414" s="2567"/>
      <c r="P414" s="2567"/>
      <c r="Q414" s="2567"/>
      <c r="R414" s="2567"/>
      <c r="S414" s="2567"/>
      <c r="T414" s="2567"/>
      <c r="U414" s="2567"/>
      <c r="V414" s="2567"/>
      <c r="W414" s="2567"/>
      <c r="X414" s="2567"/>
      <c r="Y414" s="2567"/>
      <c r="Z414" s="2567"/>
      <c r="AA414" s="2567"/>
      <c r="AB414" s="2567"/>
      <c r="AC414" s="2567"/>
      <c r="AD414" s="2567"/>
      <c r="AE414" s="2567"/>
      <c r="AF414" s="719"/>
    </row>
    <row r="415" spans="1:96" ht="12.75" customHeight="1"/>
    <row r="416" spans="1:96" ht="12.75" customHeight="1">
      <c r="A416" s="50" t="s">
        <v>624</v>
      </c>
      <c r="B416" s="50"/>
      <c r="C416" s="50"/>
      <c r="D416" s="50" t="s">
        <v>119</v>
      </c>
      <c r="AF416" s="50" t="s">
        <v>1035</v>
      </c>
    </row>
    <row r="417" spans="1:96" ht="12.75" customHeight="1">
      <c r="E417" s="2039">
        <v>200</v>
      </c>
      <c r="F417" s="2039"/>
      <c r="G417" s="2039"/>
      <c r="H417" s="23" t="s">
        <v>120</v>
      </c>
      <c r="I417" s="2039">
        <v>215</v>
      </c>
      <c r="J417" s="2039"/>
      <c r="K417" s="2039"/>
      <c r="L417" s="12" t="s">
        <v>121</v>
      </c>
      <c r="N417" s="141" t="s">
        <v>609</v>
      </c>
      <c r="P417" s="2376">
        <v>0.98</v>
      </c>
      <c r="Q417" s="2376"/>
      <c r="R417" s="2376"/>
      <c r="S417" s="12" t="s">
        <v>122</v>
      </c>
      <c r="W417" s="2026">
        <f>IF(E417&gt;0,(E417*I417),(P417*43560))</f>
        <v>43000</v>
      </c>
      <c r="X417" s="2026"/>
      <c r="Y417" s="2026"/>
      <c r="Z417" s="12" t="s">
        <v>123</v>
      </c>
      <c r="AF417" s="2236">
        <f>IF(P417&gt;0,(AG436/P417),(AG436/(W417/43560)))</f>
        <v>154.08163265306123</v>
      </c>
      <c r="AG417" s="2236"/>
      <c r="AH417" s="2236"/>
      <c r="AM417" s="239"/>
    </row>
    <row r="418" spans="1:96" ht="12.5">
      <c r="E418" s="12" t="s">
        <v>54</v>
      </c>
    </row>
    <row r="419" spans="1:96" ht="12.75" customHeight="1">
      <c r="E419" s="2112"/>
      <c r="F419" s="2112"/>
      <c r="G419" s="2112"/>
      <c r="H419" s="2112"/>
      <c r="I419" s="2112"/>
      <c r="J419" s="2112"/>
      <c r="K419" s="2112"/>
      <c r="L419" s="2112"/>
      <c r="M419" s="2112"/>
      <c r="N419" s="2112"/>
      <c r="O419" s="2112"/>
      <c r="P419" s="2112"/>
      <c r="Q419" s="2112"/>
      <c r="R419" s="2112"/>
      <c r="S419" s="2112"/>
      <c r="T419" s="2112"/>
      <c r="U419" s="2112"/>
      <c r="V419" s="2112"/>
      <c r="W419" s="2112"/>
      <c r="X419" s="2112"/>
      <c r="Y419" s="2112"/>
      <c r="Z419" s="2112"/>
      <c r="AA419" s="2112"/>
      <c r="AB419" s="2112"/>
      <c r="AC419" s="2112"/>
      <c r="AD419" s="2112"/>
      <c r="AE419" s="2112"/>
      <c r="AF419" s="2112"/>
      <c r="AG419" s="2112"/>
      <c r="AH419" s="2112"/>
      <c r="AI419" s="2112"/>
      <c r="AJ419" s="2112"/>
    </row>
    <row r="420" spans="1:96" s="39" customFormat="1" ht="12.75" customHeight="1">
      <c r="E420" s="254" t="s">
        <v>2234</v>
      </c>
      <c r="F420" s="1807"/>
      <c r="G420" s="1807"/>
      <c r="H420" s="1807"/>
      <c r="I420" s="2374">
        <v>0.77</v>
      </c>
      <c r="J420" s="2374"/>
      <c r="K420" s="2374"/>
      <c r="L420" s="1807"/>
      <c r="M420" s="254"/>
      <c r="N420" s="1807"/>
      <c r="O420" s="1807"/>
      <c r="P420" s="2414">
        <f>(CS637+CS645+CS661)/I420</f>
        <v>235.06493506493507</v>
      </c>
      <c r="Q420" s="2414"/>
      <c r="R420" s="2414"/>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2037">
        <v>1</v>
      </c>
      <c r="Q423" s="2037"/>
      <c r="S423" s="12" t="s">
        <v>195</v>
      </c>
      <c r="AE423" s="2037">
        <v>1</v>
      </c>
      <c r="AF423" s="2037"/>
    </row>
    <row r="424" spans="1:96" ht="12.5">
      <c r="E424" s="12" t="s">
        <v>196</v>
      </c>
      <c r="P424" s="2037">
        <v>0</v>
      </c>
      <c r="Q424" s="2037"/>
      <c r="S424" s="12" t="s">
        <v>136</v>
      </c>
      <c r="AE424" s="2037" t="s">
        <v>577</v>
      </c>
      <c r="AF424" s="2037"/>
    </row>
    <row r="425" spans="1:96" ht="12.5">
      <c r="F425" s="67" t="s">
        <v>137</v>
      </c>
    </row>
    <row r="426" spans="1:96" ht="12.5">
      <c r="F426" s="2055" t="s">
        <v>2524</v>
      </c>
      <c r="G426" s="2056"/>
      <c r="H426" s="2056"/>
      <c r="I426" s="2056"/>
      <c r="J426" s="2056"/>
      <c r="K426" s="2056"/>
      <c r="L426" s="2056"/>
      <c r="M426" s="2056"/>
      <c r="N426" s="2056"/>
      <c r="O426" s="2056"/>
      <c r="P426" s="2056"/>
      <c r="Q426" s="2056"/>
      <c r="R426" s="2056"/>
      <c r="S426" s="2056"/>
      <c r="T426" s="2056"/>
      <c r="U426" s="2056"/>
      <c r="V426" s="2056"/>
      <c r="W426" s="2056"/>
      <c r="X426" s="2056"/>
      <c r="Y426" s="2056"/>
      <c r="Z426" s="2056"/>
      <c r="AA426" s="2056"/>
      <c r="AB426" s="2056"/>
      <c r="AC426" s="2056"/>
      <c r="AD426" s="2056"/>
      <c r="AE426" s="2056"/>
      <c r="AF426" s="2056"/>
      <c r="AG426" s="2056"/>
      <c r="AH426" s="2056"/>
    </row>
    <row r="427" spans="1:96" ht="12.75" customHeight="1">
      <c r="F427" s="2057"/>
      <c r="G427" s="2057"/>
      <c r="H427" s="2057"/>
      <c r="I427" s="2057"/>
      <c r="J427" s="2057"/>
      <c r="K427" s="2057"/>
      <c r="L427" s="2057"/>
      <c r="M427" s="2057"/>
      <c r="N427" s="2057"/>
      <c r="O427" s="2057"/>
      <c r="P427" s="2057"/>
      <c r="Q427" s="2057"/>
      <c r="R427" s="2057"/>
      <c r="S427" s="2057"/>
      <c r="T427" s="2057"/>
      <c r="U427" s="2057"/>
      <c r="V427" s="2057"/>
      <c r="W427" s="2057"/>
      <c r="X427" s="2057"/>
      <c r="Y427" s="2057"/>
      <c r="Z427" s="2057"/>
      <c r="AA427" s="2057"/>
      <c r="AB427" s="2057"/>
      <c r="AC427" s="2057"/>
      <c r="AD427" s="2057"/>
      <c r="AE427" s="2057"/>
      <c r="AF427" s="2057"/>
      <c r="AG427" s="2057"/>
      <c r="AH427" s="2057"/>
    </row>
    <row r="428" spans="1:96" ht="12.75" customHeight="1">
      <c r="E428" s="12" t="s">
        <v>642</v>
      </c>
      <c r="N428" s="39"/>
      <c r="O428" s="39"/>
      <c r="P428" s="235"/>
      <c r="Q428" s="2037" t="s">
        <v>577</v>
      </c>
      <c r="R428" s="2037"/>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7" t="s">
        <v>625</v>
      </c>
      <c r="AG429" s="2094"/>
    </row>
    <row r="430" spans="1:96" ht="12.75" customHeight="1">
      <c r="S430" s="25"/>
      <c r="T430" s="25"/>
    </row>
    <row r="431" spans="1:96" ht="12.75" customHeight="1">
      <c r="A431" s="50"/>
      <c r="B431" s="50"/>
      <c r="C431" s="50"/>
      <c r="E431" s="7" t="s">
        <v>317</v>
      </c>
      <c r="Z431" s="2037" t="s">
        <v>705</v>
      </c>
      <c r="AA431" s="203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7" t="s">
        <v>625</v>
      </c>
      <c r="AA433" s="2037"/>
    </row>
    <row r="434" spans="1:110" ht="12.75" customHeight="1"/>
    <row r="435" spans="1:110" ht="12.75" customHeight="1">
      <c r="A435" s="50" t="s">
        <v>499</v>
      </c>
      <c r="B435" s="50"/>
      <c r="C435" s="50"/>
      <c r="D435" s="50" t="s">
        <v>821</v>
      </c>
      <c r="AF435" s="80"/>
    </row>
    <row r="436" spans="1:110" ht="12.75" customHeight="1">
      <c r="D436" s="2023" t="s">
        <v>46</v>
      </c>
      <c r="E436" s="2021"/>
      <c r="F436" s="2021"/>
      <c r="G436" s="2021"/>
      <c r="H436" s="2021"/>
      <c r="I436" s="2021"/>
      <c r="J436" s="2021"/>
      <c r="K436" s="2021"/>
      <c r="L436" s="2021"/>
      <c r="M436" s="2021"/>
      <c r="N436" s="2021"/>
      <c r="O436" s="2021"/>
      <c r="P436" s="2021"/>
      <c r="Q436" s="2021"/>
      <c r="R436" s="2021"/>
      <c r="S436" s="2021"/>
      <c r="T436" s="2021"/>
      <c r="U436" s="2021"/>
      <c r="V436" s="2021"/>
      <c r="W436" s="2021"/>
      <c r="X436" s="2021"/>
      <c r="Y436" s="2021"/>
      <c r="Z436" s="2021"/>
      <c r="AA436" s="2021"/>
      <c r="AB436" s="2021"/>
      <c r="AC436" s="2021"/>
      <c r="AD436" s="2021"/>
      <c r="AE436" s="2021"/>
      <c r="AF436" s="2022"/>
      <c r="AG436" s="2090">
        <v>151</v>
      </c>
      <c r="AH436" s="2090"/>
      <c r="AI436" s="2090"/>
      <c r="AJ436" s="2090"/>
    </row>
    <row r="437" spans="1:110" ht="12.75" customHeight="1">
      <c r="D437" s="2020" t="s">
        <v>1436</v>
      </c>
      <c r="E437" s="2033"/>
      <c r="F437" s="2033"/>
      <c r="G437" s="2033"/>
      <c r="H437" s="2033"/>
      <c r="I437" s="2033"/>
      <c r="J437" s="2033"/>
      <c r="K437" s="2033"/>
      <c r="L437" s="2033"/>
      <c r="M437" s="2033"/>
      <c r="N437" s="2033"/>
      <c r="O437" s="2033"/>
      <c r="P437" s="2033"/>
      <c r="Q437" s="2033"/>
      <c r="R437" s="2033"/>
      <c r="S437" s="2033"/>
      <c r="T437" s="2033"/>
      <c r="U437" s="2033"/>
      <c r="V437" s="2033"/>
      <c r="W437" s="2033"/>
      <c r="X437" s="2033"/>
      <c r="Y437" s="2033"/>
      <c r="Z437" s="2033"/>
      <c r="AA437" s="2033"/>
      <c r="AB437" s="2033"/>
      <c r="AC437" s="2033"/>
      <c r="AD437" s="2033"/>
      <c r="AE437" s="2033"/>
      <c r="AF437" s="2034"/>
      <c r="AG437" s="2035">
        <v>0</v>
      </c>
      <c r="AH437" s="2036"/>
      <c r="AI437" s="2036"/>
      <c r="AJ437" s="2036"/>
    </row>
    <row r="438" spans="1:110" ht="12.75" customHeight="1">
      <c r="D438" s="2020" t="s">
        <v>1144</v>
      </c>
      <c r="E438" s="2033"/>
      <c r="F438" s="2033"/>
      <c r="G438" s="2033"/>
      <c r="H438" s="2033"/>
      <c r="I438" s="2033"/>
      <c r="J438" s="2033"/>
      <c r="K438" s="2033"/>
      <c r="L438" s="2033"/>
      <c r="M438" s="2033"/>
      <c r="N438" s="2033"/>
      <c r="O438" s="2033"/>
      <c r="P438" s="2033"/>
      <c r="Q438" s="2033"/>
      <c r="R438" s="2033"/>
      <c r="S438" s="2033"/>
      <c r="T438" s="2033"/>
      <c r="U438" s="2033"/>
      <c r="V438" s="2033"/>
      <c r="W438" s="2033"/>
      <c r="X438" s="2033"/>
      <c r="Y438" s="2033"/>
      <c r="Z438" s="2033"/>
      <c r="AA438" s="2033"/>
      <c r="AB438" s="2033"/>
      <c r="AC438" s="2033"/>
      <c r="AD438" s="2033"/>
      <c r="AE438" s="2033"/>
      <c r="AF438" s="2034"/>
      <c r="AG438" s="2090">
        <v>150</v>
      </c>
      <c r="AH438" s="2090"/>
      <c r="AI438" s="2090"/>
      <c r="AJ438" s="2090"/>
    </row>
    <row r="439" spans="1:110" ht="12.75" customHeight="1">
      <c r="D439" s="2020" t="s">
        <v>1145</v>
      </c>
      <c r="E439" s="2033"/>
      <c r="F439" s="2033"/>
      <c r="G439" s="2033"/>
      <c r="H439" s="2033"/>
      <c r="I439" s="2033"/>
      <c r="J439" s="2033"/>
      <c r="K439" s="2033"/>
      <c r="L439" s="2033"/>
      <c r="M439" s="2033"/>
      <c r="N439" s="2033"/>
      <c r="O439" s="2033"/>
      <c r="P439" s="2033"/>
      <c r="Q439" s="2033"/>
      <c r="R439" s="2033"/>
      <c r="S439" s="2033"/>
      <c r="T439" s="2033"/>
      <c r="U439" s="2033"/>
      <c r="V439" s="2033"/>
      <c r="W439" s="2033"/>
      <c r="X439" s="2033"/>
      <c r="Y439" s="2033"/>
      <c r="Z439" s="2033"/>
      <c r="AA439" s="2033"/>
      <c r="AB439" s="2033"/>
      <c r="AC439" s="2033"/>
      <c r="AD439" s="2033"/>
      <c r="AE439" s="2033"/>
      <c r="AF439" s="2034"/>
      <c r="AG439" s="2090">
        <v>150</v>
      </c>
      <c r="AH439" s="2090"/>
      <c r="AI439" s="2090"/>
      <c r="AJ439" s="2090"/>
    </row>
    <row r="440" spans="1:110" ht="12.75" customHeight="1">
      <c r="D440" s="2020" t="s">
        <v>1147</v>
      </c>
      <c r="E440" s="2033"/>
      <c r="F440" s="2033"/>
      <c r="G440" s="2033"/>
      <c r="H440" s="2033"/>
      <c r="I440" s="2033"/>
      <c r="J440" s="2033"/>
      <c r="K440" s="2033"/>
      <c r="L440" s="2033"/>
      <c r="M440" s="2033"/>
      <c r="N440" s="2033"/>
      <c r="O440" s="2033"/>
      <c r="P440" s="2033"/>
      <c r="Q440" s="2033"/>
      <c r="R440" s="2033"/>
      <c r="S440" s="2033"/>
      <c r="T440" s="2033"/>
      <c r="U440" s="2033"/>
      <c r="V440" s="2033"/>
      <c r="W440" s="2033"/>
      <c r="X440" s="2033"/>
      <c r="Y440" s="2033"/>
      <c r="Z440" s="2033"/>
      <c r="AA440" s="2033"/>
      <c r="AB440" s="2033"/>
      <c r="AC440" s="2033"/>
      <c r="AD440" s="2033"/>
      <c r="AE440" s="2033"/>
      <c r="AF440" s="2034"/>
      <c r="AG440" s="2025">
        <f>IF(ISERROR(AG439/AG438),"",AG439/AG438)</f>
        <v>1</v>
      </c>
      <c r="AH440" s="2025"/>
      <c r="AI440" s="2025"/>
      <c r="AJ440" s="2025"/>
    </row>
    <row r="441" spans="1:110" ht="12.75" customHeight="1">
      <c r="D441" s="2020" t="s">
        <v>1146</v>
      </c>
      <c r="E441" s="2033"/>
      <c r="F441" s="2033"/>
      <c r="G441" s="2033"/>
      <c r="H441" s="2033"/>
      <c r="I441" s="2033"/>
      <c r="J441" s="2033"/>
      <c r="K441" s="2033"/>
      <c r="L441" s="2033"/>
      <c r="M441" s="2033"/>
      <c r="N441" s="2033"/>
      <c r="O441" s="2033"/>
      <c r="P441" s="2033"/>
      <c r="Q441" s="2033"/>
      <c r="R441" s="2033"/>
      <c r="S441" s="2033"/>
      <c r="T441" s="2033"/>
      <c r="U441" s="2033"/>
      <c r="V441" s="2033"/>
      <c r="W441" s="2033"/>
      <c r="X441" s="2033"/>
      <c r="Y441" s="2033"/>
      <c r="Z441" s="2033"/>
      <c r="AA441" s="2033"/>
      <c r="AB441" s="2033"/>
      <c r="AC441" s="2033"/>
      <c r="AD441" s="2033"/>
      <c r="AE441" s="2033"/>
      <c r="AF441" s="2034"/>
      <c r="AG441" s="2024">
        <v>89610</v>
      </c>
      <c r="AH441" s="2024"/>
      <c r="AI441" s="2024"/>
      <c r="AJ441" s="2024"/>
    </row>
    <row r="442" spans="1:110" ht="12.75" customHeight="1">
      <c r="D442" s="2020" t="s">
        <v>1148</v>
      </c>
      <c r="E442" s="2033"/>
      <c r="F442" s="2033"/>
      <c r="G442" s="2033"/>
      <c r="H442" s="2033"/>
      <c r="I442" s="2033"/>
      <c r="J442" s="2033"/>
      <c r="K442" s="2033"/>
      <c r="L442" s="2033"/>
      <c r="M442" s="2033"/>
      <c r="N442" s="2033"/>
      <c r="O442" s="2033"/>
      <c r="P442" s="2033"/>
      <c r="Q442" s="2033"/>
      <c r="R442" s="2033"/>
      <c r="S442" s="2033"/>
      <c r="T442" s="2033"/>
      <c r="U442" s="2033"/>
      <c r="V442" s="2033"/>
      <c r="W442" s="2033"/>
      <c r="X442" s="2033"/>
      <c r="Y442" s="2033"/>
      <c r="Z442" s="2033"/>
      <c r="AA442" s="2033"/>
      <c r="AB442" s="2033"/>
      <c r="AC442" s="2033"/>
      <c r="AD442" s="2033"/>
      <c r="AE442" s="2033"/>
      <c r="AF442" s="2034"/>
      <c r="AG442" s="2024">
        <v>89610</v>
      </c>
      <c r="AH442" s="2024"/>
      <c r="AI442" s="2024"/>
      <c r="AJ442" s="2024"/>
    </row>
    <row r="443" spans="1:110" ht="12.75" customHeight="1">
      <c r="D443" s="2020" t="s">
        <v>1149</v>
      </c>
      <c r="E443" s="2033"/>
      <c r="F443" s="2033"/>
      <c r="G443" s="2033"/>
      <c r="H443" s="2033"/>
      <c r="I443" s="2033"/>
      <c r="J443" s="2033"/>
      <c r="K443" s="2033"/>
      <c r="L443" s="2033"/>
      <c r="M443" s="2033"/>
      <c r="N443" s="2033"/>
      <c r="O443" s="2033"/>
      <c r="P443" s="2033"/>
      <c r="Q443" s="2033"/>
      <c r="R443" s="2033"/>
      <c r="S443" s="2033"/>
      <c r="T443" s="2033"/>
      <c r="U443" s="2033"/>
      <c r="V443" s="2033"/>
      <c r="W443" s="2033"/>
      <c r="X443" s="2033"/>
      <c r="Y443" s="2033"/>
      <c r="Z443" s="2033"/>
      <c r="AA443" s="2033"/>
      <c r="AB443" s="2033"/>
      <c r="AC443" s="2033"/>
      <c r="AD443" s="2033"/>
      <c r="AE443" s="2033"/>
      <c r="AF443" s="2034"/>
      <c r="AG443" s="2025">
        <f>IF(ISERROR(AG442/AG441),"",AG442/AG441)</f>
        <v>1</v>
      </c>
      <c r="AH443" s="2025"/>
      <c r="AI443" s="2025"/>
      <c r="AJ443" s="2025"/>
    </row>
    <row r="444" spans="1:110" ht="12.75" customHeight="1">
      <c r="D444" s="2020" t="s">
        <v>1150</v>
      </c>
      <c r="E444" s="2033"/>
      <c r="F444" s="2033"/>
      <c r="G444" s="2033"/>
      <c r="H444" s="2033"/>
      <c r="I444" s="2033"/>
      <c r="J444" s="2033"/>
      <c r="K444" s="2033"/>
      <c r="L444" s="2033"/>
      <c r="M444" s="2033"/>
      <c r="N444" s="2033"/>
      <c r="O444" s="2033"/>
      <c r="P444" s="2033"/>
      <c r="Q444" s="2033"/>
      <c r="R444" s="2033"/>
      <c r="S444" s="2033"/>
      <c r="T444" s="2033"/>
      <c r="U444" s="2033"/>
      <c r="V444" s="2033"/>
      <c r="W444" s="2033"/>
      <c r="X444" s="2033"/>
      <c r="Y444" s="2033"/>
      <c r="Z444" s="2033"/>
      <c r="AA444" s="2033"/>
      <c r="AB444" s="2033"/>
      <c r="AC444" s="2033"/>
      <c r="AD444" s="2033"/>
      <c r="AE444" s="2033"/>
      <c r="AF444" s="2034"/>
      <c r="AG444" s="2025">
        <f>MIN(IF(AG440&gt;AG443,AG443,AG440),1)</f>
        <v>1</v>
      </c>
      <c r="AH444" s="2025"/>
      <c r="AI444" s="2025"/>
      <c r="AJ444" s="2025"/>
    </row>
    <row r="445" spans="1:110" ht="12.75" customHeight="1">
      <c r="D445" s="2020" t="s">
        <v>1411</v>
      </c>
      <c r="E445" s="2021"/>
      <c r="F445" s="2021"/>
      <c r="G445" s="2021"/>
      <c r="H445" s="2021"/>
      <c r="I445" s="2021"/>
      <c r="J445" s="2021"/>
      <c r="K445" s="2021"/>
      <c r="L445" s="2021"/>
      <c r="M445" s="2021"/>
      <c r="N445" s="2021"/>
      <c r="O445" s="2021"/>
      <c r="P445" s="2021"/>
      <c r="Q445" s="2021"/>
      <c r="R445" s="2021"/>
      <c r="S445" s="2021"/>
      <c r="T445" s="2021"/>
      <c r="U445" s="2021"/>
      <c r="V445" s="2021"/>
      <c r="W445" s="2021"/>
      <c r="X445" s="2021"/>
      <c r="Y445" s="2021"/>
      <c r="Z445" s="2021"/>
      <c r="AA445" s="2021"/>
      <c r="AB445" s="2021"/>
      <c r="AC445" s="2021"/>
      <c r="AD445" s="2021"/>
      <c r="AE445" s="2021"/>
      <c r="AF445" s="2022"/>
      <c r="AG445" s="2024">
        <v>6980</v>
      </c>
      <c r="AH445" s="2024"/>
      <c r="AI445" s="2024"/>
      <c r="AJ445" s="2024"/>
    </row>
    <row r="446" spans="1:110" ht="12.75" customHeight="1">
      <c r="D446" s="2023" t="s">
        <v>601</v>
      </c>
      <c r="E446" s="2021"/>
      <c r="F446" s="2021"/>
      <c r="G446" s="2021"/>
      <c r="H446" s="2021"/>
      <c r="I446" s="2021"/>
      <c r="J446" s="2021"/>
      <c r="K446" s="2021"/>
      <c r="L446" s="2021"/>
      <c r="M446" s="2021"/>
      <c r="N446" s="2021"/>
      <c r="O446" s="2021"/>
      <c r="P446" s="2021"/>
      <c r="Q446" s="2021"/>
      <c r="R446" s="2021"/>
      <c r="S446" s="2021"/>
      <c r="T446" s="2021"/>
      <c r="U446" s="2021"/>
      <c r="V446" s="2021"/>
      <c r="W446" s="2021"/>
      <c r="X446" s="2021"/>
      <c r="Y446" s="2021"/>
      <c r="Z446" s="2021"/>
      <c r="AA446" s="2021"/>
      <c r="AB446" s="2021"/>
      <c r="AC446" s="2021"/>
      <c r="AD446" s="2021"/>
      <c r="AE446" s="2021"/>
      <c r="AF446" s="2022"/>
      <c r="AG446" s="2024">
        <v>4750</v>
      </c>
      <c r="AH446" s="2024"/>
      <c r="AI446" s="2024"/>
      <c r="AJ446" s="202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20" t="s">
        <v>1412</v>
      </c>
      <c r="E447" s="2021"/>
      <c r="F447" s="2021"/>
      <c r="G447" s="2021"/>
      <c r="H447" s="2021"/>
      <c r="I447" s="2021"/>
      <c r="J447" s="2021"/>
      <c r="K447" s="2021"/>
      <c r="L447" s="2021"/>
      <c r="M447" s="2021"/>
      <c r="N447" s="2021"/>
      <c r="O447" s="2021"/>
      <c r="P447" s="2021"/>
      <c r="Q447" s="2021"/>
      <c r="R447" s="2021"/>
      <c r="S447" s="2021"/>
      <c r="T447" s="2021"/>
      <c r="U447" s="2021"/>
      <c r="V447" s="2021"/>
      <c r="W447" s="2021"/>
      <c r="X447" s="2021"/>
      <c r="Y447" s="2021"/>
      <c r="Z447" s="2021"/>
      <c r="AA447" s="2021"/>
      <c r="AB447" s="2021"/>
      <c r="AC447" s="2021"/>
      <c r="AD447" s="2021"/>
      <c r="AE447" s="2021"/>
      <c r="AF447" s="2022"/>
      <c r="AG447" s="2024">
        <v>7884</v>
      </c>
      <c r="AH447" s="2024"/>
      <c r="AI447" s="2024"/>
      <c r="AJ447" s="202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0" t="s">
        <v>1151</v>
      </c>
      <c r="E448" s="2021"/>
      <c r="F448" s="2021"/>
      <c r="G448" s="2021"/>
      <c r="H448" s="2021"/>
      <c r="I448" s="2021"/>
      <c r="J448" s="2021"/>
      <c r="K448" s="2021"/>
      <c r="L448" s="2021"/>
      <c r="M448" s="2021"/>
      <c r="N448" s="2021"/>
      <c r="O448" s="2021"/>
      <c r="P448" s="2021"/>
      <c r="Q448" s="2021"/>
      <c r="R448" s="2021"/>
      <c r="S448" s="2021"/>
      <c r="T448" s="2021"/>
      <c r="U448" s="2021"/>
      <c r="V448" s="2021"/>
      <c r="W448" s="2021"/>
      <c r="X448" s="2021"/>
      <c r="Y448" s="2021"/>
      <c r="Z448" s="2021"/>
      <c r="AA448" s="2021"/>
      <c r="AB448" s="2021"/>
      <c r="AC448" s="2021"/>
      <c r="AD448" s="2021"/>
      <c r="AE448" s="2021"/>
      <c r="AF448" s="2022"/>
      <c r="AG448" s="2024">
        <v>30104</v>
      </c>
      <c r="AH448" s="2024"/>
      <c r="AI448" s="2024"/>
      <c r="AJ448" s="202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194" t="s">
        <v>1152</v>
      </c>
      <c r="E449" s="2195"/>
      <c r="F449" s="2195"/>
      <c r="G449" s="2195"/>
      <c r="H449" s="2195"/>
      <c r="I449" s="2195"/>
      <c r="J449" s="2195"/>
      <c r="K449" s="2195"/>
      <c r="L449" s="2195"/>
      <c r="M449" s="2195"/>
      <c r="N449" s="2195"/>
      <c r="O449" s="2195"/>
      <c r="P449" s="2195"/>
      <c r="Q449" s="2195"/>
      <c r="R449" s="2195"/>
      <c r="S449" s="2195"/>
      <c r="T449" s="2195"/>
      <c r="U449" s="2195"/>
      <c r="V449" s="2195"/>
      <c r="W449" s="2195"/>
      <c r="X449" s="2195"/>
      <c r="Y449" s="2195"/>
      <c r="Z449" s="2195"/>
      <c r="AA449" s="2195"/>
      <c r="AB449" s="2195"/>
      <c r="AC449" s="2195"/>
      <c r="AD449" s="2195"/>
      <c r="AE449" s="2195"/>
      <c r="AF449" s="2196"/>
      <c r="AG449" s="2091">
        <f>AG441+AG445+AG447+AG448</f>
        <v>134578</v>
      </c>
      <c r="AH449" s="2091"/>
      <c r="AI449" s="2091"/>
      <c r="AJ449" s="209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197" t="s">
        <v>1413</v>
      </c>
      <c r="E450" s="2197"/>
      <c r="F450" s="2197"/>
      <c r="G450" s="2197"/>
      <c r="H450" s="2197"/>
      <c r="I450" s="2197"/>
      <c r="J450" s="2197"/>
      <c r="K450" s="2197"/>
      <c r="L450" s="2197"/>
      <c r="M450" s="2197"/>
      <c r="N450" s="2197"/>
      <c r="O450" s="2197"/>
      <c r="P450" s="2197"/>
      <c r="Q450" s="2197"/>
      <c r="R450" s="2197"/>
      <c r="S450" s="2197"/>
      <c r="T450" s="2197"/>
      <c r="U450" s="2197"/>
      <c r="V450" s="2197"/>
      <c r="W450" s="2197"/>
      <c r="X450" s="2197"/>
      <c r="Y450" s="2197"/>
      <c r="Z450" s="2197"/>
      <c r="AA450" s="2197"/>
      <c r="AB450" s="2197"/>
      <c r="AC450" s="2197"/>
      <c r="AD450" s="2197"/>
      <c r="AE450" s="2197"/>
      <c r="AF450" s="2197"/>
      <c r="AG450" s="2197"/>
      <c r="AH450" s="2197"/>
      <c r="AI450" s="2197"/>
      <c r="AJ450" s="219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198"/>
      <c r="E451" s="2198"/>
      <c r="F451" s="2198"/>
      <c r="G451" s="2198"/>
      <c r="H451" s="2198"/>
      <c r="I451" s="2198"/>
      <c r="J451" s="2198"/>
      <c r="K451" s="2198"/>
      <c r="L451" s="2198"/>
      <c r="M451" s="2198"/>
      <c r="N451" s="2198"/>
      <c r="O451" s="2198"/>
      <c r="P451" s="2198"/>
      <c r="Q451" s="2198"/>
      <c r="R451" s="2198"/>
      <c r="S451" s="2198"/>
      <c r="T451" s="2198"/>
      <c r="U451" s="2198"/>
      <c r="V451" s="2198"/>
      <c r="W451" s="2198"/>
      <c r="X451" s="2198"/>
      <c r="Y451" s="2198"/>
      <c r="Z451" s="2198"/>
      <c r="AA451" s="2198"/>
      <c r="AB451" s="2198"/>
      <c r="AC451" s="2198"/>
      <c r="AD451" s="2198"/>
      <c r="AE451" s="2198"/>
      <c r="AF451" s="2198"/>
      <c r="AG451" s="2198"/>
      <c r="AH451" s="2198"/>
      <c r="AI451" s="2198"/>
      <c r="AJ451" s="219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40">
        <f>'Sources and Uses Budget'!B105/Application!AG436</f>
        <v>467385.62251655629</v>
      </c>
      <c r="AD453" s="2040"/>
      <c r="AE453" s="2040"/>
      <c r="AF453" s="204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40">
        <f>'Sources and Uses Budget'!C105/Application!AG436</f>
        <v>456785.09271523176</v>
      </c>
      <c r="AD454" s="2040"/>
      <c r="AE454" s="2040"/>
      <c r="AF454" s="204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40">
        <f>('Sources and Uses Budget'!$S$107+'Sources and Uses Budget'!$T$107)/Application!AG436</f>
        <v>428680.33774834435</v>
      </c>
      <c r="AD455" s="2040"/>
      <c r="AE455" s="2040"/>
      <c r="AF455" s="204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089" t="s">
        <v>730</v>
      </c>
      <c r="E464" s="2087"/>
      <c r="F464" s="2087"/>
      <c r="G464" s="2087"/>
      <c r="H464" s="2087"/>
      <c r="I464" s="2087"/>
      <c r="J464" s="2087"/>
      <c r="K464" s="2087"/>
      <c r="L464" s="2087"/>
      <c r="M464" s="2087"/>
      <c r="N464" s="2087"/>
      <c r="O464" s="2087"/>
      <c r="P464" s="2087"/>
      <c r="Q464" s="2087"/>
      <c r="R464" s="2087"/>
      <c r="S464" s="2087"/>
      <c r="T464" s="2087"/>
      <c r="U464" s="2087"/>
      <c r="V464" s="2088"/>
      <c r="W464" s="2083">
        <v>0</v>
      </c>
      <c r="X464" s="2084"/>
      <c r="Y464" s="208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089" t="s">
        <v>731</v>
      </c>
      <c r="E465" s="2087"/>
      <c r="F465" s="2087"/>
      <c r="G465" s="2087"/>
      <c r="H465" s="2087"/>
      <c r="I465" s="2087"/>
      <c r="J465" s="2087"/>
      <c r="K465" s="2087"/>
      <c r="L465" s="2087"/>
      <c r="M465" s="2087"/>
      <c r="N465" s="2087"/>
      <c r="O465" s="2087"/>
      <c r="P465" s="2087"/>
      <c r="Q465" s="2087"/>
      <c r="R465" s="2087"/>
      <c r="S465" s="2087"/>
      <c r="T465" s="2087"/>
      <c r="U465" s="2087"/>
      <c r="V465" s="2088"/>
      <c r="W465" s="2083">
        <v>0</v>
      </c>
      <c r="X465" s="2084"/>
      <c r="Y465" s="208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089" t="s">
        <v>732</v>
      </c>
      <c r="E466" s="2087"/>
      <c r="F466" s="2087"/>
      <c r="G466" s="2087"/>
      <c r="H466" s="2087"/>
      <c r="I466" s="2087"/>
      <c r="J466" s="2087"/>
      <c r="K466" s="2087"/>
      <c r="L466" s="2087"/>
      <c r="M466" s="2087"/>
      <c r="N466" s="2087"/>
      <c r="O466" s="2087"/>
      <c r="P466" s="2087"/>
      <c r="Q466" s="2087"/>
      <c r="R466" s="2087"/>
      <c r="S466" s="2087"/>
      <c r="T466" s="2087"/>
      <c r="U466" s="2087"/>
      <c r="V466" s="2088"/>
      <c r="W466" s="2083">
        <v>0</v>
      </c>
      <c r="X466" s="2084"/>
      <c r="Y466" s="208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89" t="s">
        <v>733</v>
      </c>
      <c r="E467" s="2087"/>
      <c r="F467" s="2087"/>
      <c r="G467" s="2087"/>
      <c r="H467" s="2087"/>
      <c r="I467" s="2087"/>
      <c r="J467" s="2087"/>
      <c r="K467" s="2087"/>
      <c r="L467" s="2087"/>
      <c r="M467" s="2087"/>
      <c r="N467" s="2087"/>
      <c r="O467" s="2087"/>
      <c r="P467" s="2087"/>
      <c r="Q467" s="2087"/>
      <c r="R467" s="2087"/>
      <c r="S467" s="2087"/>
      <c r="T467" s="2087"/>
      <c r="U467" s="2087"/>
      <c r="V467" s="2088"/>
      <c r="W467" s="2083">
        <v>0</v>
      </c>
      <c r="X467" s="2084"/>
      <c r="Y467" s="208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89" t="s">
        <v>945</v>
      </c>
      <c r="E468" s="2087"/>
      <c r="F468" s="2087"/>
      <c r="G468" s="2087"/>
      <c r="H468" s="2087"/>
      <c r="I468" s="2087"/>
      <c r="J468" s="2087"/>
      <c r="K468" s="2087"/>
      <c r="L468" s="2087"/>
      <c r="M468" s="2087"/>
      <c r="N468" s="2087"/>
      <c r="O468" s="2087"/>
      <c r="P468" s="2087"/>
      <c r="Q468" s="2087"/>
      <c r="R468" s="2087"/>
      <c r="S468" s="2087"/>
      <c r="T468" s="2087"/>
      <c r="U468" s="2087"/>
      <c r="V468" s="2088"/>
      <c r="W468" s="2083">
        <v>0</v>
      </c>
      <c r="X468" s="2084"/>
      <c r="Y468" s="208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089" t="s">
        <v>734</v>
      </c>
      <c r="E469" s="2087"/>
      <c r="F469" s="2087"/>
      <c r="G469" s="2087"/>
      <c r="H469" s="2087"/>
      <c r="I469" s="2087"/>
      <c r="J469" s="2087"/>
      <c r="K469" s="2087"/>
      <c r="L469" s="2087"/>
      <c r="M469" s="2087"/>
      <c r="N469" s="2087"/>
      <c r="O469" s="2087"/>
      <c r="P469" s="2087"/>
      <c r="Q469" s="2087"/>
      <c r="R469" s="2087"/>
      <c r="S469" s="2087"/>
      <c r="T469" s="2087"/>
      <c r="U469" s="2087"/>
      <c r="V469" s="2088"/>
      <c r="W469" s="2083">
        <v>0</v>
      </c>
      <c r="X469" s="2084"/>
      <c r="Y469" s="208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089" t="s">
        <v>1118</v>
      </c>
      <c r="E470" s="2087"/>
      <c r="F470" s="2087"/>
      <c r="G470" s="2087"/>
      <c r="H470" s="2087"/>
      <c r="I470" s="2087"/>
      <c r="J470" s="2087"/>
      <c r="K470" s="2087"/>
      <c r="L470" s="2087"/>
      <c r="M470" s="2087"/>
      <c r="N470" s="2087"/>
      <c r="O470" s="2087"/>
      <c r="P470" s="2087"/>
      <c r="Q470" s="2087"/>
      <c r="R470" s="2087"/>
      <c r="S470" s="2087"/>
      <c r="T470" s="2087"/>
      <c r="U470" s="2087"/>
      <c r="V470" s="2088"/>
      <c r="W470" s="2083">
        <v>0</v>
      </c>
      <c r="X470" s="2084"/>
      <c r="Y470" s="208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086" t="s">
        <v>2007</v>
      </c>
      <c r="E471" s="2087"/>
      <c r="F471" s="2087"/>
      <c r="G471" s="2087"/>
      <c r="H471" s="2087"/>
      <c r="I471" s="2087"/>
      <c r="J471" s="2087"/>
      <c r="K471" s="2087"/>
      <c r="L471" s="2087"/>
      <c r="M471" s="2087"/>
      <c r="N471" s="2087"/>
      <c r="O471" s="2087"/>
      <c r="P471" s="2087"/>
      <c r="Q471" s="2087"/>
      <c r="R471" s="2087"/>
      <c r="S471" s="2087"/>
      <c r="T471" s="2087"/>
      <c r="U471" s="2087"/>
      <c r="V471" s="2088"/>
      <c r="W471" s="2083">
        <v>0</v>
      </c>
      <c r="X471" s="2084"/>
      <c r="Y471" s="208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080"/>
      <c r="H472" s="2081"/>
      <c r="I472" s="2081"/>
      <c r="J472" s="2081"/>
      <c r="K472" s="2081"/>
      <c r="L472" s="2081"/>
      <c r="M472" s="2081"/>
      <c r="N472" s="2081"/>
      <c r="O472" s="2081"/>
      <c r="P472" s="2081"/>
      <c r="Q472" s="2081"/>
      <c r="R472" s="2081"/>
      <c r="S472" s="2081"/>
      <c r="T472" s="2081"/>
      <c r="U472" s="2081"/>
      <c r="V472" s="2082"/>
      <c r="W472" s="2083">
        <v>0</v>
      </c>
      <c r="X472" s="2084"/>
      <c r="Y472" s="208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48" t="s">
        <v>868</v>
      </c>
      <c r="B478" s="2048"/>
      <c r="C478" s="2048"/>
      <c r="D478" s="2048"/>
      <c r="E478" s="2048"/>
      <c r="F478" s="2048"/>
      <c r="G478" s="2048"/>
      <c r="H478" s="2048"/>
      <c r="I478" s="2048"/>
      <c r="J478" s="2048"/>
      <c r="K478" s="2048"/>
      <c r="L478" s="2048"/>
      <c r="M478" s="2048"/>
      <c r="N478" s="2048"/>
      <c r="O478" s="2048"/>
      <c r="P478" s="2048"/>
      <c r="Q478" s="2048"/>
      <c r="R478" s="2048"/>
      <c r="S478" s="2048"/>
      <c r="T478" s="2048"/>
      <c r="U478" s="2048"/>
      <c r="V478" s="2048"/>
      <c r="W478" s="2048"/>
      <c r="X478" s="2048"/>
      <c r="Y478" s="2048"/>
      <c r="Z478" s="2048"/>
      <c r="AA478" s="2048"/>
      <c r="AB478" s="2048"/>
      <c r="AC478" s="2048"/>
      <c r="AD478" s="2048"/>
      <c r="AE478" s="2048"/>
      <c r="AF478" s="2048"/>
      <c r="AG478" s="2048"/>
      <c r="AH478" s="2048"/>
      <c r="AI478" s="2048"/>
      <c r="AJ478" s="2048"/>
      <c r="AK478" s="2048"/>
      <c r="AL478" s="204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9"/>
      <c r="B479" s="2049"/>
      <c r="C479" s="2049"/>
      <c r="D479" s="2049"/>
      <c r="E479" s="2049"/>
      <c r="F479" s="2049"/>
      <c r="G479" s="2049"/>
      <c r="H479" s="2049"/>
      <c r="I479" s="2049"/>
      <c r="J479" s="2049"/>
      <c r="K479" s="2049"/>
      <c r="L479" s="2049"/>
      <c r="M479" s="2049"/>
      <c r="N479" s="2049"/>
      <c r="O479" s="2049"/>
      <c r="P479" s="2049"/>
      <c r="Q479" s="2049"/>
      <c r="R479" s="2049"/>
      <c r="S479" s="2049"/>
      <c r="T479" s="2049"/>
      <c r="U479" s="2049"/>
      <c r="V479" s="2049"/>
      <c r="W479" s="2049"/>
      <c r="X479" s="2049"/>
      <c r="Y479" s="2049"/>
      <c r="Z479" s="2049"/>
      <c r="AA479" s="2049"/>
      <c r="AB479" s="2049"/>
      <c r="AC479" s="2049"/>
      <c r="AD479" s="2049"/>
      <c r="AE479" s="2049"/>
      <c r="AF479" s="2049"/>
      <c r="AG479" s="2049"/>
      <c r="AH479" s="2049"/>
      <c r="AI479" s="2049"/>
      <c r="AJ479" s="2049"/>
      <c r="AK479" s="2049"/>
      <c r="AL479" s="204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099" t="s">
        <v>869</v>
      </c>
      <c r="U483" s="2100"/>
      <c r="V483" s="2100"/>
      <c r="W483" s="2100"/>
      <c r="X483" s="2100"/>
      <c r="Y483" s="2100"/>
      <c r="Z483" s="2100"/>
      <c r="AA483" s="2100"/>
      <c r="AB483" s="2100"/>
      <c r="AC483" s="2100"/>
      <c r="AD483" s="2100"/>
      <c r="AE483" s="2100"/>
      <c r="AF483" s="2100"/>
      <c r="AG483" s="2100"/>
      <c r="AH483" s="2101"/>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187" t="s">
        <v>36</v>
      </c>
      <c r="U484" s="2187"/>
      <c r="V484" s="2187"/>
      <c r="W484" s="2187"/>
      <c r="X484" s="2187"/>
      <c r="Y484" s="2187" t="s">
        <v>37</v>
      </c>
      <c r="Z484" s="2187"/>
      <c r="AA484" s="2187"/>
      <c r="AB484" s="2187"/>
      <c r="AC484" s="2187"/>
      <c r="AD484" s="2187" t="s">
        <v>348</v>
      </c>
      <c r="AE484" s="2187"/>
      <c r="AF484" s="2187"/>
      <c r="AG484" s="2187"/>
      <c r="AH484" s="218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187"/>
      <c r="U485" s="2187"/>
      <c r="V485" s="2187"/>
      <c r="W485" s="2187"/>
      <c r="X485" s="2187"/>
      <c r="Y485" s="2187"/>
      <c r="Z485" s="2187"/>
      <c r="AA485" s="2187"/>
      <c r="AB485" s="2187"/>
      <c r="AC485" s="2187"/>
      <c r="AD485" s="2187"/>
      <c r="AE485" s="2187"/>
      <c r="AF485" s="2187"/>
      <c r="AG485" s="2187"/>
      <c r="AH485" s="218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102" t="s">
        <v>625</v>
      </c>
      <c r="U486" s="2069"/>
      <c r="V486" s="2069"/>
      <c r="W486" s="2069"/>
      <c r="X486" s="2069"/>
      <c r="Y486" s="2069">
        <v>0</v>
      </c>
      <c r="Z486" s="2069"/>
      <c r="AA486" s="2069"/>
      <c r="AB486" s="2069"/>
      <c r="AC486" s="2069"/>
      <c r="AD486" s="2069">
        <v>0</v>
      </c>
      <c r="AE486" s="2069"/>
      <c r="AF486" s="2069"/>
      <c r="AG486" s="2069"/>
      <c r="AH486" s="206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102" t="s">
        <v>625</v>
      </c>
      <c r="U487" s="2069"/>
      <c r="V487" s="2069"/>
      <c r="W487" s="2069"/>
      <c r="X487" s="2069"/>
      <c r="Y487" s="2069">
        <v>0</v>
      </c>
      <c r="Z487" s="2069"/>
      <c r="AA487" s="2069"/>
      <c r="AB487" s="2069"/>
      <c r="AC487" s="2069"/>
      <c r="AD487" s="2069">
        <v>0</v>
      </c>
      <c r="AE487" s="2069"/>
      <c r="AF487" s="2069"/>
      <c r="AG487" s="2069"/>
      <c r="AH487" s="206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102" t="s">
        <v>625</v>
      </c>
      <c r="U488" s="2069"/>
      <c r="V488" s="2069"/>
      <c r="W488" s="2069"/>
      <c r="X488" s="2069"/>
      <c r="Y488" s="2069">
        <v>0</v>
      </c>
      <c r="Z488" s="2069"/>
      <c r="AA488" s="2069"/>
      <c r="AB488" s="2069"/>
      <c r="AC488" s="2069"/>
      <c r="AD488" s="2069">
        <v>0</v>
      </c>
      <c r="AE488" s="2069"/>
      <c r="AF488" s="2069"/>
      <c r="AG488" s="2069"/>
      <c r="AH488" s="206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102" t="s">
        <v>625</v>
      </c>
      <c r="U489" s="2069"/>
      <c r="V489" s="2069"/>
      <c r="W489" s="2069"/>
      <c r="X489" s="2069"/>
      <c r="Y489" s="2069">
        <v>0</v>
      </c>
      <c r="Z489" s="2069"/>
      <c r="AA489" s="2069"/>
      <c r="AB489" s="2069"/>
      <c r="AC489" s="2069"/>
      <c r="AD489" s="2069">
        <v>0</v>
      </c>
      <c r="AE489" s="2069"/>
      <c r="AF489" s="2069"/>
      <c r="AG489" s="2069"/>
      <c r="AH489" s="206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102" t="s">
        <v>625</v>
      </c>
      <c r="U490" s="2069"/>
      <c r="V490" s="2069"/>
      <c r="W490" s="2069"/>
      <c r="X490" s="2069"/>
      <c r="Y490" s="2069">
        <v>0</v>
      </c>
      <c r="Z490" s="2069"/>
      <c r="AA490" s="2069"/>
      <c r="AB490" s="2069"/>
      <c r="AC490" s="2069"/>
      <c r="AD490" s="2069">
        <v>0</v>
      </c>
      <c r="AE490" s="2069"/>
      <c r="AF490" s="2069"/>
      <c r="AG490" s="2069"/>
      <c r="AH490" s="206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102" t="s">
        <v>625</v>
      </c>
      <c r="U491" s="2069"/>
      <c r="V491" s="2069"/>
      <c r="W491" s="2069"/>
      <c r="X491" s="2069"/>
      <c r="Y491" s="2069">
        <v>0</v>
      </c>
      <c r="Z491" s="2069"/>
      <c r="AA491" s="2069"/>
      <c r="AB491" s="2069"/>
      <c r="AC491" s="2069"/>
      <c r="AD491" s="2069">
        <v>0</v>
      </c>
      <c r="AE491" s="2069"/>
      <c r="AF491" s="2069"/>
      <c r="AG491" s="2069"/>
      <c r="AH491" s="206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102" t="s">
        <v>625</v>
      </c>
      <c r="U492" s="2069"/>
      <c r="V492" s="2069"/>
      <c r="W492" s="2069"/>
      <c r="X492" s="2069"/>
      <c r="Y492" s="2069">
        <v>0</v>
      </c>
      <c r="Z492" s="2069"/>
      <c r="AA492" s="2069"/>
      <c r="AB492" s="2069"/>
      <c r="AC492" s="2069"/>
      <c r="AD492" s="2069">
        <v>0</v>
      </c>
      <c r="AE492" s="2069"/>
      <c r="AF492" s="2069"/>
      <c r="AG492" s="2069"/>
      <c r="AH492" s="206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102" t="s">
        <v>625</v>
      </c>
      <c r="U493" s="2069"/>
      <c r="V493" s="2069"/>
      <c r="W493" s="2069"/>
      <c r="X493" s="2069"/>
      <c r="Y493" s="2069">
        <v>0</v>
      </c>
      <c r="Z493" s="2069"/>
      <c r="AA493" s="2069"/>
      <c r="AB493" s="2069"/>
      <c r="AC493" s="2069"/>
      <c r="AD493" s="2069">
        <v>0</v>
      </c>
      <c r="AE493" s="2069"/>
      <c r="AF493" s="2069"/>
      <c r="AG493" s="2069"/>
      <c r="AH493" s="206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102" t="s">
        <v>625</v>
      </c>
      <c r="U494" s="2069"/>
      <c r="V494" s="2069"/>
      <c r="W494" s="2069"/>
      <c r="X494" s="2069"/>
      <c r="Y494" s="2069">
        <v>0</v>
      </c>
      <c r="Z494" s="2069"/>
      <c r="AA494" s="2069"/>
      <c r="AB494" s="2069"/>
      <c r="AC494" s="2069"/>
      <c r="AD494" s="2069">
        <v>0</v>
      </c>
      <c r="AE494" s="2069"/>
      <c r="AF494" s="2069"/>
      <c r="AG494" s="2069"/>
      <c r="AH494" s="206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1092</v>
      </c>
      <c r="F495" s="80"/>
      <c r="G495" s="80"/>
      <c r="H495" s="80"/>
      <c r="I495" s="80"/>
      <c r="J495" s="80"/>
      <c r="K495" s="80"/>
      <c r="L495" s="80"/>
      <c r="M495" s="80"/>
      <c r="N495" s="80"/>
      <c r="O495" s="80"/>
      <c r="P495" s="80"/>
      <c r="Q495" s="80"/>
      <c r="R495" s="80"/>
      <c r="S495" s="80"/>
      <c r="T495" s="2102" t="s">
        <v>625</v>
      </c>
      <c r="U495" s="2069"/>
      <c r="V495" s="2069"/>
      <c r="W495" s="2069"/>
      <c r="X495" s="2069"/>
      <c r="Y495" s="2069">
        <v>0</v>
      </c>
      <c r="Z495" s="2069"/>
      <c r="AA495" s="2069"/>
      <c r="AB495" s="2069"/>
      <c r="AC495" s="2069"/>
      <c r="AD495" s="2069">
        <v>0</v>
      </c>
      <c r="AE495" s="2069"/>
      <c r="AF495" s="2069"/>
      <c r="AG495" s="2069"/>
      <c r="AH495" s="206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063" t="s">
        <v>414</v>
      </c>
      <c r="R497" s="2064"/>
      <c r="S497" s="2064"/>
      <c r="T497" s="2064"/>
      <c r="U497" s="2064"/>
      <c r="V497" s="2064"/>
      <c r="W497" s="2064"/>
      <c r="X497" s="2064"/>
      <c r="Y497" s="2064"/>
      <c r="Z497" s="2064"/>
      <c r="AA497" s="2064"/>
      <c r="AB497" s="2064"/>
      <c r="AC497" s="2064"/>
      <c r="AD497" s="2064"/>
      <c r="AE497" s="2064"/>
      <c r="AF497" s="2064"/>
      <c r="AG497" s="2064"/>
      <c r="AH497" s="2064"/>
      <c r="AI497" s="2064"/>
      <c r="AJ497" s="2064"/>
      <c r="AK497" s="206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053" t="s">
        <v>2555</v>
      </c>
      <c r="R498" s="2052"/>
      <c r="S498" s="2052"/>
      <c r="T498" s="2052"/>
      <c r="U498" s="2052"/>
      <c r="V498" s="2052"/>
      <c r="W498" s="2052"/>
      <c r="X498" s="2052"/>
      <c r="Y498" s="2052"/>
      <c r="Z498" s="2052"/>
      <c r="AA498" s="2052"/>
      <c r="AB498" s="2052"/>
      <c r="AC498" s="2052"/>
      <c r="AD498" s="2052"/>
      <c r="AE498" s="2052"/>
      <c r="AF498" s="2052"/>
      <c r="AG498" s="2052"/>
      <c r="AH498" s="2052"/>
      <c r="AI498" s="2052"/>
      <c r="AJ498" s="2052"/>
      <c r="AK498" s="205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053" t="s">
        <v>2553</v>
      </c>
      <c r="R499" s="2052"/>
      <c r="S499" s="2052"/>
      <c r="T499" s="2052"/>
      <c r="U499" s="2052"/>
      <c r="V499" s="2052"/>
      <c r="W499" s="2052"/>
      <c r="X499" s="2052"/>
      <c r="Y499" s="2052"/>
      <c r="Z499" s="2052"/>
      <c r="AA499" s="2052"/>
      <c r="AB499" s="2052"/>
      <c r="AC499" s="2052"/>
      <c r="AD499" s="2052"/>
      <c r="AE499" s="2052"/>
      <c r="AF499" s="2052"/>
      <c r="AG499" s="2052"/>
      <c r="AH499" s="2052"/>
      <c r="AI499" s="2052"/>
      <c r="AJ499" s="2052"/>
      <c r="AK499" s="205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053" t="s">
        <v>2554</v>
      </c>
      <c r="R500" s="2052"/>
      <c r="S500" s="2052"/>
      <c r="T500" s="2052"/>
      <c r="U500" s="2052"/>
      <c r="V500" s="2052"/>
      <c r="W500" s="2052"/>
      <c r="X500" s="2052"/>
      <c r="Y500" s="2052"/>
      <c r="Z500" s="2052"/>
      <c r="AA500" s="2052"/>
      <c r="AB500" s="2052"/>
      <c r="AC500" s="2052"/>
      <c r="AD500" s="2052"/>
      <c r="AE500" s="2052"/>
      <c r="AF500" s="2052"/>
      <c r="AG500" s="2052"/>
      <c r="AH500" s="2052"/>
      <c r="AI500" s="2052"/>
      <c r="AJ500" s="2052"/>
      <c r="AK500" s="205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188" t="s">
        <v>418</v>
      </c>
      <c r="C501" s="2189"/>
      <c r="D501" s="2189"/>
      <c r="E501" s="2189"/>
      <c r="F501" s="2189"/>
      <c r="G501" s="2189"/>
      <c r="H501" s="2189"/>
      <c r="I501" s="2189"/>
      <c r="J501" s="2189"/>
      <c r="K501" s="2189"/>
      <c r="L501" s="2189"/>
      <c r="M501" s="2189"/>
      <c r="N501" s="2189"/>
      <c r="O501" s="2189"/>
      <c r="P501" s="2190"/>
      <c r="Q501" s="2183" t="s">
        <v>705</v>
      </c>
      <c r="R501" s="2184"/>
      <c r="S501" s="2395" t="s">
        <v>171</v>
      </c>
      <c r="T501" s="2396"/>
      <c r="U501" s="2396"/>
      <c r="V501" s="2396"/>
      <c r="W501" s="2396"/>
      <c r="X501" s="2396"/>
      <c r="Y501" s="2396"/>
      <c r="Z501" s="2396"/>
      <c r="AA501" s="2396"/>
      <c r="AB501" s="2396"/>
      <c r="AC501" s="2396"/>
      <c r="AD501" s="2396"/>
      <c r="AE501" s="2396"/>
      <c r="AF501" s="2396"/>
      <c r="AG501" s="2396"/>
      <c r="AH501" s="2396"/>
      <c r="AI501" s="2396"/>
      <c r="AJ501" s="2396"/>
      <c r="AK501" s="239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1"/>
      <c r="C502" s="2192"/>
      <c r="D502" s="2192"/>
      <c r="E502" s="2192"/>
      <c r="F502" s="2192"/>
      <c r="G502" s="2192"/>
      <c r="H502" s="2192"/>
      <c r="I502" s="2192"/>
      <c r="J502" s="2192"/>
      <c r="K502" s="2192"/>
      <c r="L502" s="2192"/>
      <c r="M502" s="2192"/>
      <c r="N502" s="2192"/>
      <c r="O502" s="2192"/>
      <c r="P502" s="2193"/>
      <c r="Q502" s="2185"/>
      <c r="R502" s="2186"/>
      <c r="S502" s="2398"/>
      <c r="T502" s="2399"/>
      <c r="U502" s="2399"/>
      <c r="V502" s="2399"/>
      <c r="W502" s="2399"/>
      <c r="X502" s="2399"/>
      <c r="Y502" s="2399"/>
      <c r="Z502" s="2399"/>
      <c r="AA502" s="2399"/>
      <c r="AB502" s="2399"/>
      <c r="AC502" s="2399"/>
      <c r="AD502" s="2399"/>
      <c r="AE502" s="2399"/>
      <c r="AF502" s="2399"/>
      <c r="AG502" s="2399"/>
      <c r="AH502" s="2399"/>
      <c r="AI502" s="2399"/>
      <c r="AJ502" s="2399"/>
      <c r="AK502" s="240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2027</v>
      </c>
      <c r="C503" s="1491"/>
      <c r="D503" s="1491"/>
      <c r="E503" s="1491"/>
      <c r="F503" s="1491"/>
      <c r="G503" s="1491"/>
      <c r="H503" s="1491"/>
      <c r="I503" s="1491"/>
      <c r="J503" s="1491"/>
      <c r="K503" s="1491"/>
      <c r="L503" s="1491"/>
      <c r="M503" s="1491"/>
      <c r="N503" s="1491"/>
      <c r="O503" s="1491"/>
      <c r="P503" s="1491"/>
      <c r="Q503" s="2030" t="s">
        <v>705</v>
      </c>
      <c r="R503" s="2031"/>
      <c r="S503" s="2031"/>
      <c r="T503" s="2031"/>
      <c r="U503" s="2031"/>
      <c r="V503" s="2031"/>
      <c r="W503" s="2031"/>
      <c r="X503" s="2031"/>
      <c r="Y503" s="2031"/>
      <c r="Z503" s="2031"/>
      <c r="AA503" s="2031"/>
      <c r="AB503" s="2031"/>
      <c r="AC503" s="2031"/>
      <c r="AD503" s="2031"/>
      <c r="AE503" s="2031"/>
      <c r="AF503" s="2031"/>
      <c r="AG503" s="2031"/>
      <c r="AH503" s="2031"/>
      <c r="AI503" s="2031"/>
      <c r="AJ503" s="2031"/>
      <c r="AK503" s="203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053" t="s">
        <v>2556</v>
      </c>
      <c r="R504" s="2052"/>
      <c r="S504" s="2052"/>
      <c r="T504" s="2052"/>
      <c r="U504" s="2052"/>
      <c r="V504" s="2052"/>
      <c r="W504" s="2052"/>
      <c r="X504" s="2052"/>
      <c r="Y504" s="2052"/>
      <c r="Z504" s="2052"/>
      <c r="AA504" s="2052"/>
      <c r="AB504" s="2052"/>
      <c r="AC504" s="2052"/>
      <c r="AD504" s="2052"/>
      <c r="AE504" s="2052"/>
      <c r="AF504" s="2052"/>
      <c r="AG504" s="2052"/>
      <c r="AH504" s="2052"/>
      <c r="AI504" s="2052"/>
      <c r="AJ504" s="2052"/>
      <c r="AK504" s="205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053">
        <v>0.8</v>
      </c>
      <c r="R505" s="2052"/>
      <c r="S505" s="2052"/>
      <c r="T505" s="2052"/>
      <c r="U505" s="2052"/>
      <c r="V505" s="2052"/>
      <c r="W505" s="2052"/>
      <c r="X505" s="2052"/>
      <c r="Y505" s="2052"/>
      <c r="Z505" s="2052"/>
      <c r="AA505" s="2052"/>
      <c r="AB505" s="2052"/>
      <c r="AC505" s="2052"/>
      <c r="AD505" s="2052"/>
      <c r="AE505" s="2052"/>
      <c r="AF505" s="2052"/>
      <c r="AG505" s="2052"/>
      <c r="AH505" s="2052"/>
      <c r="AI505" s="2052"/>
      <c r="AJ505" s="2052"/>
      <c r="AK505" s="205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2024</v>
      </c>
      <c r="C506" s="77"/>
      <c r="D506" s="77"/>
      <c r="E506" s="77"/>
      <c r="F506" s="77"/>
      <c r="G506" s="77"/>
      <c r="H506" s="77"/>
      <c r="I506" s="77"/>
      <c r="J506" s="77"/>
      <c r="K506" s="77"/>
      <c r="L506" s="77"/>
      <c r="M506" s="77"/>
      <c r="N506" s="77"/>
      <c r="O506" s="77"/>
      <c r="P506" s="77"/>
      <c r="Q506" s="2053">
        <v>123</v>
      </c>
      <c r="R506" s="2052"/>
      <c r="S506" s="2052"/>
      <c r="T506" s="2052"/>
      <c r="U506" s="2052"/>
      <c r="V506" s="2052"/>
      <c r="W506" s="2052"/>
      <c r="X506" s="2052"/>
      <c r="Y506" s="2052"/>
      <c r="Z506" s="2052"/>
      <c r="AA506" s="2052"/>
      <c r="AB506" s="2052"/>
      <c r="AC506" s="2052"/>
      <c r="AD506" s="2052"/>
      <c r="AE506" s="2052"/>
      <c r="AF506" s="2052"/>
      <c r="AG506" s="2052"/>
      <c r="AH506" s="2052"/>
      <c r="AI506" s="2052"/>
      <c r="AJ506" s="2052"/>
      <c r="AK506" s="205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2025</v>
      </c>
      <c r="C507" s="77"/>
      <c r="D507" s="77"/>
      <c r="E507" s="77"/>
      <c r="F507" s="77"/>
      <c r="G507" s="77"/>
      <c r="H507" s="77"/>
      <c r="I507" s="77"/>
      <c r="J507" s="77"/>
      <c r="K507" s="77"/>
      <c r="L507" s="77"/>
      <c r="M507" s="2126">
        <v>123</v>
      </c>
      <c r="N507" s="2127"/>
      <c r="O507" s="2127"/>
      <c r="P507" s="2128"/>
      <c r="Q507" s="1521" t="s">
        <v>2026</v>
      </c>
      <c r="R507" s="1522"/>
      <c r="S507" s="1522"/>
      <c r="T507" s="1522"/>
      <c r="U507" s="1522"/>
      <c r="V507" s="1522"/>
      <c r="W507" s="1522"/>
      <c r="X507" s="1522"/>
      <c r="Y507" s="1522"/>
      <c r="Z507" s="1522"/>
      <c r="AA507" s="1522"/>
      <c r="AB507" s="1522"/>
      <c r="AC507" s="1522"/>
      <c r="AD507" s="1522"/>
      <c r="AE507" s="1522"/>
      <c r="AF507" s="1522"/>
      <c r="AG507" s="1522"/>
      <c r="AH507" s="2126"/>
      <c r="AI507" s="2127"/>
      <c r="AJ507" s="2127"/>
      <c r="AK507" s="212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063" t="s">
        <v>422</v>
      </c>
      <c r="AD511" s="2064"/>
      <c r="AE511" s="2064"/>
      <c r="AF511" s="2064"/>
      <c r="AG511" s="2064"/>
      <c r="AH511" s="2064"/>
      <c r="AI511" s="2064"/>
      <c r="AJ511" s="2064"/>
      <c r="AK511" s="206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9" t="s">
        <v>423</v>
      </c>
      <c r="AD512" s="2100"/>
      <c r="AE512" s="2100"/>
      <c r="AF512" s="2100"/>
      <c r="AG512" s="82" t="s">
        <v>424</v>
      </c>
      <c r="AH512" s="2100" t="s">
        <v>425</v>
      </c>
      <c r="AI512" s="2100"/>
      <c r="AJ512" s="2100"/>
      <c r="AK512" s="210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71" t="s">
        <v>426</v>
      </c>
      <c r="C513" s="2072"/>
      <c r="D513" s="2072"/>
      <c r="E513" s="2072"/>
      <c r="F513" s="2072"/>
      <c r="G513" s="2072"/>
      <c r="H513" s="2073"/>
      <c r="I513" s="72" t="s">
        <v>427</v>
      </c>
      <c r="J513" s="72"/>
      <c r="K513" s="72"/>
      <c r="L513" s="72"/>
      <c r="M513" s="72"/>
      <c r="N513" s="72"/>
      <c r="O513" s="72"/>
      <c r="P513" s="72"/>
      <c r="Q513" s="72"/>
      <c r="R513" s="72"/>
      <c r="S513" s="72"/>
      <c r="T513" s="72"/>
      <c r="U513" s="72"/>
      <c r="V513" s="72"/>
      <c r="W513" s="72"/>
      <c r="X513" s="25"/>
      <c r="Y513" s="25"/>
      <c r="AC513" s="2046">
        <v>1</v>
      </c>
      <c r="AD513" s="2047"/>
      <c r="AE513" s="2047"/>
      <c r="AF513" s="2047"/>
      <c r="AG513" s="75" t="s">
        <v>424</v>
      </c>
      <c r="AH513" s="2044">
        <v>2020</v>
      </c>
      <c r="AI513" s="2044"/>
      <c r="AJ513" s="2044"/>
      <c r="AK513" s="204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74"/>
      <c r="C514" s="2075"/>
      <c r="D514" s="2075"/>
      <c r="E514" s="2075"/>
      <c r="F514" s="2075"/>
      <c r="G514" s="2075"/>
      <c r="H514" s="2076"/>
      <c r="I514" s="80" t="s">
        <v>428</v>
      </c>
      <c r="J514" s="80"/>
      <c r="K514" s="80"/>
      <c r="L514" s="80"/>
      <c r="M514" s="80"/>
      <c r="N514" s="80"/>
      <c r="O514" s="80"/>
      <c r="P514" s="80"/>
      <c r="Q514" s="80"/>
      <c r="R514" s="80"/>
      <c r="S514" s="80"/>
      <c r="T514" s="80"/>
      <c r="U514" s="80"/>
      <c r="V514" s="80"/>
      <c r="W514" s="80"/>
      <c r="X514" s="80"/>
      <c r="Y514" s="80"/>
      <c r="Z514" s="80"/>
      <c r="AA514" s="80"/>
      <c r="AB514" s="80"/>
      <c r="AC514" s="2046" t="s">
        <v>625</v>
      </c>
      <c r="AD514" s="2047"/>
      <c r="AE514" s="2047"/>
      <c r="AF514" s="2047"/>
      <c r="AG514" s="65" t="s">
        <v>424</v>
      </c>
      <c r="AH514" s="2044"/>
      <c r="AI514" s="2044"/>
      <c r="AJ514" s="2044"/>
      <c r="AK514" s="204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71" t="s">
        <v>429</v>
      </c>
      <c r="C515" s="2072"/>
      <c r="D515" s="2072"/>
      <c r="E515" s="2072"/>
      <c r="F515" s="2072"/>
      <c r="G515" s="2072"/>
      <c r="H515" s="2073"/>
      <c r="I515" s="72" t="s">
        <v>430</v>
      </c>
      <c r="J515" s="72"/>
      <c r="K515" s="72"/>
      <c r="L515" s="72"/>
      <c r="M515" s="72"/>
      <c r="N515" s="72"/>
      <c r="O515" s="72"/>
      <c r="P515" s="72"/>
      <c r="Q515" s="72"/>
      <c r="R515" s="72"/>
      <c r="S515" s="72"/>
      <c r="T515" s="72"/>
      <c r="U515" s="72"/>
      <c r="V515" s="72"/>
      <c r="W515" s="72"/>
      <c r="X515" s="25"/>
      <c r="Y515" s="25"/>
      <c r="AC515" s="2046" t="s">
        <v>625</v>
      </c>
      <c r="AD515" s="2047"/>
      <c r="AE515" s="2047"/>
      <c r="AF515" s="2047"/>
      <c r="AG515" s="75" t="s">
        <v>424</v>
      </c>
      <c r="AH515" s="2044"/>
      <c r="AI515" s="2044"/>
      <c r="AJ515" s="2044"/>
      <c r="AK515" s="204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74"/>
      <c r="C516" s="2075"/>
      <c r="D516" s="2075"/>
      <c r="E516" s="2075"/>
      <c r="F516" s="2075"/>
      <c r="G516" s="2075"/>
      <c r="H516" s="2076"/>
      <c r="I516" s="25" t="s">
        <v>431</v>
      </c>
      <c r="J516" s="25"/>
      <c r="K516" s="25"/>
      <c r="L516" s="25"/>
      <c r="M516" s="25"/>
      <c r="N516" s="25"/>
      <c r="O516" s="25"/>
      <c r="P516" s="25"/>
      <c r="Q516" s="25"/>
      <c r="R516" s="25"/>
      <c r="S516" s="25"/>
      <c r="T516" s="25"/>
      <c r="U516" s="25"/>
      <c r="V516" s="25"/>
      <c r="W516" s="25"/>
      <c r="X516" s="25"/>
      <c r="Y516" s="25"/>
      <c r="AC516" s="2046" t="s">
        <v>625</v>
      </c>
      <c r="AD516" s="2047"/>
      <c r="AE516" s="2047"/>
      <c r="AF516" s="2047"/>
      <c r="AG516" s="75" t="s">
        <v>424</v>
      </c>
      <c r="AH516" s="2044"/>
      <c r="AI516" s="2044"/>
      <c r="AJ516" s="2044"/>
      <c r="AK516" s="204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74"/>
      <c r="C517" s="2075"/>
      <c r="D517" s="2075"/>
      <c r="E517" s="2075"/>
      <c r="F517" s="2075"/>
      <c r="G517" s="2075"/>
      <c r="H517" s="2076"/>
      <c r="I517" s="25" t="s">
        <v>432</v>
      </c>
      <c r="J517" s="25"/>
      <c r="K517" s="25"/>
      <c r="L517" s="25"/>
      <c r="M517" s="25"/>
      <c r="N517" s="25"/>
      <c r="O517" s="25"/>
      <c r="P517" s="25"/>
      <c r="Q517" s="25"/>
      <c r="R517" s="25"/>
      <c r="S517" s="25"/>
      <c r="T517" s="25"/>
      <c r="U517" s="25"/>
      <c r="V517" s="25"/>
      <c r="W517" s="25"/>
      <c r="X517" s="25"/>
      <c r="Y517" s="25"/>
      <c r="AC517" s="2046" t="s">
        <v>625</v>
      </c>
      <c r="AD517" s="2047"/>
      <c r="AE517" s="2047"/>
      <c r="AF517" s="2047"/>
      <c r="AG517" s="75" t="s">
        <v>424</v>
      </c>
      <c r="AH517" s="2044"/>
      <c r="AI517" s="2044"/>
      <c r="AJ517" s="2044"/>
      <c r="AK517" s="204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74"/>
      <c r="C518" s="2075"/>
      <c r="D518" s="2075"/>
      <c r="E518" s="2075"/>
      <c r="F518" s="2075"/>
      <c r="G518" s="2075"/>
      <c r="H518" s="2076"/>
      <c r="I518" s="25" t="s">
        <v>433</v>
      </c>
      <c r="J518" s="25"/>
      <c r="K518" s="25"/>
      <c r="L518" s="25"/>
      <c r="M518" s="25"/>
      <c r="N518" s="25"/>
      <c r="O518" s="25"/>
      <c r="P518" s="25"/>
      <c r="Q518" s="25"/>
      <c r="R518" s="25"/>
      <c r="S518" s="25"/>
      <c r="T518" s="25"/>
      <c r="U518" s="25"/>
      <c r="V518" s="25"/>
      <c r="W518" s="25"/>
      <c r="X518" s="25"/>
      <c r="Y518" s="25"/>
      <c r="AC518" s="2046" t="s">
        <v>625</v>
      </c>
      <c r="AD518" s="2047"/>
      <c r="AE518" s="2047"/>
      <c r="AF518" s="2047"/>
      <c r="AG518" s="75" t="s">
        <v>424</v>
      </c>
      <c r="AH518" s="2044"/>
      <c r="AI518" s="2044"/>
      <c r="AJ518" s="2044"/>
      <c r="AK518" s="204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74"/>
      <c r="C519" s="2075"/>
      <c r="D519" s="2075"/>
      <c r="E519" s="2075"/>
      <c r="F519" s="2075"/>
      <c r="G519" s="2075"/>
      <c r="H519" s="2076"/>
      <c r="I519" s="177" t="s">
        <v>434</v>
      </c>
      <c r="J519" s="25"/>
      <c r="K519" s="25"/>
      <c r="L519" s="25"/>
      <c r="M519" s="25"/>
      <c r="N519" s="25"/>
      <c r="O519" s="25"/>
      <c r="P519" s="25"/>
      <c r="Q519" s="25"/>
      <c r="R519" s="25"/>
      <c r="S519" s="25"/>
      <c r="T519" s="25"/>
      <c r="U519" s="25"/>
      <c r="V519" s="25"/>
      <c r="W519" s="25"/>
      <c r="X519" s="25"/>
      <c r="Y519" s="25"/>
      <c r="AC519" s="2140" t="s">
        <v>625</v>
      </c>
      <c r="AD519" s="2141"/>
      <c r="AE519" s="2141"/>
      <c r="AF519" s="2141"/>
      <c r="AG519" s="75" t="s">
        <v>424</v>
      </c>
      <c r="AH519" s="2044"/>
      <c r="AI519" s="2044"/>
      <c r="AJ519" s="2044"/>
      <c r="AK519" s="204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74"/>
      <c r="C520" s="2075"/>
      <c r="D520" s="2075"/>
      <c r="E520" s="2075"/>
      <c r="F520" s="2075"/>
      <c r="G520" s="2075"/>
      <c r="H520" s="2076"/>
      <c r="I520" s="1524" t="s">
        <v>175</v>
      </c>
      <c r="J520" s="80"/>
      <c r="K520" s="80"/>
      <c r="L520" s="2176" t="s">
        <v>2557</v>
      </c>
      <c r="M520" s="2070"/>
      <c r="N520" s="2070"/>
      <c r="O520" s="2070"/>
      <c r="P520" s="2070"/>
      <c r="Q520" s="2070"/>
      <c r="R520" s="2070"/>
      <c r="S520" s="2070"/>
      <c r="T520" s="2070"/>
      <c r="U520" s="2070"/>
      <c r="V520" s="2070"/>
      <c r="W520" s="2070"/>
      <c r="X520" s="2070"/>
      <c r="Y520" s="2070"/>
      <c r="Z520" s="2070"/>
      <c r="AA520" s="2070"/>
      <c r="AB520" s="2177"/>
      <c r="AC520" s="2046">
        <v>1</v>
      </c>
      <c r="AD520" s="2047"/>
      <c r="AE520" s="2047"/>
      <c r="AF520" s="2047"/>
      <c r="AG520" s="1495" t="s">
        <v>424</v>
      </c>
      <c r="AH520" s="2044">
        <v>2020</v>
      </c>
      <c r="AI520" s="2044"/>
      <c r="AJ520" s="2044"/>
      <c r="AK520" s="204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90" t="s">
        <v>577</v>
      </c>
      <c r="AD521" s="2090"/>
      <c r="AE521" s="2090"/>
      <c r="AF521" s="2090"/>
      <c r="AG521" s="1787"/>
      <c r="AH521" s="2113"/>
      <c r="AI521" s="2113"/>
      <c r="AJ521" s="2113"/>
      <c r="AK521" s="211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140">
        <v>1</v>
      </c>
      <c r="AD522" s="2141"/>
      <c r="AE522" s="2141"/>
      <c r="AF522" s="2142"/>
      <c r="AG522" s="1787"/>
      <c r="AH522" s="2113"/>
      <c r="AI522" s="2113"/>
      <c r="AJ522" s="2113"/>
      <c r="AK522" s="211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143"/>
      <c r="AD524" s="2144"/>
      <c r="AE524" s="2144"/>
      <c r="AF524" s="2145"/>
      <c r="AG524" s="1788"/>
      <c r="AH524" s="2146"/>
      <c r="AI524" s="2146"/>
      <c r="AJ524" s="2146"/>
      <c r="AK524" s="214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066" t="s">
        <v>423</v>
      </c>
      <c r="AD525" s="2067"/>
      <c r="AE525" s="2067"/>
      <c r="AF525" s="2067"/>
      <c r="AG525" s="1788" t="s">
        <v>424</v>
      </c>
      <c r="AH525" s="2067" t="s">
        <v>425</v>
      </c>
      <c r="AI525" s="2067"/>
      <c r="AJ525" s="2067"/>
      <c r="AK525" s="206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71" t="s">
        <v>435</v>
      </c>
      <c r="C526" s="2072"/>
      <c r="D526" s="2072"/>
      <c r="E526" s="2072"/>
      <c r="F526" s="2072"/>
      <c r="G526" s="2072"/>
      <c r="H526" s="2073"/>
      <c r="I526" s="72" t="s">
        <v>436</v>
      </c>
      <c r="J526" s="72"/>
      <c r="K526" s="72"/>
      <c r="L526" s="72"/>
      <c r="M526" s="72"/>
      <c r="N526" s="72"/>
      <c r="O526" s="72"/>
      <c r="P526" s="72"/>
      <c r="Q526" s="72"/>
      <c r="R526" s="72"/>
      <c r="S526" s="72"/>
      <c r="T526" s="72"/>
      <c r="U526" s="72"/>
      <c r="V526" s="72"/>
      <c r="W526" s="72"/>
      <c r="X526" s="25"/>
      <c r="Y526" s="25"/>
      <c r="AC526" s="2046">
        <v>8</v>
      </c>
      <c r="AD526" s="2047"/>
      <c r="AE526" s="2047"/>
      <c r="AF526" s="2047"/>
      <c r="AG526" s="75" t="s">
        <v>424</v>
      </c>
      <c r="AH526" s="2044">
        <v>2021</v>
      </c>
      <c r="AI526" s="2044"/>
      <c r="AJ526" s="2044"/>
      <c r="AK526" s="204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74"/>
      <c r="C527" s="2075"/>
      <c r="D527" s="2075"/>
      <c r="E527" s="2075"/>
      <c r="F527" s="2075"/>
      <c r="G527" s="2075"/>
      <c r="H527" s="2076"/>
      <c r="I527" s="25" t="s">
        <v>437</v>
      </c>
      <c r="J527" s="25"/>
      <c r="K527" s="25"/>
      <c r="L527" s="25"/>
      <c r="M527" s="25"/>
      <c r="N527" s="25"/>
      <c r="O527" s="25"/>
      <c r="P527" s="25"/>
      <c r="Q527" s="25"/>
      <c r="R527" s="25"/>
      <c r="S527" s="25"/>
      <c r="T527" s="25"/>
      <c r="U527" s="25"/>
      <c r="V527" s="25"/>
      <c r="W527" s="25"/>
      <c r="X527" s="25"/>
      <c r="Y527" s="25"/>
      <c r="AC527" s="2046">
        <v>8</v>
      </c>
      <c r="AD527" s="2047"/>
      <c r="AE527" s="2047"/>
      <c r="AF527" s="2047"/>
      <c r="AG527" s="75" t="s">
        <v>424</v>
      </c>
      <c r="AH527" s="2044">
        <v>2021</v>
      </c>
      <c r="AI527" s="2044"/>
      <c r="AJ527" s="2044"/>
      <c r="AK527" s="204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74"/>
      <c r="C528" s="2075"/>
      <c r="D528" s="2075"/>
      <c r="E528" s="2075"/>
      <c r="F528" s="2075"/>
      <c r="G528" s="2075"/>
      <c r="H528" s="2076"/>
      <c r="I528" s="80" t="s">
        <v>438</v>
      </c>
      <c r="J528" s="80"/>
      <c r="K528" s="80"/>
      <c r="L528" s="80"/>
      <c r="M528" s="80"/>
      <c r="N528" s="80"/>
      <c r="O528" s="80"/>
      <c r="P528" s="80"/>
      <c r="Q528" s="80"/>
      <c r="R528" s="80"/>
      <c r="S528" s="80"/>
      <c r="T528" s="80"/>
      <c r="U528" s="80"/>
      <c r="V528" s="80"/>
      <c r="W528" s="80"/>
      <c r="X528" s="80"/>
      <c r="Y528" s="80"/>
      <c r="Z528" s="80"/>
      <c r="AA528" s="80"/>
      <c r="AB528" s="80"/>
      <c r="AC528" s="2046">
        <v>3</v>
      </c>
      <c r="AD528" s="2047"/>
      <c r="AE528" s="2047"/>
      <c r="AF528" s="2047"/>
      <c r="AG528" s="65" t="s">
        <v>424</v>
      </c>
      <c r="AH528" s="2044">
        <v>2022</v>
      </c>
      <c r="AI528" s="2044"/>
      <c r="AJ528" s="2044"/>
      <c r="AK528" s="204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71" t="s">
        <v>439</v>
      </c>
      <c r="C529" s="2072"/>
      <c r="D529" s="2072"/>
      <c r="E529" s="2072"/>
      <c r="F529" s="2072"/>
      <c r="G529" s="2072"/>
      <c r="H529" s="2073"/>
      <c r="I529" s="72" t="s">
        <v>436</v>
      </c>
      <c r="J529" s="72"/>
      <c r="K529" s="72"/>
      <c r="L529" s="72"/>
      <c r="M529" s="72"/>
      <c r="N529" s="72"/>
      <c r="O529" s="72"/>
      <c r="P529" s="72"/>
      <c r="Q529" s="72"/>
      <c r="R529" s="72"/>
      <c r="S529" s="72"/>
      <c r="T529" s="72"/>
      <c r="U529" s="72"/>
      <c r="V529" s="72"/>
      <c r="W529" s="72"/>
      <c r="X529" s="72"/>
      <c r="Y529" s="72"/>
      <c r="Z529" s="72"/>
      <c r="AA529" s="72"/>
      <c r="AB529" s="72"/>
      <c r="AC529" s="2140">
        <v>8</v>
      </c>
      <c r="AD529" s="2141"/>
      <c r="AE529" s="2141"/>
      <c r="AF529" s="2141"/>
      <c r="AG529" s="196" t="s">
        <v>424</v>
      </c>
      <c r="AH529" s="2044">
        <v>2021</v>
      </c>
      <c r="AI529" s="2044"/>
      <c r="AJ529" s="2044"/>
      <c r="AK529" s="204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74"/>
      <c r="C530" s="2075"/>
      <c r="D530" s="2075"/>
      <c r="E530" s="2075"/>
      <c r="F530" s="2075"/>
      <c r="G530" s="2075"/>
      <c r="H530" s="2076"/>
      <c r="I530" s="25" t="s">
        <v>437</v>
      </c>
      <c r="J530" s="25"/>
      <c r="K530" s="25"/>
      <c r="L530" s="25"/>
      <c r="M530" s="25"/>
      <c r="N530" s="25"/>
      <c r="O530" s="25"/>
      <c r="P530" s="25"/>
      <c r="Q530" s="25"/>
      <c r="R530" s="25"/>
      <c r="S530" s="25"/>
      <c r="T530" s="25"/>
      <c r="U530" s="25"/>
      <c r="V530" s="25"/>
      <c r="W530" s="25"/>
      <c r="X530" s="25"/>
      <c r="Y530" s="25"/>
      <c r="Z530" s="25"/>
      <c r="AA530" s="25"/>
      <c r="AB530" s="25"/>
      <c r="AC530" s="2046">
        <v>8</v>
      </c>
      <c r="AD530" s="2047"/>
      <c r="AE530" s="2047"/>
      <c r="AF530" s="2047"/>
      <c r="AG530" s="75" t="s">
        <v>424</v>
      </c>
      <c r="AH530" s="2044">
        <v>2021</v>
      </c>
      <c r="AI530" s="2044"/>
      <c r="AJ530" s="2044"/>
      <c r="AK530" s="204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68"/>
      <c r="C531" s="2169"/>
      <c r="D531" s="2169"/>
      <c r="E531" s="2169"/>
      <c r="F531" s="2169"/>
      <c r="G531" s="2169"/>
      <c r="H531" s="2170"/>
      <c r="I531" s="80" t="s">
        <v>438</v>
      </c>
      <c r="J531" s="80"/>
      <c r="K531" s="80"/>
      <c r="L531" s="80"/>
      <c r="M531" s="80"/>
      <c r="N531" s="80"/>
      <c r="O531" s="80"/>
      <c r="P531" s="80"/>
      <c r="Q531" s="80"/>
      <c r="R531" s="80"/>
      <c r="S531" s="80"/>
      <c r="T531" s="80"/>
      <c r="U531" s="80"/>
      <c r="V531" s="80"/>
      <c r="W531" s="80"/>
      <c r="X531" s="80"/>
      <c r="Y531" s="80"/>
      <c r="Z531" s="80"/>
      <c r="AA531" s="80"/>
      <c r="AB531" s="80"/>
      <c r="AC531" s="2046">
        <v>3</v>
      </c>
      <c r="AD531" s="2047"/>
      <c r="AE531" s="2047"/>
      <c r="AF531" s="2047"/>
      <c r="AG531" s="65" t="s">
        <v>424</v>
      </c>
      <c r="AH531" s="2044">
        <v>2022</v>
      </c>
      <c r="AI531" s="2044"/>
      <c r="AJ531" s="2044"/>
      <c r="AK531" s="204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71" t="s">
        <v>440</v>
      </c>
      <c r="C532" s="2072"/>
      <c r="D532" s="2072"/>
      <c r="E532" s="2072"/>
      <c r="F532" s="2072"/>
      <c r="G532" s="2072"/>
      <c r="H532" s="2073"/>
      <c r="I532" s="71" t="s">
        <v>441</v>
      </c>
      <c r="J532" s="72"/>
      <c r="K532" s="72"/>
      <c r="L532" s="72"/>
      <c r="M532" s="72"/>
      <c r="N532" s="72"/>
      <c r="O532" s="2052" t="s">
        <v>343</v>
      </c>
      <c r="P532" s="2052"/>
      <c r="Q532" s="2052"/>
      <c r="R532" s="2052"/>
      <c r="S532" s="2052"/>
      <c r="T532" s="2052"/>
      <c r="U532" s="2052"/>
      <c r="V532" s="2052"/>
      <c r="W532" s="2052"/>
      <c r="X532" s="2052"/>
      <c r="Y532" s="2052"/>
      <c r="Z532" s="2052"/>
      <c r="AA532" s="2052"/>
      <c r="AB532" s="94"/>
      <c r="AC532" s="2140" t="s">
        <v>625</v>
      </c>
      <c r="AD532" s="2141"/>
      <c r="AE532" s="2141"/>
      <c r="AF532" s="2141"/>
      <c r="AG532" s="196" t="s">
        <v>424</v>
      </c>
      <c r="AH532" s="2044"/>
      <c r="AI532" s="2044"/>
      <c r="AJ532" s="2044"/>
      <c r="AK532" s="204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74"/>
      <c r="C533" s="2075"/>
      <c r="D533" s="2075"/>
      <c r="E533" s="2075"/>
      <c r="F533" s="2075"/>
      <c r="G533" s="2075"/>
      <c r="H533" s="2076"/>
      <c r="I533" s="171" t="s">
        <v>442</v>
      </c>
      <c r="J533" s="25"/>
      <c r="K533" s="25"/>
      <c r="L533" s="25"/>
      <c r="M533" s="25"/>
      <c r="N533" s="25"/>
      <c r="O533" s="25"/>
      <c r="P533" s="25"/>
      <c r="Q533" s="25"/>
      <c r="R533" s="25"/>
      <c r="S533" s="25"/>
      <c r="T533" s="25"/>
      <c r="U533" s="25"/>
      <c r="V533" s="25"/>
      <c r="W533" s="25"/>
      <c r="X533" s="25"/>
      <c r="Y533" s="25"/>
      <c r="Z533" s="25"/>
      <c r="AA533" s="25"/>
      <c r="AB533" s="101"/>
      <c r="AC533" s="2046" t="s">
        <v>625</v>
      </c>
      <c r="AD533" s="2047"/>
      <c r="AE533" s="2047"/>
      <c r="AF533" s="2047"/>
      <c r="AG533" s="75" t="s">
        <v>424</v>
      </c>
      <c r="AH533" s="2044"/>
      <c r="AI533" s="2044"/>
      <c r="AJ533" s="2044"/>
      <c r="AK533" s="204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74"/>
      <c r="C534" s="2075"/>
      <c r="D534" s="2075"/>
      <c r="E534" s="2075"/>
      <c r="F534" s="2075"/>
      <c r="G534" s="2075"/>
      <c r="H534" s="2076"/>
      <c r="I534" s="79" t="s">
        <v>443</v>
      </c>
      <c r="J534" s="80"/>
      <c r="K534" s="80"/>
      <c r="L534" s="80"/>
      <c r="M534" s="80"/>
      <c r="N534" s="80"/>
      <c r="O534" s="80"/>
      <c r="P534" s="80"/>
      <c r="Q534" s="80"/>
      <c r="R534" s="80"/>
      <c r="S534" s="80"/>
      <c r="T534" s="80"/>
      <c r="U534" s="80"/>
      <c r="V534" s="80"/>
      <c r="W534" s="80"/>
      <c r="X534" s="80"/>
      <c r="Y534" s="80"/>
      <c r="Z534" s="80"/>
      <c r="AA534" s="80"/>
      <c r="AB534" s="81"/>
      <c r="AC534" s="2046" t="s">
        <v>625</v>
      </c>
      <c r="AD534" s="2047"/>
      <c r="AE534" s="2047"/>
      <c r="AF534" s="2047"/>
      <c r="AG534" s="65" t="s">
        <v>424</v>
      </c>
      <c r="AH534" s="2044"/>
      <c r="AI534" s="2044"/>
      <c r="AJ534" s="2044"/>
      <c r="AK534" s="204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74"/>
      <c r="C535" s="2075"/>
      <c r="D535" s="2075"/>
      <c r="E535" s="2075"/>
      <c r="F535" s="2075"/>
      <c r="G535" s="2075"/>
      <c r="H535" s="2076"/>
      <c r="I535" s="72" t="s">
        <v>444</v>
      </c>
      <c r="J535" s="72"/>
      <c r="K535" s="72"/>
      <c r="L535" s="72"/>
      <c r="M535" s="72"/>
      <c r="N535" s="72"/>
      <c r="O535" s="2038" t="s">
        <v>343</v>
      </c>
      <c r="P535" s="2038"/>
      <c r="Q535" s="2038"/>
      <c r="R535" s="2038"/>
      <c r="S535" s="2038"/>
      <c r="T535" s="2038"/>
      <c r="U535" s="2038"/>
      <c r="V535" s="2038"/>
      <c r="W535" s="2038"/>
      <c r="X535" s="2038"/>
      <c r="Y535" s="2038"/>
      <c r="Z535" s="2038"/>
      <c r="AA535" s="2038"/>
      <c r="AC535" s="2046" t="s">
        <v>625</v>
      </c>
      <c r="AD535" s="2047"/>
      <c r="AE535" s="2047"/>
      <c r="AF535" s="2047"/>
      <c r="AG535" s="75" t="s">
        <v>424</v>
      </c>
      <c r="AH535" s="2044"/>
      <c r="AI535" s="2044"/>
      <c r="AJ535" s="2044"/>
      <c r="AK535" s="204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74"/>
      <c r="C536" s="2075"/>
      <c r="D536" s="2075"/>
      <c r="E536" s="2075"/>
      <c r="F536" s="2075"/>
      <c r="G536" s="2075"/>
      <c r="H536" s="2076"/>
      <c r="I536" s="25" t="s">
        <v>442</v>
      </c>
      <c r="J536" s="25"/>
      <c r="K536" s="25"/>
      <c r="L536" s="25"/>
      <c r="M536" s="25"/>
      <c r="N536" s="25"/>
      <c r="O536" s="25"/>
      <c r="P536" s="25"/>
      <c r="Q536" s="25"/>
      <c r="R536" s="25"/>
      <c r="S536" s="25"/>
      <c r="T536" s="25"/>
      <c r="U536" s="25"/>
      <c r="V536" s="25"/>
      <c r="W536" s="25"/>
      <c r="X536" s="25"/>
      <c r="Y536" s="25"/>
      <c r="AC536" s="2046" t="s">
        <v>625</v>
      </c>
      <c r="AD536" s="2047"/>
      <c r="AE536" s="2047"/>
      <c r="AF536" s="2047"/>
      <c r="AG536" s="75" t="s">
        <v>424</v>
      </c>
      <c r="AH536" s="2044"/>
      <c r="AI536" s="2044"/>
      <c r="AJ536" s="2044"/>
      <c r="AK536" s="204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74"/>
      <c r="C537" s="2075"/>
      <c r="D537" s="2075"/>
      <c r="E537" s="2075"/>
      <c r="F537" s="2075"/>
      <c r="G537" s="2075"/>
      <c r="H537" s="2076"/>
      <c r="I537" s="80" t="s">
        <v>443</v>
      </c>
      <c r="J537" s="80"/>
      <c r="K537" s="80"/>
      <c r="L537" s="80"/>
      <c r="M537" s="80"/>
      <c r="N537" s="80"/>
      <c r="O537" s="80"/>
      <c r="P537" s="80"/>
      <c r="Q537" s="80"/>
      <c r="R537" s="80"/>
      <c r="S537" s="80"/>
      <c r="T537" s="80"/>
      <c r="U537" s="80"/>
      <c r="V537" s="80"/>
      <c r="W537" s="80"/>
      <c r="X537" s="80"/>
      <c r="Y537" s="80"/>
      <c r="Z537" s="80"/>
      <c r="AA537" s="80"/>
      <c r="AB537" s="80"/>
      <c r="AC537" s="2046" t="s">
        <v>625</v>
      </c>
      <c r="AD537" s="2047"/>
      <c r="AE537" s="2047"/>
      <c r="AF537" s="2047"/>
      <c r="AG537" s="65" t="s">
        <v>424</v>
      </c>
      <c r="AH537" s="2044"/>
      <c r="AI537" s="2044"/>
      <c r="AJ537" s="2044"/>
      <c r="AK537" s="204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74"/>
      <c r="C538" s="2075"/>
      <c r="D538" s="2075"/>
      <c r="E538" s="2075"/>
      <c r="F538" s="2075"/>
      <c r="G538" s="2075"/>
      <c r="H538" s="2076"/>
      <c r="I538" s="72" t="s">
        <v>444</v>
      </c>
      <c r="J538" s="72"/>
      <c r="K538" s="72"/>
      <c r="L538" s="72"/>
      <c r="M538" s="72"/>
      <c r="N538" s="72"/>
      <c r="O538" s="2038" t="s">
        <v>343</v>
      </c>
      <c r="P538" s="2038"/>
      <c r="Q538" s="2038"/>
      <c r="R538" s="2038"/>
      <c r="S538" s="2038"/>
      <c r="T538" s="2038"/>
      <c r="U538" s="2038"/>
      <c r="V538" s="2038"/>
      <c r="W538" s="2038"/>
      <c r="X538" s="2038"/>
      <c r="Y538" s="2038"/>
      <c r="Z538" s="2038"/>
      <c r="AA538" s="2038"/>
      <c r="AC538" s="2046" t="s">
        <v>625</v>
      </c>
      <c r="AD538" s="2047"/>
      <c r="AE538" s="2047"/>
      <c r="AF538" s="2047"/>
      <c r="AG538" s="75" t="s">
        <v>424</v>
      </c>
      <c r="AH538" s="2044"/>
      <c r="AI538" s="2044"/>
      <c r="AJ538" s="2044"/>
      <c r="AK538" s="204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74"/>
      <c r="C539" s="2075"/>
      <c r="D539" s="2075"/>
      <c r="E539" s="2075"/>
      <c r="F539" s="2075"/>
      <c r="G539" s="2075"/>
      <c r="H539" s="2076"/>
      <c r="I539" s="25" t="s">
        <v>442</v>
      </c>
      <c r="J539" s="25"/>
      <c r="K539" s="25"/>
      <c r="L539" s="25"/>
      <c r="M539" s="25"/>
      <c r="N539" s="25"/>
      <c r="O539" s="25"/>
      <c r="P539" s="25"/>
      <c r="Q539" s="25"/>
      <c r="R539" s="25"/>
      <c r="S539" s="25"/>
      <c r="T539" s="25"/>
      <c r="U539" s="25"/>
      <c r="V539" s="25"/>
      <c r="W539" s="25"/>
      <c r="X539" s="25"/>
      <c r="Y539" s="25"/>
      <c r="AC539" s="2046" t="s">
        <v>625</v>
      </c>
      <c r="AD539" s="2047"/>
      <c r="AE539" s="2047"/>
      <c r="AF539" s="2047"/>
      <c r="AG539" s="75" t="s">
        <v>424</v>
      </c>
      <c r="AH539" s="2044"/>
      <c r="AI539" s="2044"/>
      <c r="AJ539" s="2044"/>
      <c r="AK539" s="204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74"/>
      <c r="C540" s="2075"/>
      <c r="D540" s="2075"/>
      <c r="E540" s="2075"/>
      <c r="F540" s="2075"/>
      <c r="G540" s="2075"/>
      <c r="H540" s="2076"/>
      <c r="I540" s="80" t="s">
        <v>443</v>
      </c>
      <c r="J540" s="80"/>
      <c r="K540" s="80"/>
      <c r="L540" s="80"/>
      <c r="M540" s="80"/>
      <c r="N540" s="80"/>
      <c r="O540" s="80"/>
      <c r="P540" s="80"/>
      <c r="Q540" s="80"/>
      <c r="R540" s="80"/>
      <c r="S540" s="80"/>
      <c r="T540" s="80"/>
      <c r="U540" s="80"/>
      <c r="V540" s="80"/>
      <c r="W540" s="80"/>
      <c r="X540" s="80"/>
      <c r="Y540" s="80"/>
      <c r="Z540" s="80"/>
      <c r="AA540" s="80"/>
      <c r="AB540" s="80"/>
      <c r="AC540" s="2046" t="s">
        <v>625</v>
      </c>
      <c r="AD540" s="2047"/>
      <c r="AE540" s="2047"/>
      <c r="AF540" s="2047"/>
      <c r="AG540" s="65" t="s">
        <v>424</v>
      </c>
      <c r="AH540" s="2044"/>
      <c r="AI540" s="2044"/>
      <c r="AJ540" s="2044"/>
      <c r="AK540" s="204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74"/>
      <c r="C541" s="2075"/>
      <c r="D541" s="2075"/>
      <c r="E541" s="2075"/>
      <c r="F541" s="2075"/>
      <c r="G541" s="2075"/>
      <c r="H541" s="2076"/>
      <c r="I541" s="72" t="s">
        <v>444</v>
      </c>
      <c r="J541" s="72"/>
      <c r="K541" s="72"/>
      <c r="L541" s="72"/>
      <c r="M541" s="72"/>
      <c r="N541" s="72"/>
      <c r="O541" s="2038" t="s">
        <v>343</v>
      </c>
      <c r="P541" s="2038"/>
      <c r="Q541" s="2038"/>
      <c r="R541" s="2038"/>
      <c r="S541" s="2038"/>
      <c r="T541" s="2038"/>
      <c r="U541" s="2038"/>
      <c r="V541" s="2038"/>
      <c r="W541" s="2038"/>
      <c r="X541" s="2038"/>
      <c r="Y541" s="2038"/>
      <c r="Z541" s="2038"/>
      <c r="AA541" s="2038"/>
      <c r="AC541" s="2046" t="s">
        <v>625</v>
      </c>
      <c r="AD541" s="2047"/>
      <c r="AE541" s="2047"/>
      <c r="AF541" s="2047"/>
      <c r="AG541" s="75" t="s">
        <v>424</v>
      </c>
      <c r="AH541" s="2044"/>
      <c r="AI541" s="2044"/>
      <c r="AJ541" s="2044"/>
      <c r="AK541" s="204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74"/>
      <c r="C542" s="2075"/>
      <c r="D542" s="2075"/>
      <c r="E542" s="2075"/>
      <c r="F542" s="2075"/>
      <c r="G542" s="2075"/>
      <c r="H542" s="2076"/>
      <c r="I542" s="25" t="s">
        <v>442</v>
      </c>
      <c r="J542" s="25"/>
      <c r="K542" s="25"/>
      <c r="L542" s="25"/>
      <c r="M542" s="25"/>
      <c r="N542" s="25"/>
      <c r="O542" s="25"/>
      <c r="P542" s="25"/>
      <c r="Q542" s="25"/>
      <c r="R542" s="25"/>
      <c r="S542" s="25"/>
      <c r="T542" s="25"/>
      <c r="U542" s="25"/>
      <c r="V542" s="25"/>
      <c r="W542" s="25"/>
      <c r="X542" s="25"/>
      <c r="Y542" s="25"/>
      <c r="AC542" s="2046" t="s">
        <v>625</v>
      </c>
      <c r="AD542" s="2047"/>
      <c r="AE542" s="2047"/>
      <c r="AF542" s="2047"/>
      <c r="AG542" s="75" t="s">
        <v>424</v>
      </c>
      <c r="AH542" s="2044"/>
      <c r="AI542" s="2044"/>
      <c r="AJ542" s="2044"/>
      <c r="AK542" s="204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74"/>
      <c r="C543" s="2075"/>
      <c r="D543" s="2075"/>
      <c r="E543" s="2075"/>
      <c r="F543" s="2075"/>
      <c r="G543" s="2075"/>
      <c r="H543" s="2076"/>
      <c r="I543" s="80" t="s">
        <v>443</v>
      </c>
      <c r="J543" s="80"/>
      <c r="K543" s="80"/>
      <c r="L543" s="80"/>
      <c r="M543" s="80"/>
      <c r="N543" s="80"/>
      <c r="O543" s="80"/>
      <c r="P543" s="80"/>
      <c r="Q543" s="80"/>
      <c r="R543" s="80"/>
      <c r="S543" s="80"/>
      <c r="T543" s="80"/>
      <c r="U543" s="80"/>
      <c r="V543" s="80"/>
      <c r="W543" s="80"/>
      <c r="X543" s="80"/>
      <c r="Y543" s="80"/>
      <c r="Z543" s="80"/>
      <c r="AA543" s="80"/>
      <c r="AB543" s="80"/>
      <c r="AC543" s="2046" t="s">
        <v>625</v>
      </c>
      <c r="AD543" s="2047"/>
      <c r="AE543" s="2047"/>
      <c r="AF543" s="2047"/>
      <c r="AG543" s="65" t="s">
        <v>424</v>
      </c>
      <c r="AH543" s="2044"/>
      <c r="AI543" s="2044"/>
      <c r="AJ543" s="2044"/>
      <c r="AK543" s="204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74"/>
      <c r="C544" s="2075"/>
      <c r="D544" s="2075"/>
      <c r="E544" s="2075"/>
      <c r="F544" s="2075"/>
      <c r="G544" s="2075"/>
      <c r="H544" s="2076"/>
      <c r="I544" s="72" t="s">
        <v>444</v>
      </c>
      <c r="J544" s="72"/>
      <c r="K544" s="72"/>
      <c r="L544" s="72"/>
      <c r="M544" s="72"/>
      <c r="N544" s="72"/>
      <c r="O544" s="2038" t="s">
        <v>343</v>
      </c>
      <c r="P544" s="2038"/>
      <c r="Q544" s="2038"/>
      <c r="R544" s="2038"/>
      <c r="S544" s="2038"/>
      <c r="T544" s="2038"/>
      <c r="U544" s="2038"/>
      <c r="V544" s="2038"/>
      <c r="W544" s="2038"/>
      <c r="X544" s="2038"/>
      <c r="Y544" s="2038"/>
      <c r="Z544" s="2038"/>
      <c r="AA544" s="2038"/>
      <c r="AC544" s="2046" t="s">
        <v>625</v>
      </c>
      <c r="AD544" s="2047"/>
      <c r="AE544" s="2047"/>
      <c r="AF544" s="2047"/>
      <c r="AG544" s="75" t="s">
        <v>424</v>
      </c>
      <c r="AH544" s="2044"/>
      <c r="AI544" s="2044"/>
      <c r="AJ544" s="2044"/>
      <c r="AK544" s="204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74"/>
      <c r="C545" s="2075"/>
      <c r="D545" s="2075"/>
      <c r="E545" s="2075"/>
      <c r="F545" s="2075"/>
      <c r="G545" s="2075"/>
      <c r="H545" s="2076"/>
      <c r="I545" s="25" t="s">
        <v>442</v>
      </c>
      <c r="J545" s="25"/>
      <c r="K545" s="25"/>
      <c r="L545" s="25"/>
      <c r="M545" s="25"/>
      <c r="N545" s="25"/>
      <c r="O545" s="25"/>
      <c r="P545" s="25"/>
      <c r="Q545" s="25"/>
      <c r="R545" s="25"/>
      <c r="S545" s="25"/>
      <c r="T545" s="25"/>
      <c r="U545" s="25"/>
      <c r="V545" s="25"/>
      <c r="W545" s="25"/>
      <c r="X545" s="25"/>
      <c r="Y545" s="25"/>
      <c r="AC545" s="2046" t="s">
        <v>625</v>
      </c>
      <c r="AD545" s="2047"/>
      <c r="AE545" s="2047"/>
      <c r="AF545" s="2047"/>
      <c r="AG545" s="65" t="s">
        <v>424</v>
      </c>
      <c r="AH545" s="2044"/>
      <c r="AI545" s="2044"/>
      <c r="AJ545" s="2044"/>
      <c r="AK545" s="204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74"/>
      <c r="C546" s="2075"/>
      <c r="D546" s="2075"/>
      <c r="E546" s="2075"/>
      <c r="F546" s="2075"/>
      <c r="G546" s="2075"/>
      <c r="H546" s="2076"/>
      <c r="I546" s="80" t="s">
        <v>443</v>
      </c>
      <c r="J546" s="80"/>
      <c r="K546" s="80"/>
      <c r="L546" s="80"/>
      <c r="M546" s="80"/>
      <c r="N546" s="80"/>
      <c r="O546" s="80"/>
      <c r="P546" s="80"/>
      <c r="Q546" s="80"/>
      <c r="R546" s="80"/>
      <c r="S546" s="80"/>
      <c r="T546" s="80"/>
      <c r="U546" s="80"/>
      <c r="V546" s="80"/>
      <c r="W546" s="80"/>
      <c r="X546" s="80"/>
      <c r="Y546" s="80"/>
      <c r="Z546" s="80"/>
      <c r="AA546" s="80"/>
      <c r="AB546" s="80"/>
      <c r="AC546" s="2046" t="s">
        <v>625</v>
      </c>
      <c r="AD546" s="2047"/>
      <c r="AE546" s="2047"/>
      <c r="AF546" s="2047"/>
      <c r="AG546" s="75" t="s">
        <v>424</v>
      </c>
      <c r="AH546" s="2044"/>
      <c r="AI546" s="2044"/>
      <c r="AJ546" s="2044"/>
      <c r="AK546" s="204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74"/>
      <c r="C547" s="2075"/>
      <c r="D547" s="2075"/>
      <c r="E547" s="2075"/>
      <c r="F547" s="2075"/>
      <c r="G547" s="2075"/>
      <c r="H547" s="2076"/>
      <c r="I547" s="72" t="s">
        <v>444</v>
      </c>
      <c r="J547" s="72"/>
      <c r="K547" s="72"/>
      <c r="L547" s="72"/>
      <c r="M547" s="72"/>
      <c r="N547" s="72"/>
      <c r="O547" s="2038" t="s">
        <v>343</v>
      </c>
      <c r="P547" s="2038"/>
      <c r="Q547" s="2038"/>
      <c r="R547" s="2038"/>
      <c r="S547" s="2038"/>
      <c r="T547" s="2038"/>
      <c r="U547" s="2038"/>
      <c r="V547" s="2038"/>
      <c r="W547" s="2038"/>
      <c r="X547" s="2038"/>
      <c r="Y547" s="2038"/>
      <c r="Z547" s="2038"/>
      <c r="AA547" s="2038"/>
      <c r="AC547" s="2046" t="s">
        <v>625</v>
      </c>
      <c r="AD547" s="2047"/>
      <c r="AE547" s="2047"/>
      <c r="AF547" s="2047"/>
      <c r="AG547" s="65" t="s">
        <v>424</v>
      </c>
      <c r="AH547" s="2044"/>
      <c r="AI547" s="2044"/>
      <c r="AJ547" s="2044"/>
      <c r="AK547" s="204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74"/>
      <c r="C548" s="2075"/>
      <c r="D548" s="2075"/>
      <c r="E548" s="2075"/>
      <c r="F548" s="2075"/>
      <c r="G548" s="2075"/>
      <c r="H548" s="2076"/>
      <c r="I548" s="25" t="s">
        <v>442</v>
      </c>
      <c r="J548" s="25"/>
      <c r="K548" s="25"/>
      <c r="L548" s="25"/>
      <c r="M548" s="25"/>
      <c r="N548" s="25"/>
      <c r="O548" s="25"/>
      <c r="P548" s="25"/>
      <c r="Q548" s="25"/>
      <c r="R548" s="25"/>
      <c r="S548" s="25"/>
      <c r="T548" s="25"/>
      <c r="U548" s="25"/>
      <c r="V548" s="25"/>
      <c r="W548" s="25"/>
      <c r="X548" s="25"/>
      <c r="Y548" s="25"/>
      <c r="AC548" s="2046" t="s">
        <v>625</v>
      </c>
      <c r="AD548" s="2047"/>
      <c r="AE548" s="2047"/>
      <c r="AF548" s="2047"/>
      <c r="AG548" s="75" t="s">
        <v>424</v>
      </c>
      <c r="AH548" s="2044"/>
      <c r="AI548" s="2044"/>
      <c r="AJ548" s="2044"/>
      <c r="AK548" s="204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74"/>
      <c r="C549" s="2075"/>
      <c r="D549" s="2075"/>
      <c r="E549" s="2075"/>
      <c r="F549" s="2075"/>
      <c r="G549" s="2075"/>
      <c r="H549" s="2076"/>
      <c r="I549" s="80" t="s">
        <v>443</v>
      </c>
      <c r="J549" s="80"/>
      <c r="K549" s="80"/>
      <c r="L549" s="80"/>
      <c r="M549" s="80"/>
      <c r="N549" s="80"/>
      <c r="O549" s="80"/>
      <c r="P549" s="80"/>
      <c r="Q549" s="80"/>
      <c r="R549" s="80"/>
      <c r="S549" s="80"/>
      <c r="T549" s="80"/>
      <c r="U549" s="80"/>
      <c r="V549" s="80"/>
      <c r="W549" s="80"/>
      <c r="X549" s="80"/>
      <c r="Y549" s="80"/>
      <c r="Z549" s="80"/>
      <c r="AA549" s="80"/>
      <c r="AB549" s="80"/>
      <c r="AC549" s="2046" t="s">
        <v>625</v>
      </c>
      <c r="AD549" s="2047"/>
      <c r="AE549" s="2047"/>
      <c r="AF549" s="2047"/>
      <c r="AG549" s="65" t="s">
        <v>424</v>
      </c>
      <c r="AH549" s="2044"/>
      <c r="AI549" s="2044"/>
      <c r="AJ549" s="2044"/>
      <c r="AK549" s="204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74"/>
      <c r="C550" s="2075"/>
      <c r="D550" s="2075"/>
      <c r="E550" s="2075"/>
      <c r="F550" s="2075"/>
      <c r="G550" s="2075"/>
      <c r="H550" s="2076"/>
      <c r="I550" s="72" t="s">
        <v>594</v>
      </c>
      <c r="J550" s="72"/>
      <c r="K550" s="72"/>
      <c r="L550" s="72"/>
      <c r="M550" s="72"/>
      <c r="N550" s="72"/>
      <c r="O550" s="72"/>
      <c r="P550" s="72"/>
      <c r="Q550" s="72"/>
      <c r="R550" s="72"/>
      <c r="S550" s="72"/>
      <c r="T550" s="72"/>
      <c r="U550" s="72"/>
      <c r="V550" s="72"/>
      <c r="W550" s="72"/>
      <c r="X550" s="25"/>
      <c r="Y550" s="25"/>
      <c r="AC550" s="2046">
        <v>3</v>
      </c>
      <c r="AD550" s="2047"/>
      <c r="AE550" s="2047"/>
      <c r="AF550" s="2047"/>
      <c r="AG550" s="65" t="s">
        <v>424</v>
      </c>
      <c r="AH550" s="2044">
        <v>2022</v>
      </c>
      <c r="AI550" s="2044"/>
      <c r="AJ550" s="2044"/>
      <c r="AK550" s="204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74"/>
      <c r="C551" s="2075"/>
      <c r="D551" s="2075"/>
      <c r="E551" s="2075"/>
      <c r="F551" s="2075"/>
      <c r="G551" s="2075"/>
      <c r="H551" s="2076"/>
      <c r="I551" s="25" t="s">
        <v>595</v>
      </c>
      <c r="J551" s="25"/>
      <c r="K551" s="25"/>
      <c r="L551" s="25"/>
      <c r="M551" s="25"/>
      <c r="N551" s="25"/>
      <c r="O551" s="25"/>
      <c r="P551" s="25"/>
      <c r="Q551" s="25"/>
      <c r="R551" s="25"/>
      <c r="S551" s="25"/>
      <c r="T551" s="25"/>
      <c r="U551" s="25"/>
      <c r="V551" s="25"/>
      <c r="W551" s="25"/>
      <c r="X551" s="25"/>
      <c r="Y551" s="25"/>
      <c r="AC551" s="2046">
        <v>3</v>
      </c>
      <c r="AD551" s="2047"/>
      <c r="AE551" s="2047"/>
      <c r="AF551" s="2047"/>
      <c r="AG551" s="75" t="s">
        <v>424</v>
      </c>
      <c r="AH551" s="2044">
        <v>2022</v>
      </c>
      <c r="AI551" s="2044"/>
      <c r="AJ551" s="2044"/>
      <c r="AK551" s="204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74"/>
      <c r="C552" s="2075"/>
      <c r="D552" s="2075"/>
      <c r="E552" s="2075"/>
      <c r="F552" s="2075"/>
      <c r="G552" s="2075"/>
      <c r="H552" s="2076"/>
      <c r="I552" s="25" t="s">
        <v>596</v>
      </c>
      <c r="J552" s="25"/>
      <c r="K552" s="25"/>
      <c r="L552" s="25"/>
      <c r="M552" s="25"/>
      <c r="N552" s="25"/>
      <c r="O552" s="25"/>
      <c r="P552" s="25"/>
      <c r="Q552" s="25"/>
      <c r="R552" s="25"/>
      <c r="S552" s="25"/>
      <c r="T552" s="25"/>
      <c r="U552" s="25"/>
      <c r="V552" s="25"/>
      <c r="W552" s="25"/>
      <c r="X552" s="25"/>
      <c r="Y552" s="25"/>
      <c r="AC552" s="2046">
        <v>4</v>
      </c>
      <c r="AD552" s="2047"/>
      <c r="AE552" s="2047"/>
      <c r="AF552" s="2047"/>
      <c r="AG552" s="65" t="s">
        <v>424</v>
      </c>
      <c r="AH552" s="2044">
        <v>2024</v>
      </c>
      <c r="AI552" s="2044"/>
      <c r="AJ552" s="2044"/>
      <c r="AK552" s="204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74"/>
      <c r="C553" s="2075"/>
      <c r="D553" s="2075"/>
      <c r="E553" s="2075"/>
      <c r="F553" s="2075"/>
      <c r="G553" s="2075"/>
      <c r="H553" s="2076"/>
      <c r="I553" s="25" t="s">
        <v>597</v>
      </c>
      <c r="J553" s="25"/>
      <c r="K553" s="25"/>
      <c r="L553" s="25"/>
      <c r="M553" s="25"/>
      <c r="N553" s="25"/>
      <c r="O553" s="25"/>
      <c r="P553" s="25"/>
      <c r="Q553" s="25"/>
      <c r="R553" s="25"/>
      <c r="S553" s="25"/>
      <c r="T553" s="25"/>
      <c r="U553" s="25"/>
      <c r="V553" s="25"/>
      <c r="W553" s="25"/>
      <c r="X553" s="25"/>
      <c r="Y553" s="25"/>
      <c r="AC553" s="2046">
        <v>10</v>
      </c>
      <c r="AD553" s="2047"/>
      <c r="AE553" s="2047"/>
      <c r="AF553" s="2047"/>
      <c r="AG553" s="65" t="s">
        <v>424</v>
      </c>
      <c r="AH553" s="2044">
        <v>2024</v>
      </c>
      <c r="AI553" s="2044"/>
      <c r="AJ553" s="2044"/>
      <c r="AK553" s="204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68"/>
      <c r="C554" s="2169"/>
      <c r="D554" s="2169"/>
      <c r="E554" s="2169"/>
      <c r="F554" s="2169"/>
      <c r="G554" s="2169"/>
      <c r="H554" s="2170"/>
      <c r="I554" s="80" t="s">
        <v>481</v>
      </c>
      <c r="J554" s="80"/>
      <c r="K554" s="80"/>
      <c r="L554" s="80"/>
      <c r="M554" s="80"/>
      <c r="N554" s="80"/>
      <c r="O554" s="80"/>
      <c r="P554" s="80"/>
      <c r="Q554" s="80"/>
      <c r="R554" s="80"/>
      <c r="S554" s="80"/>
      <c r="T554" s="80"/>
      <c r="U554" s="80"/>
      <c r="V554" s="80"/>
      <c r="W554" s="80"/>
      <c r="X554" s="80"/>
      <c r="Y554" s="80"/>
      <c r="Z554" s="80"/>
      <c r="AA554" s="80"/>
      <c r="AB554" s="80"/>
      <c r="AC554" s="2046">
        <v>6</v>
      </c>
      <c r="AD554" s="2047"/>
      <c r="AE554" s="2047"/>
      <c r="AF554" s="2047"/>
      <c r="AG554" s="65" t="s">
        <v>424</v>
      </c>
      <c r="AH554" s="2044">
        <v>2025</v>
      </c>
      <c r="AI554" s="2044"/>
      <c r="AJ554" s="2044"/>
      <c r="AK554" s="204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0" t="s">
        <v>575</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2"/>
      <c r="AU556" s="1572"/>
      <c r="AV556" s="1572"/>
      <c r="AW556" s="1572"/>
      <c r="AX556" s="1572"/>
      <c r="AY556" s="1572"/>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1" t="s">
        <v>483</v>
      </c>
      <c r="C563" s="2174"/>
      <c r="D563" s="2174"/>
      <c r="E563" s="2174"/>
      <c r="F563" s="2174"/>
      <c r="G563" s="2174"/>
      <c r="H563" s="2174"/>
      <c r="I563" s="2174"/>
      <c r="J563" s="2174"/>
      <c r="K563" s="2174"/>
      <c r="L563" s="2174"/>
      <c r="M563" s="2174"/>
      <c r="N563" s="2174"/>
      <c r="O563" s="2174"/>
      <c r="P563" s="2175"/>
      <c r="Q563" s="2161" t="s">
        <v>2378</v>
      </c>
      <c r="R563" s="2162"/>
      <c r="S563" s="2163"/>
      <c r="T563" s="2161" t="s">
        <v>2376</v>
      </c>
      <c r="U563" s="2162"/>
      <c r="V563" s="2163"/>
      <c r="W563" s="2161" t="s">
        <v>484</v>
      </c>
      <c r="X563" s="2162"/>
      <c r="Y563" s="2163"/>
      <c r="Z563" s="2161" t="s">
        <v>2377</v>
      </c>
      <c r="AA563" s="2162"/>
      <c r="AB563" s="2162"/>
      <c r="AC563" s="2162"/>
      <c r="AD563" s="2162"/>
      <c r="AE563" s="2161" t="s">
        <v>2150</v>
      </c>
      <c r="AF563" s="2162"/>
      <c r="AG563" s="2162"/>
      <c r="AH563" s="2163"/>
      <c r="AI563" s="2161" t="s">
        <v>2151</v>
      </c>
      <c r="AJ563" s="2162"/>
      <c r="AK563" s="2162"/>
      <c r="AL563" s="2163"/>
      <c r="AM563" s="2161" t="s">
        <v>485</v>
      </c>
      <c r="AN563" s="2162"/>
      <c r="AO563" s="2162"/>
      <c r="AP563" s="2162"/>
      <c r="AQ563" s="2162"/>
      <c r="AR563" s="2162"/>
      <c r="AS563" s="216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51" t="s">
        <v>2630</v>
      </c>
      <c r="D564" s="2051"/>
      <c r="E564" s="2051"/>
      <c r="F564" s="2051"/>
      <c r="G564" s="2051"/>
      <c r="H564" s="2051"/>
      <c r="I564" s="2051"/>
      <c r="J564" s="2051"/>
      <c r="K564" s="2051"/>
      <c r="L564" s="2051"/>
      <c r="M564" s="2051"/>
      <c r="N564" s="2051"/>
      <c r="O564" s="2051"/>
      <c r="P564" s="2158"/>
      <c r="Q564" s="2058">
        <v>36</v>
      </c>
      <c r="R564" s="2058"/>
      <c r="S564" s="2059"/>
      <c r="T564" s="2167" t="s">
        <v>625</v>
      </c>
      <c r="U564" s="2058"/>
      <c r="V564" s="2059"/>
      <c r="W564" s="2164" t="s">
        <v>2539</v>
      </c>
      <c r="X564" s="2165"/>
      <c r="Y564" s="2166"/>
      <c r="Z564" s="2062" t="s">
        <v>2538</v>
      </c>
      <c r="AA564" s="2062"/>
      <c r="AB564" s="2062"/>
      <c r="AC564" s="2062"/>
      <c r="AD564" s="2062"/>
      <c r="AE564" s="2041">
        <v>1</v>
      </c>
      <c r="AF564" s="2042"/>
      <c r="AG564" s="2042"/>
      <c r="AH564" s="2043"/>
      <c r="AI564" s="2150" t="s">
        <v>2541</v>
      </c>
      <c r="AJ564" s="2151"/>
      <c r="AK564" s="2151"/>
      <c r="AL564" s="2152"/>
      <c r="AM564" s="2149">
        <v>35400000</v>
      </c>
      <c r="AN564" s="2121"/>
      <c r="AO564" s="2121"/>
      <c r="AP564" s="2121"/>
      <c r="AQ564" s="2121"/>
      <c r="AR564" s="2121"/>
      <c r="AS564" s="2122"/>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1" t="s">
        <v>2631</v>
      </c>
      <c r="D565" s="2051"/>
      <c r="E565" s="2051"/>
      <c r="F565" s="2051"/>
      <c r="G565" s="2051"/>
      <c r="H565" s="2051"/>
      <c r="I565" s="2051"/>
      <c r="J565" s="2051"/>
      <c r="K565" s="2051"/>
      <c r="L565" s="2051"/>
      <c r="M565" s="2051"/>
      <c r="N565" s="2051"/>
      <c r="O565" s="2051"/>
      <c r="P565" s="2158"/>
      <c r="Q565" s="2153">
        <v>36</v>
      </c>
      <c r="R565" s="2058"/>
      <c r="S565" s="2059"/>
      <c r="T565" s="2167" t="s">
        <v>625</v>
      </c>
      <c r="U565" s="2058"/>
      <c r="V565" s="2059"/>
      <c r="W565" s="2164" t="s">
        <v>2540</v>
      </c>
      <c r="X565" s="2165"/>
      <c r="Y565" s="2166"/>
      <c r="Z565" s="2062" t="s">
        <v>2538</v>
      </c>
      <c r="AA565" s="2062"/>
      <c r="AB565" s="2062"/>
      <c r="AC565" s="2062"/>
      <c r="AD565" s="2062"/>
      <c r="AE565" s="2041">
        <v>1</v>
      </c>
      <c r="AF565" s="2042"/>
      <c r="AG565" s="2042"/>
      <c r="AH565" s="2043"/>
      <c r="AI565" s="2150" t="s">
        <v>2541</v>
      </c>
      <c r="AJ565" s="2151"/>
      <c r="AK565" s="2151"/>
      <c r="AL565" s="2152"/>
      <c r="AM565" s="2149">
        <v>19200000</v>
      </c>
      <c r="AN565" s="2121"/>
      <c r="AO565" s="2121"/>
      <c r="AP565" s="2121"/>
      <c r="AQ565" s="2121"/>
      <c r="AR565" s="2121"/>
      <c r="AS565" s="212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51" t="s">
        <v>2525</v>
      </c>
      <c r="D566" s="2051"/>
      <c r="E566" s="2051"/>
      <c r="F566" s="2051"/>
      <c r="G566" s="2051"/>
      <c r="H566" s="2051"/>
      <c r="I566" s="2051"/>
      <c r="J566" s="2051"/>
      <c r="K566" s="2051"/>
      <c r="L566" s="2051"/>
      <c r="M566" s="2051"/>
      <c r="N566" s="2051"/>
      <c r="O566" s="2051"/>
      <c r="P566" s="2158"/>
      <c r="Q566" s="2153">
        <v>660</v>
      </c>
      <c r="R566" s="2058"/>
      <c r="S566" s="2059"/>
      <c r="T566" s="2167" t="s">
        <v>625</v>
      </c>
      <c r="U566" s="2058"/>
      <c r="V566" s="2059"/>
      <c r="W566" s="2164">
        <v>0.03</v>
      </c>
      <c r="X566" s="2165"/>
      <c r="Y566" s="2166"/>
      <c r="Z566" s="2062" t="s">
        <v>2537</v>
      </c>
      <c r="AA566" s="2062"/>
      <c r="AB566" s="2062"/>
      <c r="AC566" s="2062"/>
      <c r="AD566" s="2062"/>
      <c r="AE566" s="2041">
        <v>2</v>
      </c>
      <c r="AF566" s="2042"/>
      <c r="AG566" s="2042"/>
      <c r="AH566" s="2043"/>
      <c r="AI566" s="2150" t="s">
        <v>705</v>
      </c>
      <c r="AJ566" s="2151"/>
      <c r="AK566" s="2151"/>
      <c r="AL566" s="2152"/>
      <c r="AM566" s="2149">
        <v>6000000</v>
      </c>
      <c r="AN566" s="2121"/>
      <c r="AO566" s="2121"/>
      <c r="AP566" s="2121"/>
      <c r="AQ566" s="2121"/>
      <c r="AR566" s="2121"/>
      <c r="AS566" s="212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615</v>
      </c>
      <c r="C567" s="2051" t="s">
        <v>2629</v>
      </c>
      <c r="D567" s="2051"/>
      <c r="E567" s="2051"/>
      <c r="F567" s="2051"/>
      <c r="G567" s="2051"/>
      <c r="H567" s="2051"/>
      <c r="I567" s="2051"/>
      <c r="J567" s="2051"/>
      <c r="K567" s="2051"/>
      <c r="L567" s="2051"/>
      <c r="M567" s="2051"/>
      <c r="N567" s="2051"/>
      <c r="O567" s="2051"/>
      <c r="P567" s="2158"/>
      <c r="Q567" s="2153"/>
      <c r="R567" s="2058"/>
      <c r="S567" s="2059"/>
      <c r="T567" s="2153"/>
      <c r="U567" s="2058"/>
      <c r="V567" s="2059"/>
      <c r="W567" s="2164"/>
      <c r="X567" s="2165"/>
      <c r="Y567" s="2166"/>
      <c r="Z567" s="2062" t="s">
        <v>625</v>
      </c>
      <c r="AA567" s="2062"/>
      <c r="AB567" s="2062"/>
      <c r="AC567" s="2062"/>
      <c r="AD567" s="2062"/>
      <c r="AE567" s="2041"/>
      <c r="AF567" s="2042"/>
      <c r="AG567" s="2042"/>
      <c r="AH567" s="2043"/>
      <c r="AI567" s="2150"/>
      <c r="AJ567" s="2151"/>
      <c r="AK567" s="2151"/>
      <c r="AL567" s="2152"/>
      <c r="AM567" s="2149">
        <v>4417872</v>
      </c>
      <c r="AN567" s="2121"/>
      <c r="AO567" s="2121"/>
      <c r="AP567" s="2121"/>
      <c r="AQ567" s="2121"/>
      <c r="AR567" s="2121"/>
      <c r="AS567" s="212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820</v>
      </c>
      <c r="C568" s="2051" t="s">
        <v>2526</v>
      </c>
      <c r="D568" s="2051"/>
      <c r="E568" s="2051"/>
      <c r="F568" s="2051"/>
      <c r="G568" s="2051"/>
      <c r="H568" s="2051"/>
      <c r="I568" s="2051"/>
      <c r="J568" s="2051"/>
      <c r="K568" s="2051"/>
      <c r="L568" s="2051"/>
      <c r="M568" s="2051"/>
      <c r="N568" s="2051"/>
      <c r="O568" s="2051"/>
      <c r="P568" s="2158"/>
      <c r="Q568" s="2153"/>
      <c r="R568" s="2058"/>
      <c r="S568" s="2059"/>
      <c r="T568" s="2153"/>
      <c r="U568" s="2058"/>
      <c r="V568" s="2059"/>
      <c r="W568" s="2164"/>
      <c r="X568" s="2165"/>
      <c r="Y568" s="2166"/>
      <c r="Z568" s="2062" t="s">
        <v>625</v>
      </c>
      <c r="AA568" s="2062"/>
      <c r="AB568" s="2062"/>
      <c r="AC568" s="2062"/>
      <c r="AD568" s="2062"/>
      <c r="AE568" s="2041"/>
      <c r="AF568" s="2042"/>
      <c r="AG568" s="2042"/>
      <c r="AH568" s="2043"/>
      <c r="AI568" s="2150"/>
      <c r="AJ568" s="2151"/>
      <c r="AK568" s="2151"/>
      <c r="AL568" s="2152"/>
      <c r="AM568" s="2149">
        <v>4217035</v>
      </c>
      <c r="AN568" s="2121"/>
      <c r="AO568" s="2121"/>
      <c r="AP568" s="2121"/>
      <c r="AQ568" s="2121"/>
      <c r="AR568" s="2121"/>
      <c r="AS568" s="212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618</v>
      </c>
      <c r="C569" s="2051"/>
      <c r="D569" s="2051"/>
      <c r="E569" s="2051"/>
      <c r="F569" s="2051"/>
      <c r="G569" s="2051"/>
      <c r="H569" s="2051"/>
      <c r="I569" s="2051"/>
      <c r="J569" s="2051"/>
      <c r="K569" s="2051"/>
      <c r="L569" s="2051"/>
      <c r="M569" s="2051"/>
      <c r="N569" s="2051"/>
      <c r="O569" s="2051"/>
      <c r="P569" s="2158"/>
      <c r="Q569" s="2153"/>
      <c r="R569" s="2058"/>
      <c r="S569" s="2059"/>
      <c r="T569" s="2153"/>
      <c r="U569" s="2058"/>
      <c r="V569" s="2059"/>
      <c r="W569" s="2164"/>
      <c r="X569" s="2165"/>
      <c r="Y569" s="2166"/>
      <c r="Z569" s="2062" t="s">
        <v>1383</v>
      </c>
      <c r="AA569" s="2062"/>
      <c r="AB569" s="2062"/>
      <c r="AC569" s="2062"/>
      <c r="AD569" s="2062"/>
      <c r="AE569" s="2041"/>
      <c r="AF569" s="2042"/>
      <c r="AG569" s="2042"/>
      <c r="AH569" s="2043"/>
      <c r="AI569" s="2150"/>
      <c r="AJ569" s="2151"/>
      <c r="AK569" s="2151"/>
      <c r="AL569" s="2152"/>
      <c r="AM569" s="2149"/>
      <c r="AN569" s="2121"/>
      <c r="AO569" s="2121"/>
      <c r="AP569" s="2121"/>
      <c r="AQ569" s="2121"/>
      <c r="AR569" s="2121"/>
      <c r="AS569" s="212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486</v>
      </c>
      <c r="C570" s="2051"/>
      <c r="D570" s="2051"/>
      <c r="E570" s="2051"/>
      <c r="F570" s="2051"/>
      <c r="G570" s="2051"/>
      <c r="H570" s="2051"/>
      <c r="I570" s="2051"/>
      <c r="J570" s="2051"/>
      <c r="K570" s="2051"/>
      <c r="L570" s="2051"/>
      <c r="M570" s="2051"/>
      <c r="N570" s="2051"/>
      <c r="O570" s="2051"/>
      <c r="P570" s="2158"/>
      <c r="Q570" s="2153"/>
      <c r="R570" s="2058"/>
      <c r="S570" s="2059"/>
      <c r="T570" s="2153"/>
      <c r="U570" s="2058"/>
      <c r="V570" s="2059"/>
      <c r="W570" s="2164"/>
      <c r="X570" s="2165"/>
      <c r="Y570" s="2166"/>
      <c r="Z570" s="2062" t="s">
        <v>1383</v>
      </c>
      <c r="AA570" s="2062"/>
      <c r="AB570" s="2062"/>
      <c r="AC570" s="2062"/>
      <c r="AD570" s="2062"/>
      <c r="AE570" s="2041"/>
      <c r="AF570" s="2042"/>
      <c r="AG570" s="2042"/>
      <c r="AH570" s="2043"/>
      <c r="AI570" s="2150"/>
      <c r="AJ570" s="2151"/>
      <c r="AK570" s="2151"/>
      <c r="AL570" s="2152"/>
      <c r="AM570" s="2149"/>
      <c r="AN570" s="2121"/>
      <c r="AO570" s="2121"/>
      <c r="AP570" s="2121"/>
      <c r="AQ570" s="2121"/>
      <c r="AR570" s="2121"/>
      <c r="AS570" s="212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487</v>
      </c>
      <c r="C571" s="2051"/>
      <c r="D571" s="2051"/>
      <c r="E571" s="2051"/>
      <c r="F571" s="2051"/>
      <c r="G571" s="2051"/>
      <c r="H571" s="2051"/>
      <c r="I571" s="2051"/>
      <c r="J571" s="2051"/>
      <c r="K571" s="2051"/>
      <c r="L571" s="2051"/>
      <c r="M571" s="2051"/>
      <c r="N571" s="2051"/>
      <c r="O571" s="2051"/>
      <c r="P571" s="2158"/>
      <c r="Q571" s="2153"/>
      <c r="R571" s="2058"/>
      <c r="S571" s="2059"/>
      <c r="T571" s="2153"/>
      <c r="U571" s="2058"/>
      <c r="V571" s="2059"/>
      <c r="W571" s="2164"/>
      <c r="X571" s="2165"/>
      <c r="Y571" s="2166"/>
      <c r="Z571" s="2062" t="s">
        <v>1383</v>
      </c>
      <c r="AA571" s="2062"/>
      <c r="AB571" s="2062"/>
      <c r="AC571" s="2062"/>
      <c r="AD571" s="2062"/>
      <c r="AE571" s="2041"/>
      <c r="AF571" s="2042"/>
      <c r="AG571" s="2042"/>
      <c r="AH571" s="2043"/>
      <c r="AI571" s="2150"/>
      <c r="AJ571" s="2151"/>
      <c r="AK571" s="2151"/>
      <c r="AL571" s="2152"/>
      <c r="AM571" s="2149"/>
      <c r="AN571" s="2121"/>
      <c r="AO571" s="2121"/>
      <c r="AP571" s="2121"/>
      <c r="AQ571" s="2121"/>
      <c r="AR571" s="2121"/>
      <c r="AS571" s="2122"/>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493</v>
      </c>
      <c r="C572" s="2051"/>
      <c r="D572" s="2051"/>
      <c r="E572" s="2051"/>
      <c r="F572" s="2051"/>
      <c r="G572" s="2051"/>
      <c r="H572" s="2051"/>
      <c r="I572" s="2051"/>
      <c r="J572" s="2051"/>
      <c r="K572" s="2051"/>
      <c r="L572" s="2051"/>
      <c r="M572" s="2051"/>
      <c r="N572" s="2051"/>
      <c r="O572" s="2051"/>
      <c r="P572" s="2158"/>
      <c r="Q572" s="2153"/>
      <c r="R572" s="2058"/>
      <c r="S572" s="2059"/>
      <c r="T572" s="2153"/>
      <c r="U572" s="2058"/>
      <c r="V572" s="2059"/>
      <c r="W572" s="2164"/>
      <c r="X572" s="2165"/>
      <c r="Y572" s="2166"/>
      <c r="Z572" s="2062" t="s">
        <v>1383</v>
      </c>
      <c r="AA572" s="2062"/>
      <c r="AB572" s="2062"/>
      <c r="AC572" s="2062"/>
      <c r="AD572" s="2062"/>
      <c r="AE572" s="2041"/>
      <c r="AF572" s="2042"/>
      <c r="AG572" s="2042"/>
      <c r="AH572" s="2043"/>
      <c r="AI572" s="2150"/>
      <c r="AJ572" s="2151"/>
      <c r="AK572" s="2151"/>
      <c r="AL572" s="2152"/>
      <c r="AM572" s="2149"/>
      <c r="AN572" s="2121"/>
      <c r="AO572" s="2121"/>
      <c r="AP572" s="2121"/>
      <c r="AQ572" s="2121"/>
      <c r="AR572" s="2121"/>
      <c r="AS572" s="2122"/>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51"/>
      <c r="D573" s="2051"/>
      <c r="E573" s="2051"/>
      <c r="F573" s="2051"/>
      <c r="G573" s="2051"/>
      <c r="H573" s="2051"/>
      <c r="I573" s="2051"/>
      <c r="J573" s="2051"/>
      <c r="K573" s="2051"/>
      <c r="L573" s="2051"/>
      <c r="M573" s="2051"/>
      <c r="N573" s="2051"/>
      <c r="O573" s="2051"/>
      <c r="P573" s="2158"/>
      <c r="Q573" s="2153"/>
      <c r="R573" s="2058"/>
      <c r="S573" s="2059"/>
      <c r="T573" s="2153"/>
      <c r="U573" s="2058"/>
      <c r="V573" s="2059"/>
      <c r="W573" s="2164"/>
      <c r="X573" s="2165"/>
      <c r="Y573" s="2166"/>
      <c r="Z573" s="2062" t="s">
        <v>1383</v>
      </c>
      <c r="AA573" s="2062"/>
      <c r="AB573" s="2062"/>
      <c r="AC573" s="2062"/>
      <c r="AD573" s="2062"/>
      <c r="AE573" s="2041"/>
      <c r="AF573" s="2042"/>
      <c r="AG573" s="2042"/>
      <c r="AH573" s="2043"/>
      <c r="AI573" s="2150"/>
      <c r="AJ573" s="2151"/>
      <c r="AK573" s="2151"/>
      <c r="AL573" s="2152"/>
      <c r="AM573" s="2149"/>
      <c r="AN573" s="2121"/>
      <c r="AO573" s="2121"/>
      <c r="AP573" s="2121"/>
      <c r="AQ573" s="2121"/>
      <c r="AR573" s="2121"/>
      <c r="AS573" s="212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51"/>
      <c r="D574" s="2051"/>
      <c r="E574" s="2051"/>
      <c r="F574" s="2051"/>
      <c r="G574" s="2051"/>
      <c r="H574" s="2051"/>
      <c r="I574" s="2051"/>
      <c r="J574" s="2051"/>
      <c r="K574" s="2051"/>
      <c r="L574" s="2051"/>
      <c r="M574" s="2051"/>
      <c r="N574" s="2051"/>
      <c r="O574" s="2051"/>
      <c r="P574" s="2158"/>
      <c r="Q574" s="2153"/>
      <c r="R574" s="2058"/>
      <c r="S574" s="2059"/>
      <c r="T574" s="2153"/>
      <c r="U574" s="2058"/>
      <c r="V574" s="2059"/>
      <c r="W574" s="2164"/>
      <c r="X574" s="2165"/>
      <c r="Y574" s="2166"/>
      <c r="Z574" s="2062" t="s">
        <v>1383</v>
      </c>
      <c r="AA574" s="2062"/>
      <c r="AB574" s="2062"/>
      <c r="AC574" s="2062"/>
      <c r="AD574" s="2062"/>
      <c r="AE574" s="2041"/>
      <c r="AF574" s="2042"/>
      <c r="AG574" s="2042"/>
      <c r="AH574" s="2043"/>
      <c r="AI574" s="2150"/>
      <c r="AJ574" s="2151"/>
      <c r="AK574" s="2151"/>
      <c r="AL574" s="2152"/>
      <c r="AM574" s="2149"/>
      <c r="AN574" s="2121"/>
      <c r="AO574" s="2121"/>
      <c r="AP574" s="2121"/>
      <c r="AQ574" s="2121"/>
      <c r="AR574" s="2121"/>
      <c r="AS574" s="212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51"/>
      <c r="D575" s="2051"/>
      <c r="E575" s="2051"/>
      <c r="F575" s="2051"/>
      <c r="G575" s="2051"/>
      <c r="H575" s="2051"/>
      <c r="I575" s="2051"/>
      <c r="J575" s="2051"/>
      <c r="K575" s="2051"/>
      <c r="L575" s="2051"/>
      <c r="M575" s="2051"/>
      <c r="N575" s="2051"/>
      <c r="O575" s="2051"/>
      <c r="P575" s="2158"/>
      <c r="Q575" s="2153"/>
      <c r="R575" s="2058"/>
      <c r="S575" s="2059"/>
      <c r="T575" s="2153"/>
      <c r="U575" s="2058"/>
      <c r="V575" s="2059"/>
      <c r="W575" s="2164"/>
      <c r="X575" s="2165"/>
      <c r="Y575" s="2166"/>
      <c r="Z575" s="2062" t="s">
        <v>1383</v>
      </c>
      <c r="AA575" s="2062"/>
      <c r="AB575" s="2062"/>
      <c r="AC575" s="2062"/>
      <c r="AD575" s="2062"/>
      <c r="AE575" s="2041"/>
      <c r="AF575" s="2042"/>
      <c r="AG575" s="2042"/>
      <c r="AH575" s="2043"/>
      <c r="AI575" s="2150"/>
      <c r="AJ575" s="2151"/>
      <c r="AK575" s="2151"/>
      <c r="AL575" s="2152"/>
      <c r="AM575" s="2149"/>
      <c r="AN575" s="2121"/>
      <c r="AO575" s="2121"/>
      <c r="AP575" s="2121"/>
      <c r="AQ575" s="2121"/>
      <c r="AR575" s="2121"/>
      <c r="AS575" s="212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54" t="s">
        <v>132</v>
      </c>
      <c r="C576" s="2155"/>
      <c r="D576" s="2155"/>
      <c r="E576" s="2155"/>
      <c r="F576" s="2155"/>
      <c r="G576" s="2155"/>
      <c r="H576" s="2155"/>
      <c r="I576" s="2155"/>
      <c r="J576" s="2155"/>
      <c r="K576" s="2155"/>
      <c r="L576" s="2155"/>
      <c r="M576" s="2155"/>
      <c r="N576" s="2155"/>
      <c r="O576" s="2155"/>
      <c r="P576" s="2155"/>
      <c r="Q576" s="2155"/>
      <c r="R576" s="2155"/>
      <c r="S576" s="2155"/>
      <c r="T576" s="2155"/>
      <c r="U576" s="2156"/>
      <c r="V576" s="2155"/>
      <c r="W576" s="2155"/>
      <c r="X576" s="2155"/>
      <c r="Y576" s="2155"/>
      <c r="Z576" s="2155"/>
      <c r="AA576" s="2155"/>
      <c r="AB576" s="2155"/>
      <c r="AC576" s="2155"/>
      <c r="AD576" s="2155"/>
      <c r="AE576" s="2155"/>
      <c r="AF576" s="2155"/>
      <c r="AG576" s="2155"/>
      <c r="AH576" s="2155"/>
      <c r="AI576" s="2155"/>
      <c r="AJ576" s="2155"/>
      <c r="AK576" s="2155"/>
      <c r="AL576" s="2157"/>
      <c r="AM576" s="2131">
        <f>SUM(AM564:AS575)</f>
        <v>69234907</v>
      </c>
      <c r="AN576" s="2132"/>
      <c r="AO576" s="2132"/>
      <c r="AP576" s="2132"/>
      <c r="AQ576" s="2132"/>
      <c r="AR576" s="2132"/>
      <c r="AS576" s="213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495</v>
      </c>
      <c r="G578" s="2160" t="str">
        <f>C564</f>
        <v>Citibank, N.A. - Tax Exempt Bonds</v>
      </c>
      <c r="H578" s="2160"/>
      <c r="I578" s="2160"/>
      <c r="J578" s="2160"/>
      <c r="K578" s="2160"/>
      <c r="L578" s="2160"/>
      <c r="M578" s="2160"/>
      <c r="N578" s="2160"/>
      <c r="O578" s="2160"/>
      <c r="P578" s="2160"/>
      <c r="Q578" s="2160"/>
      <c r="R578" s="2160"/>
      <c r="S578" s="14"/>
      <c r="T578" s="87" t="s">
        <v>118</v>
      </c>
      <c r="U578" s="12" t="s">
        <v>495</v>
      </c>
      <c r="Z578" s="2160" t="str">
        <f>C565</f>
        <v>Citibank, N.A. - Taxable Loan</v>
      </c>
      <c r="AA578" s="2160"/>
      <c r="AB578" s="2160"/>
      <c r="AC578" s="2160"/>
      <c r="AD578" s="2160"/>
      <c r="AE578" s="2160"/>
      <c r="AF578" s="2160"/>
      <c r="AG578" s="2160"/>
      <c r="AH578" s="2160"/>
      <c r="AI578" s="2160"/>
      <c r="AJ578" s="2160"/>
      <c r="AK578" s="216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38" t="s">
        <v>2558</v>
      </c>
      <c r="H579" s="2038"/>
      <c r="I579" s="2038"/>
      <c r="J579" s="2038"/>
      <c r="K579" s="2038"/>
      <c r="L579" s="2038"/>
      <c r="M579" s="2038"/>
      <c r="N579" s="2038"/>
      <c r="O579" s="2038"/>
      <c r="P579" s="2038"/>
      <c r="Q579" s="2038"/>
      <c r="R579" s="2038"/>
      <c r="S579" s="14"/>
      <c r="T579" s="35"/>
      <c r="U579" s="12" t="s">
        <v>90</v>
      </c>
      <c r="Z579" s="2038" t="s">
        <v>2558</v>
      </c>
      <c r="AA579" s="2038"/>
      <c r="AB579" s="2038"/>
      <c r="AC579" s="2038"/>
      <c r="AD579" s="2038"/>
      <c r="AE579" s="2038"/>
      <c r="AF579" s="2038"/>
      <c r="AG579" s="2038"/>
      <c r="AH579" s="2038"/>
      <c r="AI579" s="2038"/>
      <c r="AJ579" s="2038"/>
      <c r="AK579" s="2038"/>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614</v>
      </c>
      <c r="G580" s="2038" t="s">
        <v>2559</v>
      </c>
      <c r="H580" s="2038"/>
      <c r="I580" s="2038"/>
      <c r="J580" s="2038"/>
      <c r="K580" s="2038"/>
      <c r="L580" s="2038"/>
      <c r="M580" s="2038"/>
      <c r="N580" s="2038"/>
      <c r="O580" s="2038"/>
      <c r="P580" s="2038"/>
      <c r="Q580" s="2038"/>
      <c r="R580" s="2038"/>
      <c r="S580" s="88"/>
      <c r="T580" s="35"/>
      <c r="U580" s="12" t="s">
        <v>614</v>
      </c>
      <c r="Z580" s="2038" t="s">
        <v>2559</v>
      </c>
      <c r="AA580" s="2038"/>
      <c r="AB580" s="2038"/>
      <c r="AC580" s="2038"/>
      <c r="AD580" s="2038"/>
      <c r="AE580" s="2038"/>
      <c r="AF580" s="2038"/>
      <c r="AG580" s="2038"/>
      <c r="AH580" s="2038"/>
      <c r="AI580" s="2038"/>
      <c r="AJ580" s="2038"/>
      <c r="AK580" s="2038"/>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8" t="s">
        <v>2560</v>
      </c>
      <c r="H581" s="2038"/>
      <c r="I581" s="2038"/>
      <c r="J581" s="2038"/>
      <c r="K581" s="2038"/>
      <c r="L581" s="2038"/>
      <c r="M581" s="2038"/>
      <c r="N581" s="2038"/>
      <c r="O581" s="2038"/>
      <c r="P581" s="2038"/>
      <c r="Q581" s="2038"/>
      <c r="R581" s="2038"/>
      <c r="S581" s="14"/>
      <c r="T581" s="35"/>
      <c r="U581" s="12" t="s">
        <v>17</v>
      </c>
      <c r="Z581" s="2038" t="s">
        <v>2560</v>
      </c>
      <c r="AA581" s="2038"/>
      <c r="AB581" s="2038"/>
      <c r="AC581" s="2038"/>
      <c r="AD581" s="2038"/>
      <c r="AE581" s="2038"/>
      <c r="AF581" s="2038"/>
      <c r="AG581" s="2038"/>
      <c r="AH581" s="2038"/>
      <c r="AI581" s="2038"/>
      <c r="AJ581" s="2038"/>
      <c r="AK581" s="203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59">
        <v>8055570933</v>
      </c>
      <c r="H582" s="2159"/>
      <c r="I582" s="2159"/>
      <c r="J582" s="2159"/>
      <c r="K582" s="2159"/>
      <c r="L582" s="2159"/>
      <c r="O582" s="137" t="s">
        <v>212</v>
      </c>
      <c r="P582" s="2171"/>
      <c r="Q582" s="2171"/>
      <c r="R582" s="2171"/>
      <c r="S582" s="16"/>
      <c r="T582" s="35"/>
      <c r="U582" s="12" t="s">
        <v>325</v>
      </c>
      <c r="Z582" s="2159">
        <v>8055570933</v>
      </c>
      <c r="AA582" s="2159"/>
      <c r="AB582" s="2159"/>
      <c r="AC582" s="2159"/>
      <c r="AD582" s="2159"/>
      <c r="AE582" s="2159"/>
      <c r="AH582" s="137" t="s">
        <v>212</v>
      </c>
      <c r="AI582" s="2171"/>
      <c r="AJ582" s="2171"/>
      <c r="AK582" s="217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8" t="s">
        <v>2561</v>
      </c>
      <c r="I583" s="2038"/>
      <c r="J583" s="2038"/>
      <c r="K583" s="2038"/>
      <c r="L583" s="2038"/>
      <c r="M583" s="2038"/>
      <c r="N583" s="2038"/>
      <c r="O583" s="2038"/>
      <c r="P583" s="2038"/>
      <c r="Q583" s="2038"/>
      <c r="R583" s="2038"/>
      <c r="S583" s="14"/>
      <c r="T583" s="35"/>
      <c r="U583" s="12" t="s">
        <v>18</v>
      </c>
      <c r="AA583" s="2050" t="s">
        <v>2632</v>
      </c>
      <c r="AB583" s="2038"/>
      <c r="AC583" s="2038"/>
      <c r="AD583" s="2038"/>
      <c r="AE583" s="2038"/>
      <c r="AF583" s="2038"/>
      <c r="AG583" s="2038"/>
      <c r="AH583" s="2038"/>
      <c r="AI583" s="2038"/>
      <c r="AJ583" s="2038"/>
      <c r="AK583" s="203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81" t="s">
        <v>577</v>
      </c>
      <c r="N584" s="2182"/>
      <c r="O584" s="2182"/>
      <c r="P584" s="2182"/>
      <c r="Q584" s="2182"/>
      <c r="R584" s="2182"/>
      <c r="S584" s="14"/>
      <c r="T584" s="35"/>
      <c r="U584" s="509" t="s">
        <v>1384</v>
      </c>
      <c r="V584" s="719"/>
      <c r="W584" s="719"/>
      <c r="X584" s="719"/>
      <c r="Y584" s="719"/>
      <c r="Z584" s="719"/>
      <c r="AA584" s="14"/>
      <c r="AB584" s="14"/>
      <c r="AC584" s="14"/>
      <c r="AD584" s="14"/>
      <c r="AE584" s="14"/>
      <c r="AF584" s="2181" t="s">
        <v>577</v>
      </c>
      <c r="AG584" s="2182"/>
      <c r="AH584" s="2182"/>
      <c r="AI584" s="2182"/>
      <c r="AJ584" s="2182"/>
      <c r="AK584" s="2182"/>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7" t="s">
        <v>577</v>
      </c>
      <c r="O585" s="2037"/>
      <c r="T585" s="35"/>
      <c r="U585" s="12" t="s">
        <v>20</v>
      </c>
      <c r="AG585" s="2037" t="s">
        <v>577</v>
      </c>
      <c r="AH585" s="203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160" t="str">
        <f>C566</f>
        <v>City of Santa Clara</v>
      </c>
      <c r="H587" s="2160"/>
      <c r="I587" s="2160"/>
      <c r="J587" s="2160"/>
      <c r="K587" s="2160"/>
      <c r="L587" s="2160"/>
      <c r="M587" s="2160"/>
      <c r="N587" s="2160"/>
      <c r="O587" s="2160"/>
      <c r="P587" s="2160"/>
      <c r="Q587" s="2160"/>
      <c r="R587" s="2160"/>
      <c r="T587" s="87" t="s">
        <v>615</v>
      </c>
      <c r="U587" s="12" t="s">
        <v>495</v>
      </c>
      <c r="Z587" s="2160" t="str">
        <f>C567</f>
        <v>WNC &amp; Associates</v>
      </c>
      <c r="AA587" s="2160"/>
      <c r="AB587" s="2160"/>
      <c r="AC587" s="2160"/>
      <c r="AD587" s="2160"/>
      <c r="AE587" s="2160"/>
      <c r="AF587" s="2160"/>
      <c r="AG587" s="2160"/>
      <c r="AH587" s="2160"/>
      <c r="AI587" s="2160"/>
      <c r="AJ587" s="2160"/>
      <c r="AK587" s="216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8" t="s">
        <v>2612</v>
      </c>
      <c r="H588" s="2038"/>
      <c r="I588" s="2038"/>
      <c r="J588" s="2038"/>
      <c r="K588" s="2038"/>
      <c r="L588" s="2038"/>
      <c r="M588" s="2038"/>
      <c r="N588" s="2038"/>
      <c r="O588" s="2038"/>
      <c r="P588" s="2038"/>
      <c r="Q588" s="2038"/>
      <c r="R588" s="2038"/>
      <c r="T588" s="35"/>
      <c r="U588" s="12" t="s">
        <v>90</v>
      </c>
      <c r="Z588" s="2038" t="s">
        <v>2608</v>
      </c>
      <c r="AA588" s="2038"/>
      <c r="AB588" s="2038"/>
      <c r="AC588" s="2038"/>
      <c r="AD588" s="2038"/>
      <c r="AE588" s="2038"/>
      <c r="AF588" s="2038"/>
      <c r="AG588" s="2038"/>
      <c r="AH588" s="2038"/>
      <c r="AI588" s="2038"/>
      <c r="AJ588" s="2038"/>
      <c r="AK588" s="203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52" t="s">
        <v>198</v>
      </c>
      <c r="H589" s="2052"/>
      <c r="I589" s="2052"/>
      <c r="J589" s="2052"/>
      <c r="K589" s="2052"/>
      <c r="L589" s="2052"/>
      <c r="M589" s="2052"/>
      <c r="N589" s="2052"/>
      <c r="O589" s="2052"/>
      <c r="P589" s="2052"/>
      <c r="Q589" s="2052"/>
      <c r="R589" s="2052"/>
      <c r="T589" s="35"/>
      <c r="U589" s="12" t="s">
        <v>614</v>
      </c>
      <c r="Z589" s="2050" t="s">
        <v>2634</v>
      </c>
      <c r="AA589" s="2038"/>
      <c r="AB589" s="2038"/>
      <c r="AC589" s="2038"/>
      <c r="AD589" s="2038"/>
      <c r="AE589" s="2038"/>
      <c r="AF589" s="2038"/>
      <c r="AG589" s="2038"/>
      <c r="AH589" s="2038"/>
      <c r="AI589" s="2038"/>
      <c r="AJ589" s="2038"/>
      <c r="AK589" s="203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2" t="s">
        <v>2613</v>
      </c>
      <c r="H590" s="2052"/>
      <c r="I590" s="2052"/>
      <c r="J590" s="2052"/>
      <c r="K590" s="2052"/>
      <c r="L590" s="2052"/>
      <c r="M590" s="2052"/>
      <c r="N590" s="2052"/>
      <c r="O590" s="2052"/>
      <c r="P590" s="2052"/>
      <c r="Q590" s="2052"/>
      <c r="R590" s="2052"/>
      <c r="T590" s="35"/>
      <c r="U590" s="12" t="s">
        <v>17</v>
      </c>
      <c r="Z590" s="2038" t="s">
        <v>2609</v>
      </c>
      <c r="AA590" s="2038"/>
      <c r="AB590" s="2038"/>
      <c r="AC590" s="2038"/>
      <c r="AD590" s="2038"/>
      <c r="AE590" s="2038"/>
      <c r="AF590" s="2038"/>
      <c r="AG590" s="2038"/>
      <c r="AH590" s="2038"/>
      <c r="AI590" s="2038"/>
      <c r="AJ590" s="2038"/>
      <c r="AK590" s="203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92">
        <v>4086152297</v>
      </c>
      <c r="H591" s="2092"/>
      <c r="I591" s="2092"/>
      <c r="J591" s="2092"/>
      <c r="K591" s="2092"/>
      <c r="L591" s="2092"/>
      <c r="O591" s="137" t="s">
        <v>212</v>
      </c>
      <c r="P591" s="2171"/>
      <c r="Q591" s="2171"/>
      <c r="R591" s="2171"/>
      <c r="T591" s="35"/>
      <c r="U591" s="12" t="s">
        <v>325</v>
      </c>
      <c r="Z591" s="2159">
        <v>9494392616</v>
      </c>
      <c r="AA591" s="2159"/>
      <c r="AB591" s="2159"/>
      <c r="AC591" s="2159"/>
      <c r="AD591" s="2159"/>
      <c r="AE591" s="2159"/>
      <c r="AH591" s="137" t="s">
        <v>212</v>
      </c>
      <c r="AI591" s="2171"/>
      <c r="AJ591" s="2171"/>
      <c r="AK591" s="217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0" t="s">
        <v>2633</v>
      </c>
      <c r="I592" s="2038"/>
      <c r="J592" s="2038"/>
      <c r="K592" s="2038"/>
      <c r="L592" s="2038"/>
      <c r="M592" s="2038"/>
      <c r="N592" s="2038"/>
      <c r="O592" s="2038"/>
      <c r="P592" s="2038"/>
      <c r="Q592" s="2038"/>
      <c r="R592" s="2038"/>
      <c r="T592" s="35"/>
      <c r="U592" s="12" t="s">
        <v>18</v>
      </c>
      <c r="AA592" s="2050" t="s">
        <v>2610</v>
      </c>
      <c r="AB592" s="2038"/>
      <c r="AC592" s="2038"/>
      <c r="AD592" s="2038"/>
      <c r="AE592" s="2038"/>
      <c r="AF592" s="2038"/>
      <c r="AG592" s="2038"/>
      <c r="AH592" s="2038"/>
      <c r="AI592" s="2038"/>
      <c r="AJ592" s="2038"/>
      <c r="AK592" s="203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7" t="s">
        <v>705</v>
      </c>
      <c r="O593" s="2037"/>
      <c r="T593" s="35"/>
      <c r="U593" s="12" t="s">
        <v>20</v>
      </c>
      <c r="AG593" s="2037" t="s">
        <v>577</v>
      </c>
      <c r="AH593" s="203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160" t="str">
        <f>C568</f>
        <v>Deferred Costs</v>
      </c>
      <c r="H595" s="2160"/>
      <c r="I595" s="2160"/>
      <c r="J595" s="2160"/>
      <c r="K595" s="2160"/>
      <c r="L595" s="2160"/>
      <c r="M595" s="2160"/>
      <c r="N595" s="2160"/>
      <c r="O595" s="2160"/>
      <c r="P595" s="2160"/>
      <c r="Q595" s="2160"/>
      <c r="R595" s="2160"/>
      <c r="T595" s="87" t="s">
        <v>618</v>
      </c>
      <c r="U595" s="12" t="s">
        <v>495</v>
      </c>
      <c r="Z595" s="2160">
        <f>C569</f>
        <v>0</v>
      </c>
      <c r="AA595" s="2160"/>
      <c r="AB595" s="2160"/>
      <c r="AC595" s="2160"/>
      <c r="AD595" s="2160"/>
      <c r="AE595" s="2160"/>
      <c r="AF595" s="2160"/>
      <c r="AG595" s="2160"/>
      <c r="AH595" s="2160"/>
      <c r="AI595" s="2160"/>
      <c r="AJ595" s="2160"/>
      <c r="AK595" s="216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8" t="s">
        <v>2562</v>
      </c>
      <c r="H596" s="2038"/>
      <c r="I596" s="2038"/>
      <c r="J596" s="2038"/>
      <c r="K596" s="2038"/>
      <c r="L596" s="2038"/>
      <c r="M596" s="2038"/>
      <c r="N596" s="2038"/>
      <c r="O596" s="2038"/>
      <c r="P596" s="2038"/>
      <c r="Q596" s="2038"/>
      <c r="R596" s="2038"/>
      <c r="T596" s="35"/>
      <c r="U596" s="12" t="s">
        <v>90</v>
      </c>
      <c r="Z596" s="2038"/>
      <c r="AA596" s="2038"/>
      <c r="AB596" s="2038"/>
      <c r="AC596" s="2038"/>
      <c r="AD596" s="2038"/>
      <c r="AE596" s="2038"/>
      <c r="AF596" s="2038"/>
      <c r="AG596" s="2038"/>
      <c r="AH596" s="2038"/>
      <c r="AI596" s="2038"/>
      <c r="AJ596" s="2038"/>
      <c r="AK596" s="203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52" t="s">
        <v>2563</v>
      </c>
      <c r="H597" s="2052"/>
      <c r="I597" s="2052"/>
      <c r="J597" s="2052"/>
      <c r="K597" s="2052"/>
      <c r="L597" s="2052"/>
      <c r="M597" s="2052"/>
      <c r="N597" s="2052"/>
      <c r="O597" s="2052"/>
      <c r="P597" s="2052"/>
      <c r="Q597" s="2052"/>
      <c r="R597" s="2052"/>
      <c r="T597" s="35"/>
      <c r="U597" s="12" t="s">
        <v>614</v>
      </c>
      <c r="Z597" s="2052"/>
      <c r="AA597" s="2052"/>
      <c r="AB597" s="2052"/>
      <c r="AC597" s="2052"/>
      <c r="AD597" s="2052"/>
      <c r="AE597" s="2052"/>
      <c r="AF597" s="2052"/>
      <c r="AG597" s="2052"/>
      <c r="AH597" s="2052"/>
      <c r="AI597" s="2052"/>
      <c r="AJ597" s="2052"/>
      <c r="AK597" s="205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2" t="s">
        <v>2564</v>
      </c>
      <c r="H598" s="2052"/>
      <c r="I598" s="2052"/>
      <c r="J598" s="2052"/>
      <c r="K598" s="2052"/>
      <c r="L598" s="2052"/>
      <c r="M598" s="2052"/>
      <c r="N598" s="2052"/>
      <c r="O598" s="2052"/>
      <c r="P598" s="2052"/>
      <c r="Q598" s="2052"/>
      <c r="R598" s="2052"/>
      <c r="T598" s="35"/>
      <c r="U598" s="12" t="s">
        <v>17</v>
      </c>
      <c r="Z598" s="2052"/>
      <c r="AA598" s="2052"/>
      <c r="AB598" s="2052"/>
      <c r="AC598" s="2052"/>
      <c r="AD598" s="2052"/>
      <c r="AE598" s="2052"/>
      <c r="AF598" s="2052"/>
      <c r="AG598" s="2052"/>
      <c r="AH598" s="2052"/>
      <c r="AI598" s="2052"/>
      <c r="AJ598" s="2052"/>
      <c r="AK598" s="205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59">
        <v>9167736060</v>
      </c>
      <c r="H599" s="2159"/>
      <c r="I599" s="2159"/>
      <c r="J599" s="2159"/>
      <c r="K599" s="2159"/>
      <c r="L599" s="2159"/>
      <c r="O599" s="137" t="s">
        <v>212</v>
      </c>
      <c r="P599" s="2171"/>
      <c r="Q599" s="2171"/>
      <c r="R599" s="2171"/>
      <c r="T599" s="35"/>
      <c r="U599" s="12" t="s">
        <v>325</v>
      </c>
      <c r="Z599" s="2092"/>
      <c r="AA599" s="2092"/>
      <c r="AB599" s="2092"/>
      <c r="AC599" s="2092"/>
      <c r="AD599" s="2092"/>
      <c r="AE599" s="2092"/>
      <c r="AH599" s="137" t="s">
        <v>212</v>
      </c>
      <c r="AI599" s="2171"/>
      <c r="AJ599" s="2171"/>
      <c r="AK599" s="217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0" t="s">
        <v>2526</v>
      </c>
      <c r="I600" s="2038"/>
      <c r="J600" s="2038"/>
      <c r="K600" s="2038"/>
      <c r="L600" s="2038"/>
      <c r="M600" s="2038"/>
      <c r="N600" s="2038"/>
      <c r="O600" s="2038"/>
      <c r="P600" s="2038"/>
      <c r="Q600" s="2038"/>
      <c r="R600" s="2038"/>
      <c r="T600" s="35"/>
      <c r="U600" s="12" t="s">
        <v>18</v>
      </c>
      <c r="AA600" s="2038"/>
      <c r="AB600" s="2038"/>
      <c r="AC600" s="2038"/>
      <c r="AD600" s="2038"/>
      <c r="AE600" s="2038"/>
      <c r="AF600" s="2038"/>
      <c r="AG600" s="2038"/>
      <c r="AH600" s="2038"/>
      <c r="AI600" s="2038"/>
      <c r="AJ600" s="2038"/>
      <c r="AK600" s="203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7" t="s">
        <v>577</v>
      </c>
      <c r="O601" s="2037"/>
      <c r="T601" s="35"/>
      <c r="U601" s="12" t="s">
        <v>20</v>
      </c>
      <c r="AG601" s="2037" t="s">
        <v>705</v>
      </c>
      <c r="AH601" s="2037"/>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486</v>
      </c>
      <c r="B603" s="12" t="s">
        <v>495</v>
      </c>
      <c r="G603" s="2160">
        <f>C570</f>
        <v>0</v>
      </c>
      <c r="H603" s="2160"/>
      <c r="I603" s="2160"/>
      <c r="J603" s="2160"/>
      <c r="K603" s="2160"/>
      <c r="L603" s="2160"/>
      <c r="M603" s="2160"/>
      <c r="N603" s="2160"/>
      <c r="O603" s="2160"/>
      <c r="P603" s="2160"/>
      <c r="Q603" s="2160"/>
      <c r="R603" s="2160"/>
      <c r="T603" s="87" t="s">
        <v>487</v>
      </c>
      <c r="U603" s="12" t="s">
        <v>495</v>
      </c>
      <c r="Z603" s="2160">
        <f>C571</f>
        <v>0</v>
      </c>
      <c r="AA603" s="2160"/>
      <c r="AB603" s="2160"/>
      <c r="AC603" s="2160"/>
      <c r="AD603" s="2160"/>
      <c r="AE603" s="2160"/>
      <c r="AF603" s="2160"/>
      <c r="AG603" s="2160"/>
      <c r="AH603" s="2160"/>
      <c r="AI603" s="2160"/>
      <c r="AJ603" s="2160"/>
      <c r="AK603" s="216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38"/>
      <c r="H604" s="2038"/>
      <c r="I604" s="2038"/>
      <c r="J604" s="2038"/>
      <c r="K604" s="2038"/>
      <c r="L604" s="2038"/>
      <c r="M604" s="2038"/>
      <c r="N604" s="2038"/>
      <c r="O604" s="2038"/>
      <c r="P604" s="2038"/>
      <c r="Q604" s="2038"/>
      <c r="R604" s="2038"/>
      <c r="T604" s="35"/>
      <c r="U604" s="12" t="s">
        <v>90</v>
      </c>
      <c r="Z604" s="2038"/>
      <c r="AA604" s="2038"/>
      <c r="AB604" s="2038"/>
      <c r="AC604" s="2038"/>
      <c r="AD604" s="2038"/>
      <c r="AE604" s="2038"/>
      <c r="AF604" s="2038"/>
      <c r="AG604" s="2038"/>
      <c r="AH604" s="2038"/>
      <c r="AI604" s="2038"/>
      <c r="AJ604" s="2038"/>
      <c r="AK604" s="203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8"/>
      <c r="H605" s="2038"/>
      <c r="I605" s="2038"/>
      <c r="J605" s="2038"/>
      <c r="K605" s="2038"/>
      <c r="L605" s="2038"/>
      <c r="M605" s="2038"/>
      <c r="N605" s="2038"/>
      <c r="O605" s="2038"/>
      <c r="P605" s="2038"/>
      <c r="Q605" s="2038"/>
      <c r="R605" s="2038"/>
      <c r="T605" s="35"/>
      <c r="U605" s="12" t="s">
        <v>614</v>
      </c>
      <c r="Z605" s="2052"/>
      <c r="AA605" s="2052"/>
      <c r="AB605" s="2052"/>
      <c r="AC605" s="2052"/>
      <c r="AD605" s="2052"/>
      <c r="AE605" s="2052"/>
      <c r="AF605" s="2052"/>
      <c r="AG605" s="2052"/>
      <c r="AH605" s="2052"/>
      <c r="AI605" s="2052"/>
      <c r="AJ605" s="2052"/>
      <c r="AK605" s="205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38"/>
      <c r="H606" s="2038"/>
      <c r="I606" s="2038"/>
      <c r="J606" s="2038"/>
      <c r="K606" s="2038"/>
      <c r="L606" s="2038"/>
      <c r="M606" s="2038"/>
      <c r="N606" s="2038"/>
      <c r="O606" s="2038"/>
      <c r="P606" s="2038"/>
      <c r="Q606" s="2038"/>
      <c r="R606" s="2038"/>
      <c r="T606" s="35"/>
      <c r="U606" s="12" t="s">
        <v>17</v>
      </c>
      <c r="Z606" s="2052"/>
      <c r="AA606" s="2052"/>
      <c r="AB606" s="2052"/>
      <c r="AC606" s="2052"/>
      <c r="AD606" s="2052"/>
      <c r="AE606" s="2052"/>
      <c r="AF606" s="2052"/>
      <c r="AG606" s="2052"/>
      <c r="AH606" s="2052"/>
      <c r="AI606" s="2052"/>
      <c r="AJ606" s="2052"/>
      <c r="AK606" s="205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92"/>
      <c r="H607" s="2092"/>
      <c r="I607" s="2092"/>
      <c r="J607" s="2092"/>
      <c r="K607" s="2092"/>
      <c r="L607" s="2092"/>
      <c r="M607" s="12"/>
      <c r="N607" s="12"/>
      <c r="O607" s="137" t="s">
        <v>212</v>
      </c>
      <c r="P607" s="2171"/>
      <c r="Q607" s="2171"/>
      <c r="R607" s="2171"/>
      <c r="S607" s="12"/>
      <c r="T607" s="35"/>
      <c r="U607" s="12" t="s">
        <v>325</v>
      </c>
      <c r="V607" s="12"/>
      <c r="W607" s="12"/>
      <c r="X607" s="12"/>
      <c r="Y607" s="12"/>
      <c r="Z607" s="2092"/>
      <c r="AA607" s="2092"/>
      <c r="AB607" s="2092"/>
      <c r="AC607" s="2092"/>
      <c r="AD607" s="2092"/>
      <c r="AE607" s="2092"/>
      <c r="AF607" s="12"/>
      <c r="AG607" s="12"/>
      <c r="AH607" s="137" t="s">
        <v>212</v>
      </c>
      <c r="AI607" s="2171"/>
      <c r="AJ607" s="2171"/>
      <c r="AK607" s="217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38"/>
      <c r="I608" s="2038"/>
      <c r="J608" s="2038"/>
      <c r="K608" s="2038"/>
      <c r="L608" s="2038"/>
      <c r="M608" s="2038"/>
      <c r="N608" s="2038"/>
      <c r="O608" s="2038"/>
      <c r="P608" s="2038"/>
      <c r="Q608" s="2038"/>
      <c r="R608" s="2038"/>
      <c r="S608" s="12"/>
      <c r="T608" s="35"/>
      <c r="U608" s="12" t="s">
        <v>18</v>
      </c>
      <c r="V608" s="12"/>
      <c r="W608" s="12"/>
      <c r="X608" s="12"/>
      <c r="Y608" s="12"/>
      <c r="Z608" s="12"/>
      <c r="AA608" s="2038"/>
      <c r="AB608" s="2038"/>
      <c r="AC608" s="2038"/>
      <c r="AD608" s="2038"/>
      <c r="AE608" s="2038"/>
      <c r="AF608" s="2038"/>
      <c r="AG608" s="2038"/>
      <c r="AH608" s="2038"/>
      <c r="AI608" s="2038"/>
      <c r="AJ608" s="2038"/>
      <c r="AK608" s="203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7" t="s">
        <v>705</v>
      </c>
      <c r="O609" s="2037"/>
      <c r="P609" s="12"/>
      <c r="Q609" s="12"/>
      <c r="R609" s="12"/>
      <c r="S609" s="12"/>
      <c r="T609" s="35"/>
      <c r="U609" s="12" t="s">
        <v>20</v>
      </c>
      <c r="V609" s="12"/>
      <c r="W609" s="12"/>
      <c r="X609" s="12"/>
      <c r="Y609" s="12"/>
      <c r="Z609" s="12"/>
      <c r="AA609" s="12"/>
      <c r="AB609" s="12"/>
      <c r="AC609" s="12"/>
      <c r="AD609" s="12"/>
      <c r="AE609" s="12"/>
      <c r="AF609" s="12"/>
      <c r="AG609" s="2037" t="s">
        <v>705</v>
      </c>
      <c r="AH609" s="203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07"/>
      <c r="BH609" s="2009"/>
      <c r="BI609" s="185" t="s">
        <v>507</v>
      </c>
      <c r="BJ609" s="186"/>
      <c r="BK609" s="2007"/>
      <c r="BL609" s="2009"/>
      <c r="BM609" s="58"/>
      <c r="BN609" s="2379" t="s">
        <v>667</v>
      </c>
      <c r="BO609" s="2380"/>
      <c r="BP609" s="2380"/>
      <c r="BQ609" s="2380"/>
      <c r="BR609" s="2381"/>
      <c r="BS609" s="2180" t="s">
        <v>334</v>
      </c>
      <c r="BT609" s="2180"/>
      <c r="BU609" s="2180"/>
      <c r="BV609" s="2180"/>
      <c r="BW609" s="2180"/>
      <c r="BX609" s="2180" t="s">
        <v>168</v>
      </c>
      <c r="BY609" s="2180"/>
      <c r="BZ609" s="2180"/>
      <c r="CA609" s="2180"/>
      <c r="CB609" s="2180"/>
      <c r="CC609" s="2180" t="s">
        <v>169</v>
      </c>
      <c r="CD609" s="2180"/>
      <c r="CE609" s="2180"/>
      <c r="CF609" s="2180"/>
      <c r="CG609" s="2180"/>
      <c r="CH609" s="2180" t="s">
        <v>492</v>
      </c>
      <c r="CI609" s="2180"/>
      <c r="CJ609" s="2180"/>
      <c r="CK609" s="2180"/>
      <c r="CL609" s="2180"/>
      <c r="CM609" s="2180" t="s">
        <v>31</v>
      </c>
      <c r="CN609" s="2180"/>
      <c r="CO609" s="2180"/>
      <c r="CP609" s="2180"/>
      <c r="CQ609" s="2180"/>
      <c r="CR609" s="1804"/>
      <c r="CS609" s="2180" t="s">
        <v>667</v>
      </c>
      <c r="CT609" s="2180"/>
      <c r="CU609" s="2180"/>
      <c r="CV609" s="2180"/>
      <c r="CW609" s="2180"/>
      <c r="CX609" s="2180" t="s">
        <v>334</v>
      </c>
      <c r="CY609" s="2180"/>
      <c r="CZ609" s="2180"/>
      <c r="DA609" s="2180"/>
      <c r="DB609" s="2180"/>
      <c r="DC609" s="2180" t="s">
        <v>168</v>
      </c>
      <c r="DD609" s="2180"/>
      <c r="DE609" s="2180"/>
      <c r="DF609" s="2180"/>
      <c r="DG609" s="2180"/>
      <c r="DH609" s="2180" t="s">
        <v>169</v>
      </c>
      <c r="DI609" s="2180"/>
      <c r="DJ609" s="2180"/>
      <c r="DK609" s="2180"/>
      <c r="DL609" s="2180"/>
      <c r="DM609" s="2180" t="s">
        <v>492</v>
      </c>
      <c r="DN609" s="2180"/>
      <c r="DO609" s="2180"/>
      <c r="DP609" s="2180"/>
      <c r="DQ609" s="2180"/>
      <c r="DR609" s="2180" t="s">
        <v>31</v>
      </c>
      <c r="DS609" s="2180"/>
      <c r="DT609" s="2180"/>
      <c r="DU609" s="2180"/>
      <c r="DV609" s="2180"/>
      <c r="DX609" s="2180" t="s">
        <v>667</v>
      </c>
      <c r="DY609" s="2180"/>
      <c r="DZ609" s="2180"/>
      <c r="EA609" s="2180"/>
      <c r="EB609" s="2180"/>
      <c r="EC609" s="2180" t="s">
        <v>334</v>
      </c>
      <c r="ED609" s="2180"/>
      <c r="EE609" s="2180"/>
      <c r="EF609" s="2180"/>
      <c r="EG609" s="2180"/>
      <c r="EH609" s="2180" t="s">
        <v>168</v>
      </c>
      <c r="EI609" s="2180"/>
      <c r="EJ609" s="2180"/>
      <c r="EK609" s="2180"/>
      <c r="EL609" s="2180"/>
      <c r="EM609" s="2180" t="s">
        <v>169</v>
      </c>
      <c r="EN609" s="2180"/>
      <c r="EO609" s="2180"/>
      <c r="EP609" s="2180"/>
      <c r="EQ609" s="2180"/>
      <c r="ER609" s="2180" t="s">
        <v>492</v>
      </c>
      <c r="ES609" s="2180"/>
      <c r="ET609" s="2180"/>
      <c r="EU609" s="2180"/>
      <c r="EV609" s="2180"/>
      <c r="EW609" s="2180" t="s">
        <v>31</v>
      </c>
      <c r="EX609" s="2180"/>
      <c r="EY609" s="2180"/>
      <c r="EZ609" s="2180"/>
      <c r="FA609" s="2180"/>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172">
        <f t="shared" ref="BE610:BE634" si="0">IF(AND(AH728&lt;=0.5,AH728&gt;=0.36),1,0)</f>
        <v>0</v>
      </c>
      <c r="BF610" s="2173"/>
      <c r="BG610" s="2007">
        <f t="shared" ref="BG610:BG634" si="1">IF(BE610=1,G728,0)</f>
        <v>0</v>
      </c>
      <c r="BH610" s="2009"/>
      <c r="BI610" s="2172">
        <f t="shared" ref="BI610:BI634" si="2">IF(AND(AH728&lt;=0.35,AH728&gt;0),1,0)</f>
        <v>1</v>
      </c>
      <c r="BJ610" s="2173"/>
      <c r="BK610" s="2007">
        <f t="shared" ref="BK610:BK634" si="3">IF(BI610=1,G728,0)</f>
        <v>9</v>
      </c>
      <c r="BL610" s="2009"/>
      <c r="BM610" s="58"/>
      <c r="BN610" s="2014">
        <f t="shared" ref="BN610:BN634" si="4">IF(B728="SRO/Studio",G728,0)</f>
        <v>9</v>
      </c>
      <c r="BO610" s="2015"/>
      <c r="BP610" s="2015"/>
      <c r="BQ610" s="2015"/>
      <c r="BR610" s="2016"/>
      <c r="BS610" s="2013">
        <f t="shared" ref="BS610:BS634" si="5">IF(B728="1 Bedroom",G728,0)</f>
        <v>0</v>
      </c>
      <c r="BT610" s="2013"/>
      <c r="BU610" s="2013"/>
      <c r="BV610" s="2013"/>
      <c r="BW610" s="2013"/>
      <c r="BX610" s="2013">
        <f t="shared" ref="BX610:BX634" si="6">IF(B728="2 Bedrooms",G728,0)</f>
        <v>0</v>
      </c>
      <c r="BY610" s="2013"/>
      <c r="BZ610" s="2013"/>
      <c r="CA610" s="2013"/>
      <c r="CB610" s="2013"/>
      <c r="CC610" s="2013">
        <f t="shared" ref="CC610:CC634" si="7">IF(B728="3 Bedrooms",G728,0)</f>
        <v>0</v>
      </c>
      <c r="CD610" s="2013"/>
      <c r="CE610" s="2013"/>
      <c r="CF610" s="2013"/>
      <c r="CG610" s="2013"/>
      <c r="CH610" s="2013">
        <f t="shared" ref="CH610:CH634" si="8">IF(B728="4 Bedrooms",G728,0)</f>
        <v>0</v>
      </c>
      <c r="CI610" s="2013"/>
      <c r="CJ610" s="2013"/>
      <c r="CK610" s="2013"/>
      <c r="CL610" s="2013"/>
      <c r="CM610" s="2013">
        <f t="shared" ref="CM610:CM634" si="9">IF(B728="5 Bedrooms",G728,0)</f>
        <v>0</v>
      </c>
      <c r="CN610" s="2013"/>
      <c r="CO610" s="2013"/>
      <c r="CP610" s="2013"/>
      <c r="CQ610" s="2013"/>
      <c r="CR610" s="265"/>
      <c r="CS610" s="2369">
        <f t="shared" ref="CS610:CS634" si="10">IF(AND(B728="SRO/Studio",AH728&lt;=0.3),G728,0)</f>
        <v>9</v>
      </c>
      <c r="CT610" s="2369"/>
      <c r="CU610" s="2369"/>
      <c r="CV610" s="2369"/>
      <c r="CW610" s="2369"/>
      <c r="CX610" s="2369">
        <f t="shared" ref="CX610:CX634" si="11">IF(AND(B728="1 Bedroom",AH728&lt;=0.3),G728,0)</f>
        <v>0</v>
      </c>
      <c r="CY610" s="2369"/>
      <c r="CZ610" s="2369"/>
      <c r="DA610" s="2369"/>
      <c r="DB610" s="2369"/>
      <c r="DC610" s="2369">
        <f t="shared" ref="DC610:DC634" si="12">IF(AND(B728="2 Bedrooms",AH728&lt;=0.3),G728,0)</f>
        <v>0</v>
      </c>
      <c r="DD610" s="2369"/>
      <c r="DE610" s="2369"/>
      <c r="DF610" s="2369"/>
      <c r="DG610" s="2369"/>
      <c r="DH610" s="2369">
        <f t="shared" ref="DH610:DH634" si="13">IF(AND(B728="3 Bedrooms",AH728&lt;=0.3),G728,0)</f>
        <v>0</v>
      </c>
      <c r="DI610" s="2369"/>
      <c r="DJ610" s="2369"/>
      <c r="DK610" s="2369"/>
      <c r="DL610" s="2369"/>
      <c r="DM610" s="2369">
        <f t="shared" ref="DM610:DM634" si="14">IF(AND(B728="4 Bedrooms",AH728&lt;=0.3),G728,0)</f>
        <v>0</v>
      </c>
      <c r="DN610" s="2369"/>
      <c r="DO610" s="2369"/>
      <c r="DP610" s="2369"/>
      <c r="DQ610" s="2369"/>
      <c r="DR610" s="2369">
        <f t="shared" ref="DR610:DR634" si="15">IF(AND(B728="5 Bedrooms",AH728&lt;=0.3),G728,0)</f>
        <v>0</v>
      </c>
      <c r="DS610" s="2369"/>
      <c r="DT610" s="2369"/>
      <c r="DU610" s="2369"/>
      <c r="DV610" s="2369"/>
      <c r="DX610" s="2172">
        <f t="shared" ref="DX610:DX634" si="16">IF(BN610&gt;0,O728," ")</f>
        <v>835</v>
      </c>
      <c r="DY610" s="2178"/>
      <c r="DZ610" s="2178"/>
      <c r="EA610" s="2178"/>
      <c r="EB610" s="2173"/>
      <c r="EC610" s="2172" t="str">
        <f t="shared" ref="EC610:EC634" si="17">IF(BS610&gt;0,O728," ")</f>
        <v xml:space="preserve"> </v>
      </c>
      <c r="ED610" s="2178"/>
      <c r="EE610" s="2178"/>
      <c r="EF610" s="2178"/>
      <c r="EG610" s="2173"/>
      <c r="EH610" s="2172" t="str">
        <f t="shared" ref="EH610:EH634" si="18">IF(BX610&gt;0,O728," ")</f>
        <v xml:space="preserve"> </v>
      </c>
      <c r="EI610" s="2178"/>
      <c r="EJ610" s="2178"/>
      <c r="EK610" s="2178"/>
      <c r="EL610" s="2173"/>
      <c r="EM610" s="2172" t="str">
        <f t="shared" ref="EM610:EM634" si="19">IF(CC610&gt;0,O728," ")</f>
        <v xml:space="preserve"> </v>
      </c>
      <c r="EN610" s="2178"/>
      <c r="EO610" s="2178"/>
      <c r="EP610" s="2178"/>
      <c r="EQ610" s="2173"/>
      <c r="ER610" s="2172" t="str">
        <f t="shared" ref="ER610:ER634" si="20">IF(CH610&gt;0,O728," ")</f>
        <v xml:space="preserve"> </v>
      </c>
      <c r="ES610" s="2178"/>
      <c r="ET610" s="2178"/>
      <c r="EU610" s="2178"/>
      <c r="EV610" s="2173"/>
      <c r="EW610" s="2172" t="str">
        <f t="shared" ref="EW610:EW634" si="21">IF(CM610&gt;0,O728," ")</f>
        <v xml:space="preserve"> </v>
      </c>
      <c r="EX610" s="2178"/>
      <c r="EY610" s="2178"/>
      <c r="EZ610" s="2178"/>
      <c r="FA610" s="2173"/>
    </row>
    <row r="611" spans="1:157" s="7" customFormat="1" ht="12.5">
      <c r="A611" s="87" t="s">
        <v>493</v>
      </c>
      <c r="B611" s="12" t="s">
        <v>495</v>
      </c>
      <c r="C611" s="12"/>
      <c r="D611" s="12"/>
      <c r="E611" s="12"/>
      <c r="F611" s="12"/>
      <c r="G611" s="2160">
        <f>C572</f>
        <v>0</v>
      </c>
      <c r="H611" s="2160"/>
      <c r="I611" s="2160"/>
      <c r="J611" s="2160"/>
      <c r="K611" s="2160"/>
      <c r="L611" s="2160"/>
      <c r="M611" s="2160"/>
      <c r="N611" s="2160"/>
      <c r="O611" s="2160"/>
      <c r="P611" s="2160"/>
      <c r="Q611" s="2160"/>
      <c r="R611" s="2160"/>
      <c r="S611" s="12"/>
      <c r="T611" s="87" t="s">
        <v>680</v>
      </c>
      <c r="U611" s="12" t="s">
        <v>495</v>
      </c>
      <c r="V611" s="12"/>
      <c r="W611" s="12"/>
      <c r="X611" s="12"/>
      <c r="Y611" s="12"/>
      <c r="Z611" s="2160">
        <f>C573</f>
        <v>0</v>
      </c>
      <c r="AA611" s="2160"/>
      <c r="AB611" s="2160"/>
      <c r="AC611" s="2160"/>
      <c r="AD611" s="2160"/>
      <c r="AE611" s="2160"/>
      <c r="AF611" s="2160"/>
      <c r="AG611" s="2160"/>
      <c r="AH611" s="2160"/>
      <c r="AI611" s="2160"/>
      <c r="AJ611" s="2160"/>
      <c r="AK611" s="2160"/>
      <c r="AL611" s="12"/>
      <c r="AM611" s="39"/>
      <c r="AN611" s="39"/>
      <c r="AO611" s="39"/>
      <c r="AP611" s="39"/>
      <c r="AQ611" s="39"/>
      <c r="AR611" s="39"/>
      <c r="AS611" s="39"/>
      <c r="AT611" s="39"/>
      <c r="AU611" s="39"/>
      <c r="AV611" s="39"/>
      <c r="AW611" s="39"/>
      <c r="AX611" s="39"/>
      <c r="AY611" s="39"/>
      <c r="BA611" s="7" t="s">
        <v>168</v>
      </c>
      <c r="BB611" s="58"/>
      <c r="BC611" s="58"/>
      <c r="BD611" s="58"/>
      <c r="BE611" s="2172">
        <f t="shared" si="0"/>
        <v>1</v>
      </c>
      <c r="BF611" s="2173"/>
      <c r="BG611" s="2007">
        <f t="shared" si="1"/>
        <v>32</v>
      </c>
      <c r="BH611" s="2009"/>
      <c r="BI611" s="2172">
        <f t="shared" si="2"/>
        <v>0</v>
      </c>
      <c r="BJ611" s="2173"/>
      <c r="BK611" s="2007">
        <f t="shared" si="3"/>
        <v>0</v>
      </c>
      <c r="BL611" s="2009"/>
      <c r="BM611" s="58"/>
      <c r="BN611" s="2014">
        <f t="shared" si="4"/>
        <v>32</v>
      </c>
      <c r="BO611" s="2015"/>
      <c r="BP611" s="2015"/>
      <c r="BQ611" s="2015"/>
      <c r="BR611" s="2016"/>
      <c r="BS611" s="2013">
        <f t="shared" si="5"/>
        <v>0</v>
      </c>
      <c r="BT611" s="2013"/>
      <c r="BU611" s="2013"/>
      <c r="BV611" s="2013"/>
      <c r="BW611" s="2013"/>
      <c r="BX611" s="2013">
        <f t="shared" si="6"/>
        <v>0</v>
      </c>
      <c r="BY611" s="2013"/>
      <c r="BZ611" s="2013"/>
      <c r="CA611" s="2013"/>
      <c r="CB611" s="2013"/>
      <c r="CC611" s="2013">
        <f t="shared" si="7"/>
        <v>0</v>
      </c>
      <c r="CD611" s="2013"/>
      <c r="CE611" s="2013"/>
      <c r="CF611" s="2013"/>
      <c r="CG611" s="2013"/>
      <c r="CH611" s="2013">
        <f t="shared" si="8"/>
        <v>0</v>
      </c>
      <c r="CI611" s="2013"/>
      <c r="CJ611" s="2013"/>
      <c r="CK611" s="2013"/>
      <c r="CL611" s="2013"/>
      <c r="CM611" s="2013">
        <f t="shared" si="9"/>
        <v>0</v>
      </c>
      <c r="CN611" s="2013"/>
      <c r="CO611" s="2013"/>
      <c r="CP611" s="2013"/>
      <c r="CQ611" s="2013"/>
      <c r="CR611" s="265"/>
      <c r="CS611" s="2369">
        <f t="shared" si="10"/>
        <v>0</v>
      </c>
      <c r="CT611" s="2369"/>
      <c r="CU611" s="2369"/>
      <c r="CV611" s="2369"/>
      <c r="CW611" s="2369"/>
      <c r="CX611" s="2369">
        <f t="shared" si="11"/>
        <v>0</v>
      </c>
      <c r="CY611" s="2369"/>
      <c r="CZ611" s="2369"/>
      <c r="DA611" s="2369"/>
      <c r="DB611" s="2369"/>
      <c r="DC611" s="2369">
        <f t="shared" si="12"/>
        <v>0</v>
      </c>
      <c r="DD611" s="2369"/>
      <c r="DE611" s="2369"/>
      <c r="DF611" s="2369"/>
      <c r="DG611" s="2369"/>
      <c r="DH611" s="2369">
        <f t="shared" si="13"/>
        <v>0</v>
      </c>
      <c r="DI611" s="2369"/>
      <c r="DJ611" s="2369"/>
      <c r="DK611" s="2369"/>
      <c r="DL611" s="2369"/>
      <c r="DM611" s="2369">
        <f t="shared" si="14"/>
        <v>0</v>
      </c>
      <c r="DN611" s="2369"/>
      <c r="DO611" s="2369"/>
      <c r="DP611" s="2369"/>
      <c r="DQ611" s="2369"/>
      <c r="DR611" s="2369">
        <f t="shared" si="15"/>
        <v>0</v>
      </c>
      <c r="DS611" s="2369"/>
      <c r="DT611" s="2369"/>
      <c r="DU611" s="2369"/>
      <c r="DV611" s="2369"/>
      <c r="DX611" s="2172">
        <f t="shared" si="16"/>
        <v>1415</v>
      </c>
      <c r="DY611" s="2178"/>
      <c r="DZ611" s="2178"/>
      <c r="EA611" s="2178"/>
      <c r="EB611" s="2173"/>
      <c r="EC611" s="2172" t="str">
        <f t="shared" si="17"/>
        <v xml:space="preserve"> </v>
      </c>
      <c r="ED611" s="2178"/>
      <c r="EE611" s="2178"/>
      <c r="EF611" s="2178"/>
      <c r="EG611" s="2173"/>
      <c r="EH611" s="2172" t="str">
        <f t="shared" si="18"/>
        <v xml:space="preserve"> </v>
      </c>
      <c r="EI611" s="2178"/>
      <c r="EJ611" s="2178"/>
      <c r="EK611" s="2178"/>
      <c r="EL611" s="2173"/>
      <c r="EM611" s="2172" t="str">
        <f t="shared" si="19"/>
        <v xml:space="preserve"> </v>
      </c>
      <c r="EN611" s="2178"/>
      <c r="EO611" s="2178"/>
      <c r="EP611" s="2178"/>
      <c r="EQ611" s="2173"/>
      <c r="ER611" s="2172" t="str">
        <f t="shared" si="20"/>
        <v xml:space="preserve"> </v>
      </c>
      <c r="ES611" s="2178"/>
      <c r="ET611" s="2178"/>
      <c r="EU611" s="2178"/>
      <c r="EV611" s="2173"/>
      <c r="EW611" s="2172" t="str">
        <f t="shared" si="21"/>
        <v xml:space="preserve"> </v>
      </c>
      <c r="EX611" s="2178"/>
      <c r="EY611" s="2178"/>
      <c r="EZ611" s="2178"/>
      <c r="FA611" s="2173"/>
    </row>
    <row r="612" spans="1:157" ht="12.5">
      <c r="A612" s="35"/>
      <c r="B612" s="12" t="s">
        <v>90</v>
      </c>
      <c r="G612" s="2038"/>
      <c r="H612" s="2038"/>
      <c r="I612" s="2038"/>
      <c r="J612" s="2038"/>
      <c r="K612" s="2038"/>
      <c r="L612" s="2038"/>
      <c r="M612" s="2038"/>
      <c r="N612" s="2038"/>
      <c r="O612" s="2038"/>
      <c r="P612" s="2038"/>
      <c r="Q612" s="2038"/>
      <c r="R612" s="2038"/>
      <c r="T612" s="35"/>
      <c r="U612" s="12" t="s">
        <v>90</v>
      </c>
      <c r="Z612" s="2038"/>
      <c r="AA612" s="2038"/>
      <c r="AB612" s="2038"/>
      <c r="AC612" s="2038"/>
      <c r="AD612" s="2038"/>
      <c r="AE612" s="2038"/>
      <c r="AF612" s="2038"/>
      <c r="AG612" s="2038"/>
      <c r="AH612" s="2038"/>
      <c r="AI612" s="2038"/>
      <c r="AJ612" s="2038"/>
      <c r="AK612" s="2038"/>
      <c r="BA612" s="7" t="s">
        <v>169</v>
      </c>
      <c r="BB612" s="58"/>
      <c r="BC612" s="58"/>
      <c r="BD612" s="58"/>
      <c r="BE612" s="2172">
        <f t="shared" si="0"/>
        <v>0</v>
      </c>
      <c r="BF612" s="2173"/>
      <c r="BG612" s="2007">
        <f t="shared" si="1"/>
        <v>0</v>
      </c>
      <c r="BH612" s="2009"/>
      <c r="BI612" s="2172">
        <f t="shared" si="2"/>
        <v>0</v>
      </c>
      <c r="BJ612" s="2173"/>
      <c r="BK612" s="2007">
        <f t="shared" si="3"/>
        <v>0</v>
      </c>
      <c r="BL612" s="2009"/>
      <c r="BM612" s="58"/>
      <c r="BN612" s="2014">
        <f t="shared" si="4"/>
        <v>49</v>
      </c>
      <c r="BO612" s="2015"/>
      <c r="BP612" s="2015"/>
      <c r="BQ612" s="2015"/>
      <c r="BR612" s="2016"/>
      <c r="BS612" s="2013">
        <f t="shared" si="5"/>
        <v>0</v>
      </c>
      <c r="BT612" s="2013"/>
      <c r="BU612" s="2013"/>
      <c r="BV612" s="2013"/>
      <c r="BW612" s="2013"/>
      <c r="BX612" s="2013">
        <f t="shared" si="6"/>
        <v>0</v>
      </c>
      <c r="BY612" s="2013"/>
      <c r="BZ612" s="2013"/>
      <c r="CA612" s="2013"/>
      <c r="CB612" s="2013"/>
      <c r="CC612" s="2013">
        <f t="shared" si="7"/>
        <v>0</v>
      </c>
      <c r="CD612" s="2013"/>
      <c r="CE612" s="2013"/>
      <c r="CF612" s="2013"/>
      <c r="CG612" s="2013"/>
      <c r="CH612" s="2013">
        <f t="shared" si="8"/>
        <v>0</v>
      </c>
      <c r="CI612" s="2013"/>
      <c r="CJ612" s="2013"/>
      <c r="CK612" s="2013"/>
      <c r="CL612" s="2013"/>
      <c r="CM612" s="2013">
        <f t="shared" si="9"/>
        <v>0</v>
      </c>
      <c r="CN612" s="2013"/>
      <c r="CO612" s="2013"/>
      <c r="CP612" s="2013"/>
      <c r="CQ612" s="2013"/>
      <c r="CR612" s="265"/>
      <c r="CS612" s="2369">
        <f t="shared" si="10"/>
        <v>0</v>
      </c>
      <c r="CT612" s="2369"/>
      <c r="CU612" s="2369"/>
      <c r="CV612" s="2369"/>
      <c r="CW612" s="2369"/>
      <c r="CX612" s="2369">
        <f t="shared" si="11"/>
        <v>0</v>
      </c>
      <c r="CY612" s="2369"/>
      <c r="CZ612" s="2369"/>
      <c r="DA612" s="2369"/>
      <c r="DB612" s="2369"/>
      <c r="DC612" s="2369">
        <f t="shared" si="12"/>
        <v>0</v>
      </c>
      <c r="DD612" s="2369"/>
      <c r="DE612" s="2369"/>
      <c r="DF612" s="2369"/>
      <c r="DG612" s="2369"/>
      <c r="DH612" s="2369">
        <f t="shared" si="13"/>
        <v>0</v>
      </c>
      <c r="DI612" s="2369"/>
      <c r="DJ612" s="2369"/>
      <c r="DK612" s="2369"/>
      <c r="DL612" s="2369"/>
      <c r="DM612" s="2369">
        <f t="shared" si="14"/>
        <v>0</v>
      </c>
      <c r="DN612" s="2369"/>
      <c r="DO612" s="2369"/>
      <c r="DP612" s="2369"/>
      <c r="DQ612" s="2369"/>
      <c r="DR612" s="2369">
        <f t="shared" si="15"/>
        <v>0</v>
      </c>
      <c r="DS612" s="2369"/>
      <c r="DT612" s="2369"/>
      <c r="DU612" s="2369"/>
      <c r="DV612" s="2369"/>
      <c r="DX612" s="2172">
        <f t="shared" si="16"/>
        <v>1640</v>
      </c>
      <c r="DY612" s="2178"/>
      <c r="DZ612" s="2178"/>
      <c r="EA612" s="2178"/>
      <c r="EB612" s="2173"/>
      <c r="EC612" s="2172" t="str">
        <f t="shared" si="17"/>
        <v xml:space="preserve"> </v>
      </c>
      <c r="ED612" s="2178"/>
      <c r="EE612" s="2178"/>
      <c r="EF612" s="2178"/>
      <c r="EG612" s="2173"/>
      <c r="EH612" s="2172" t="str">
        <f t="shared" si="18"/>
        <v xml:space="preserve"> </v>
      </c>
      <c r="EI612" s="2178"/>
      <c r="EJ612" s="2178"/>
      <c r="EK612" s="2178"/>
      <c r="EL612" s="2173"/>
      <c r="EM612" s="2172" t="str">
        <f t="shared" si="19"/>
        <v xml:space="preserve"> </v>
      </c>
      <c r="EN612" s="2178"/>
      <c r="EO612" s="2178"/>
      <c r="EP612" s="2178"/>
      <c r="EQ612" s="2173"/>
      <c r="ER612" s="2172" t="str">
        <f t="shared" si="20"/>
        <v xml:space="preserve"> </v>
      </c>
      <c r="ES612" s="2178"/>
      <c r="ET612" s="2178"/>
      <c r="EU612" s="2178"/>
      <c r="EV612" s="2173"/>
      <c r="EW612" s="2172" t="str">
        <f t="shared" si="21"/>
        <v xml:space="preserve"> </v>
      </c>
      <c r="EX612" s="2178"/>
      <c r="EY612" s="2178"/>
      <c r="EZ612" s="2178"/>
      <c r="FA612" s="2173"/>
    </row>
    <row r="613" spans="1:157" ht="12.5">
      <c r="A613" s="35"/>
      <c r="B613" s="12" t="s">
        <v>614</v>
      </c>
      <c r="G613" s="2038"/>
      <c r="H613" s="2038"/>
      <c r="I613" s="2038"/>
      <c r="J613" s="2038"/>
      <c r="K613" s="2038"/>
      <c r="L613" s="2038"/>
      <c r="M613" s="2038"/>
      <c r="N613" s="2038"/>
      <c r="O613" s="2038"/>
      <c r="P613" s="2038"/>
      <c r="Q613" s="2038"/>
      <c r="R613" s="2038"/>
      <c r="T613" s="35"/>
      <c r="U613" s="12" t="s">
        <v>614</v>
      </c>
      <c r="Z613" s="2052"/>
      <c r="AA613" s="2052"/>
      <c r="AB613" s="2052"/>
      <c r="AC613" s="2052"/>
      <c r="AD613" s="2052"/>
      <c r="AE613" s="2052"/>
      <c r="AF613" s="2052"/>
      <c r="AG613" s="2052"/>
      <c r="AH613" s="2052"/>
      <c r="AI613" s="2052"/>
      <c r="AJ613" s="2052"/>
      <c r="AK613" s="2052"/>
      <c r="BA613" s="7" t="s">
        <v>170</v>
      </c>
      <c r="BB613" s="58"/>
      <c r="BC613" s="58"/>
      <c r="BD613" s="58"/>
      <c r="BE613" s="2172">
        <f t="shared" si="0"/>
        <v>0</v>
      </c>
      <c r="BF613" s="2173"/>
      <c r="BG613" s="2007">
        <f t="shared" si="1"/>
        <v>0</v>
      </c>
      <c r="BH613" s="2009"/>
      <c r="BI613" s="2172">
        <f t="shared" si="2"/>
        <v>1</v>
      </c>
      <c r="BJ613" s="2173"/>
      <c r="BK613" s="2007">
        <f t="shared" si="3"/>
        <v>3</v>
      </c>
      <c r="BL613" s="2009"/>
      <c r="BM613" s="58"/>
      <c r="BN613" s="2014">
        <f t="shared" si="4"/>
        <v>0</v>
      </c>
      <c r="BO613" s="2015"/>
      <c r="BP613" s="2015"/>
      <c r="BQ613" s="2015"/>
      <c r="BR613" s="2016"/>
      <c r="BS613" s="2013">
        <f t="shared" si="5"/>
        <v>3</v>
      </c>
      <c r="BT613" s="2013"/>
      <c r="BU613" s="2013"/>
      <c r="BV613" s="2013"/>
      <c r="BW613" s="2013"/>
      <c r="BX613" s="2013">
        <f t="shared" si="6"/>
        <v>0</v>
      </c>
      <c r="BY613" s="2013"/>
      <c r="BZ613" s="2013"/>
      <c r="CA613" s="2013"/>
      <c r="CB613" s="2013"/>
      <c r="CC613" s="2013">
        <f t="shared" si="7"/>
        <v>0</v>
      </c>
      <c r="CD613" s="2013"/>
      <c r="CE613" s="2013"/>
      <c r="CF613" s="2013"/>
      <c r="CG613" s="2013"/>
      <c r="CH613" s="2013">
        <f t="shared" si="8"/>
        <v>0</v>
      </c>
      <c r="CI613" s="2013"/>
      <c r="CJ613" s="2013"/>
      <c r="CK613" s="2013"/>
      <c r="CL613" s="2013"/>
      <c r="CM613" s="2013">
        <f t="shared" si="9"/>
        <v>0</v>
      </c>
      <c r="CN613" s="2013"/>
      <c r="CO613" s="2013"/>
      <c r="CP613" s="2013"/>
      <c r="CQ613" s="2013"/>
      <c r="CR613" s="265"/>
      <c r="CS613" s="2369">
        <f t="shared" si="10"/>
        <v>0</v>
      </c>
      <c r="CT613" s="2369"/>
      <c r="CU613" s="2369"/>
      <c r="CV613" s="2369"/>
      <c r="CW613" s="2369"/>
      <c r="CX613" s="2369">
        <f t="shared" si="11"/>
        <v>3</v>
      </c>
      <c r="CY613" s="2369"/>
      <c r="CZ613" s="2369"/>
      <c r="DA613" s="2369"/>
      <c r="DB613" s="2369"/>
      <c r="DC613" s="2369">
        <f t="shared" si="12"/>
        <v>0</v>
      </c>
      <c r="DD613" s="2369"/>
      <c r="DE613" s="2369"/>
      <c r="DF613" s="2369"/>
      <c r="DG613" s="2369"/>
      <c r="DH613" s="2369">
        <f t="shared" si="13"/>
        <v>0</v>
      </c>
      <c r="DI613" s="2369"/>
      <c r="DJ613" s="2369"/>
      <c r="DK613" s="2369"/>
      <c r="DL613" s="2369"/>
      <c r="DM613" s="2369">
        <f t="shared" si="14"/>
        <v>0</v>
      </c>
      <c r="DN613" s="2369"/>
      <c r="DO613" s="2369"/>
      <c r="DP613" s="2369"/>
      <c r="DQ613" s="2369"/>
      <c r="DR613" s="2369">
        <f t="shared" si="15"/>
        <v>0</v>
      </c>
      <c r="DS613" s="2369"/>
      <c r="DT613" s="2369"/>
      <c r="DU613" s="2369"/>
      <c r="DV613" s="2369"/>
      <c r="DX613" s="2172" t="str">
        <f t="shared" si="16"/>
        <v xml:space="preserve"> </v>
      </c>
      <c r="DY613" s="2178"/>
      <c r="DZ613" s="2178"/>
      <c r="EA613" s="2178"/>
      <c r="EB613" s="2173"/>
      <c r="EC613" s="2172">
        <f t="shared" si="17"/>
        <v>890</v>
      </c>
      <c r="ED613" s="2178"/>
      <c r="EE613" s="2178"/>
      <c r="EF613" s="2178"/>
      <c r="EG613" s="2173"/>
      <c r="EH613" s="2172" t="str">
        <f t="shared" si="18"/>
        <v xml:space="preserve"> </v>
      </c>
      <c r="EI613" s="2178"/>
      <c r="EJ613" s="2178"/>
      <c r="EK613" s="2178"/>
      <c r="EL613" s="2173"/>
      <c r="EM613" s="2172" t="str">
        <f t="shared" si="19"/>
        <v xml:space="preserve"> </v>
      </c>
      <c r="EN613" s="2178"/>
      <c r="EO613" s="2178"/>
      <c r="EP613" s="2178"/>
      <c r="EQ613" s="2173"/>
      <c r="ER613" s="2172" t="str">
        <f t="shared" si="20"/>
        <v xml:space="preserve"> </v>
      </c>
      <c r="ES613" s="2178"/>
      <c r="ET613" s="2178"/>
      <c r="EU613" s="2178"/>
      <c r="EV613" s="2173"/>
      <c r="EW613" s="2172" t="str">
        <f t="shared" si="21"/>
        <v xml:space="preserve"> </v>
      </c>
      <c r="EX613" s="2178"/>
      <c r="EY613" s="2178"/>
      <c r="EZ613" s="2178"/>
      <c r="FA613" s="2173"/>
    </row>
    <row r="614" spans="1:157" ht="12.5">
      <c r="A614" s="35"/>
      <c r="B614" s="12" t="s">
        <v>17</v>
      </c>
      <c r="G614" s="2038"/>
      <c r="H614" s="2038"/>
      <c r="I614" s="2038"/>
      <c r="J614" s="2038"/>
      <c r="K614" s="2038"/>
      <c r="L614" s="2038"/>
      <c r="M614" s="2038"/>
      <c r="N614" s="2038"/>
      <c r="O614" s="2038"/>
      <c r="P614" s="2038"/>
      <c r="Q614" s="2038"/>
      <c r="R614" s="2038"/>
      <c r="T614" s="35"/>
      <c r="U614" s="12" t="s">
        <v>17</v>
      </c>
      <c r="Z614" s="2052"/>
      <c r="AA614" s="2052"/>
      <c r="AB614" s="2052"/>
      <c r="AC614" s="2052"/>
      <c r="AD614" s="2052"/>
      <c r="AE614" s="2052"/>
      <c r="AF614" s="2052"/>
      <c r="AG614" s="2052"/>
      <c r="AH614" s="2052"/>
      <c r="AI614" s="2052"/>
      <c r="AJ614" s="2052"/>
      <c r="AK614" s="2052"/>
      <c r="BA614" s="7" t="s">
        <v>31</v>
      </c>
      <c r="BB614" s="58"/>
      <c r="BC614" s="58"/>
      <c r="BD614" s="58"/>
      <c r="BE614" s="2172">
        <f t="shared" si="0"/>
        <v>1</v>
      </c>
      <c r="BF614" s="2173"/>
      <c r="BG614" s="2007">
        <f t="shared" si="1"/>
        <v>17</v>
      </c>
      <c r="BH614" s="2009"/>
      <c r="BI614" s="2172">
        <f t="shared" si="2"/>
        <v>0</v>
      </c>
      <c r="BJ614" s="2173"/>
      <c r="BK614" s="2007">
        <f t="shared" si="3"/>
        <v>0</v>
      </c>
      <c r="BL614" s="2009"/>
      <c r="BM614" s="58"/>
      <c r="BN614" s="2014">
        <f t="shared" si="4"/>
        <v>0</v>
      </c>
      <c r="BO614" s="2015"/>
      <c r="BP614" s="2015"/>
      <c r="BQ614" s="2015"/>
      <c r="BR614" s="2016"/>
      <c r="BS614" s="2013">
        <f t="shared" si="5"/>
        <v>17</v>
      </c>
      <c r="BT614" s="2013"/>
      <c r="BU614" s="2013"/>
      <c r="BV614" s="2013"/>
      <c r="BW614" s="2013"/>
      <c r="BX614" s="2013">
        <f t="shared" si="6"/>
        <v>0</v>
      </c>
      <c r="BY614" s="2013"/>
      <c r="BZ614" s="2013"/>
      <c r="CA614" s="2013"/>
      <c r="CB614" s="2013"/>
      <c r="CC614" s="2013">
        <f t="shared" si="7"/>
        <v>0</v>
      </c>
      <c r="CD614" s="2013"/>
      <c r="CE614" s="2013"/>
      <c r="CF614" s="2013"/>
      <c r="CG614" s="2013"/>
      <c r="CH614" s="2013">
        <f t="shared" si="8"/>
        <v>0</v>
      </c>
      <c r="CI614" s="2013"/>
      <c r="CJ614" s="2013"/>
      <c r="CK614" s="2013"/>
      <c r="CL614" s="2013"/>
      <c r="CM614" s="2013">
        <f t="shared" si="9"/>
        <v>0</v>
      </c>
      <c r="CN614" s="2013"/>
      <c r="CO614" s="2013"/>
      <c r="CP614" s="2013"/>
      <c r="CQ614" s="2013"/>
      <c r="CR614" s="265"/>
      <c r="CS614" s="2369">
        <f t="shared" si="10"/>
        <v>0</v>
      </c>
      <c r="CT614" s="2369"/>
      <c r="CU614" s="2369"/>
      <c r="CV614" s="2369"/>
      <c r="CW614" s="2369"/>
      <c r="CX614" s="2369">
        <f t="shared" si="11"/>
        <v>0</v>
      </c>
      <c r="CY614" s="2369"/>
      <c r="CZ614" s="2369"/>
      <c r="DA614" s="2369"/>
      <c r="DB614" s="2369"/>
      <c r="DC614" s="2369">
        <f t="shared" si="12"/>
        <v>0</v>
      </c>
      <c r="DD614" s="2369"/>
      <c r="DE614" s="2369"/>
      <c r="DF614" s="2369"/>
      <c r="DG614" s="2369"/>
      <c r="DH614" s="2369">
        <f t="shared" si="13"/>
        <v>0</v>
      </c>
      <c r="DI614" s="2369"/>
      <c r="DJ614" s="2369"/>
      <c r="DK614" s="2369"/>
      <c r="DL614" s="2369"/>
      <c r="DM614" s="2369">
        <f t="shared" si="14"/>
        <v>0</v>
      </c>
      <c r="DN614" s="2369"/>
      <c r="DO614" s="2369"/>
      <c r="DP614" s="2369"/>
      <c r="DQ614" s="2369"/>
      <c r="DR614" s="2369">
        <f t="shared" si="15"/>
        <v>0</v>
      </c>
      <c r="DS614" s="2369"/>
      <c r="DT614" s="2369"/>
      <c r="DU614" s="2369"/>
      <c r="DV614" s="2369"/>
      <c r="DX614" s="2172" t="str">
        <f t="shared" si="16"/>
        <v xml:space="preserve"> </v>
      </c>
      <c r="DY614" s="2178"/>
      <c r="DZ614" s="2178"/>
      <c r="EA614" s="2178"/>
      <c r="EB614" s="2173"/>
      <c r="EC614" s="2172">
        <f t="shared" si="17"/>
        <v>1511</v>
      </c>
      <c r="ED614" s="2178"/>
      <c r="EE614" s="2178"/>
      <c r="EF614" s="2178"/>
      <c r="EG614" s="2173"/>
      <c r="EH614" s="2172" t="str">
        <f t="shared" si="18"/>
        <v xml:space="preserve"> </v>
      </c>
      <c r="EI614" s="2178"/>
      <c r="EJ614" s="2178"/>
      <c r="EK614" s="2178"/>
      <c r="EL614" s="2173"/>
      <c r="EM614" s="2172" t="str">
        <f t="shared" si="19"/>
        <v xml:space="preserve"> </v>
      </c>
      <c r="EN614" s="2178"/>
      <c r="EO614" s="2178"/>
      <c r="EP614" s="2178"/>
      <c r="EQ614" s="2173"/>
      <c r="ER614" s="2172" t="str">
        <f t="shared" si="20"/>
        <v xml:space="preserve"> </v>
      </c>
      <c r="ES614" s="2178"/>
      <c r="ET614" s="2178"/>
      <c r="EU614" s="2178"/>
      <c r="EV614" s="2173"/>
      <c r="EW614" s="2172" t="str">
        <f t="shared" si="21"/>
        <v xml:space="preserve"> </v>
      </c>
      <c r="EX614" s="2178"/>
      <c r="EY614" s="2178"/>
      <c r="EZ614" s="2178"/>
      <c r="FA614" s="2173"/>
    </row>
    <row r="615" spans="1:157" ht="12.5">
      <c r="A615" s="35"/>
      <c r="B615" s="12" t="s">
        <v>325</v>
      </c>
      <c r="G615" s="2092"/>
      <c r="H615" s="2092"/>
      <c r="I615" s="2092"/>
      <c r="J615" s="2092"/>
      <c r="K615" s="2092"/>
      <c r="L615" s="2092"/>
      <c r="O615" s="137" t="s">
        <v>212</v>
      </c>
      <c r="P615" s="2171"/>
      <c r="Q615" s="2171"/>
      <c r="R615" s="2171"/>
      <c r="T615" s="35"/>
      <c r="U615" s="12" t="s">
        <v>325</v>
      </c>
      <c r="Z615" s="2092"/>
      <c r="AA615" s="2092"/>
      <c r="AB615" s="2092"/>
      <c r="AC615" s="2092"/>
      <c r="AD615" s="2092"/>
      <c r="AE615" s="2092"/>
      <c r="AH615" s="137" t="s">
        <v>212</v>
      </c>
      <c r="AI615" s="2171"/>
      <c r="AJ615" s="2171"/>
      <c r="AK615" s="2171"/>
      <c r="AZ615" s="58"/>
      <c r="BA615" s="58"/>
      <c r="BB615" s="58"/>
      <c r="BC615" s="58"/>
      <c r="BD615" s="58"/>
      <c r="BE615" s="2172">
        <f t="shared" si="0"/>
        <v>0</v>
      </c>
      <c r="BF615" s="2173"/>
      <c r="BG615" s="2007">
        <f t="shared" si="1"/>
        <v>0</v>
      </c>
      <c r="BH615" s="2009"/>
      <c r="BI615" s="2172">
        <f t="shared" si="2"/>
        <v>0</v>
      </c>
      <c r="BJ615" s="2173"/>
      <c r="BK615" s="2007">
        <f t="shared" si="3"/>
        <v>0</v>
      </c>
      <c r="BL615" s="2009"/>
      <c r="BM615" s="58"/>
      <c r="BN615" s="2014">
        <f t="shared" si="4"/>
        <v>0</v>
      </c>
      <c r="BO615" s="2015"/>
      <c r="BP615" s="2015"/>
      <c r="BQ615" s="2015"/>
      <c r="BR615" s="2016"/>
      <c r="BS615" s="2013">
        <f t="shared" si="5"/>
        <v>14</v>
      </c>
      <c r="BT615" s="2013"/>
      <c r="BU615" s="2013"/>
      <c r="BV615" s="2013"/>
      <c r="BW615" s="2013"/>
      <c r="BX615" s="2013">
        <f t="shared" si="6"/>
        <v>0</v>
      </c>
      <c r="BY615" s="2013"/>
      <c r="BZ615" s="2013"/>
      <c r="CA615" s="2013"/>
      <c r="CB615" s="2013"/>
      <c r="CC615" s="2013">
        <f t="shared" si="7"/>
        <v>0</v>
      </c>
      <c r="CD615" s="2013"/>
      <c r="CE615" s="2013"/>
      <c r="CF615" s="2013"/>
      <c r="CG615" s="2013"/>
      <c r="CH615" s="2013">
        <f t="shared" si="8"/>
        <v>0</v>
      </c>
      <c r="CI615" s="2013"/>
      <c r="CJ615" s="2013"/>
      <c r="CK615" s="2013"/>
      <c r="CL615" s="2013"/>
      <c r="CM615" s="2013">
        <f t="shared" si="9"/>
        <v>0</v>
      </c>
      <c r="CN615" s="2013"/>
      <c r="CO615" s="2013"/>
      <c r="CP615" s="2013"/>
      <c r="CQ615" s="2013"/>
      <c r="CR615" s="265"/>
      <c r="CS615" s="2369">
        <f t="shared" si="10"/>
        <v>0</v>
      </c>
      <c r="CT615" s="2369"/>
      <c r="CU615" s="2369"/>
      <c r="CV615" s="2369"/>
      <c r="CW615" s="2369"/>
      <c r="CX615" s="2369">
        <f t="shared" si="11"/>
        <v>0</v>
      </c>
      <c r="CY615" s="2369"/>
      <c r="CZ615" s="2369"/>
      <c r="DA615" s="2369"/>
      <c r="DB615" s="2369"/>
      <c r="DC615" s="2369">
        <f t="shared" si="12"/>
        <v>0</v>
      </c>
      <c r="DD615" s="2369"/>
      <c r="DE615" s="2369"/>
      <c r="DF615" s="2369"/>
      <c r="DG615" s="2369"/>
      <c r="DH615" s="2369">
        <f t="shared" si="13"/>
        <v>0</v>
      </c>
      <c r="DI615" s="2369"/>
      <c r="DJ615" s="2369"/>
      <c r="DK615" s="2369"/>
      <c r="DL615" s="2369"/>
      <c r="DM615" s="2369">
        <f t="shared" si="14"/>
        <v>0</v>
      </c>
      <c r="DN615" s="2369"/>
      <c r="DO615" s="2369"/>
      <c r="DP615" s="2369"/>
      <c r="DQ615" s="2369"/>
      <c r="DR615" s="2369">
        <f t="shared" si="15"/>
        <v>0</v>
      </c>
      <c r="DS615" s="2369"/>
      <c r="DT615" s="2369"/>
      <c r="DU615" s="2369"/>
      <c r="DV615" s="2369"/>
      <c r="DX615" s="2172" t="str">
        <f t="shared" si="16"/>
        <v xml:space="preserve"> </v>
      </c>
      <c r="DY615" s="2178"/>
      <c r="DZ615" s="2178"/>
      <c r="EA615" s="2178"/>
      <c r="EB615" s="2173"/>
      <c r="EC615" s="2172">
        <f t="shared" si="17"/>
        <v>2133</v>
      </c>
      <c r="ED615" s="2178"/>
      <c r="EE615" s="2178"/>
      <c r="EF615" s="2178"/>
      <c r="EG615" s="2173"/>
      <c r="EH615" s="2172" t="str">
        <f t="shared" si="18"/>
        <v xml:space="preserve"> </v>
      </c>
      <c r="EI615" s="2178"/>
      <c r="EJ615" s="2178"/>
      <c r="EK615" s="2178"/>
      <c r="EL615" s="2173"/>
      <c r="EM615" s="2172" t="str">
        <f t="shared" si="19"/>
        <v xml:space="preserve"> </v>
      </c>
      <c r="EN615" s="2178"/>
      <c r="EO615" s="2178"/>
      <c r="EP615" s="2178"/>
      <c r="EQ615" s="2173"/>
      <c r="ER615" s="2172" t="str">
        <f t="shared" si="20"/>
        <v xml:space="preserve"> </v>
      </c>
      <c r="ES615" s="2178"/>
      <c r="ET615" s="2178"/>
      <c r="EU615" s="2178"/>
      <c r="EV615" s="2173"/>
      <c r="EW615" s="2172" t="str">
        <f t="shared" si="21"/>
        <v xml:space="preserve"> </v>
      </c>
      <c r="EX615" s="2178"/>
      <c r="EY615" s="2178"/>
      <c r="EZ615" s="2178"/>
      <c r="FA615" s="2173"/>
    </row>
    <row r="616" spans="1:157" ht="12.5">
      <c r="A616" s="35"/>
      <c r="B616" s="12" t="s">
        <v>18</v>
      </c>
      <c r="H616" s="2038"/>
      <c r="I616" s="2038"/>
      <c r="J616" s="2038"/>
      <c r="K616" s="2038"/>
      <c r="L616" s="2038"/>
      <c r="M616" s="2038"/>
      <c r="N616" s="2038"/>
      <c r="O616" s="2038"/>
      <c r="P616" s="2038"/>
      <c r="Q616" s="2038"/>
      <c r="R616" s="2038"/>
      <c r="T616" s="35"/>
      <c r="U616" s="12" t="s">
        <v>18</v>
      </c>
      <c r="AA616" s="2038"/>
      <c r="AB616" s="2038"/>
      <c r="AC616" s="2038"/>
      <c r="AD616" s="2038"/>
      <c r="AE616" s="2038"/>
      <c r="AF616" s="2038"/>
      <c r="AG616" s="2038"/>
      <c r="AH616" s="2038"/>
      <c r="AI616" s="2038"/>
      <c r="AJ616" s="2038"/>
      <c r="AK616" s="2038"/>
      <c r="AZ616" s="58"/>
      <c r="BA616" s="58"/>
      <c r="BB616" s="58"/>
      <c r="BC616" s="58"/>
      <c r="BD616" s="58"/>
      <c r="BE616" s="2172">
        <f t="shared" si="0"/>
        <v>0</v>
      </c>
      <c r="BF616" s="2173"/>
      <c r="BG616" s="2007">
        <f t="shared" si="1"/>
        <v>0</v>
      </c>
      <c r="BH616" s="2009"/>
      <c r="BI616" s="2172">
        <f t="shared" si="2"/>
        <v>1</v>
      </c>
      <c r="BJ616" s="2173"/>
      <c r="BK616" s="2007">
        <f t="shared" si="3"/>
        <v>3</v>
      </c>
      <c r="BL616" s="2009"/>
      <c r="BM616" s="58"/>
      <c r="BN616" s="2014">
        <f t="shared" si="4"/>
        <v>0</v>
      </c>
      <c r="BO616" s="2015"/>
      <c r="BP616" s="2015"/>
      <c r="BQ616" s="2015"/>
      <c r="BR616" s="2016"/>
      <c r="BS616" s="2013">
        <f t="shared" si="5"/>
        <v>0</v>
      </c>
      <c r="BT616" s="2013"/>
      <c r="BU616" s="2013"/>
      <c r="BV616" s="2013"/>
      <c r="BW616" s="2013"/>
      <c r="BX616" s="2013">
        <f t="shared" si="6"/>
        <v>3</v>
      </c>
      <c r="BY616" s="2013"/>
      <c r="BZ616" s="2013"/>
      <c r="CA616" s="2013"/>
      <c r="CB616" s="2013"/>
      <c r="CC616" s="2013">
        <f t="shared" si="7"/>
        <v>0</v>
      </c>
      <c r="CD616" s="2013"/>
      <c r="CE616" s="2013"/>
      <c r="CF616" s="2013"/>
      <c r="CG616" s="2013"/>
      <c r="CH616" s="2013">
        <f t="shared" si="8"/>
        <v>0</v>
      </c>
      <c r="CI616" s="2013"/>
      <c r="CJ616" s="2013"/>
      <c r="CK616" s="2013"/>
      <c r="CL616" s="2013"/>
      <c r="CM616" s="2013">
        <f t="shared" si="9"/>
        <v>0</v>
      </c>
      <c r="CN616" s="2013"/>
      <c r="CO616" s="2013"/>
      <c r="CP616" s="2013"/>
      <c r="CQ616" s="2013"/>
      <c r="CR616" s="265"/>
      <c r="CS616" s="2369">
        <f t="shared" si="10"/>
        <v>0</v>
      </c>
      <c r="CT616" s="2369"/>
      <c r="CU616" s="2369"/>
      <c r="CV616" s="2369"/>
      <c r="CW616" s="2369"/>
      <c r="CX616" s="2369">
        <f t="shared" si="11"/>
        <v>0</v>
      </c>
      <c r="CY616" s="2369"/>
      <c r="CZ616" s="2369"/>
      <c r="DA616" s="2369"/>
      <c r="DB616" s="2369"/>
      <c r="DC616" s="2369">
        <f t="shared" si="12"/>
        <v>3</v>
      </c>
      <c r="DD616" s="2369"/>
      <c r="DE616" s="2369"/>
      <c r="DF616" s="2369"/>
      <c r="DG616" s="2369"/>
      <c r="DH616" s="2369">
        <f t="shared" si="13"/>
        <v>0</v>
      </c>
      <c r="DI616" s="2369"/>
      <c r="DJ616" s="2369"/>
      <c r="DK616" s="2369"/>
      <c r="DL616" s="2369"/>
      <c r="DM616" s="2369">
        <f t="shared" si="14"/>
        <v>0</v>
      </c>
      <c r="DN616" s="2369"/>
      <c r="DO616" s="2369"/>
      <c r="DP616" s="2369"/>
      <c r="DQ616" s="2369"/>
      <c r="DR616" s="2369">
        <f t="shared" si="15"/>
        <v>0</v>
      </c>
      <c r="DS616" s="2369"/>
      <c r="DT616" s="2369"/>
      <c r="DU616" s="2369"/>
      <c r="DV616" s="2369"/>
      <c r="DX616" s="2172" t="str">
        <f t="shared" si="16"/>
        <v xml:space="preserve"> </v>
      </c>
      <c r="DY616" s="2178"/>
      <c r="DZ616" s="2178"/>
      <c r="EA616" s="2178"/>
      <c r="EB616" s="2173"/>
      <c r="EC616" s="2172" t="str">
        <f t="shared" si="17"/>
        <v xml:space="preserve"> </v>
      </c>
      <c r="ED616" s="2178"/>
      <c r="EE616" s="2178"/>
      <c r="EF616" s="2178"/>
      <c r="EG616" s="2173"/>
      <c r="EH616" s="2172">
        <f t="shared" si="18"/>
        <v>1062</v>
      </c>
      <c r="EI616" s="2178"/>
      <c r="EJ616" s="2178"/>
      <c r="EK616" s="2178"/>
      <c r="EL616" s="2173"/>
      <c r="EM616" s="2172" t="str">
        <f t="shared" si="19"/>
        <v xml:space="preserve"> </v>
      </c>
      <c r="EN616" s="2178"/>
      <c r="EO616" s="2178"/>
      <c r="EP616" s="2178"/>
      <c r="EQ616" s="2173"/>
      <c r="ER616" s="2172" t="str">
        <f t="shared" si="20"/>
        <v xml:space="preserve"> </v>
      </c>
      <c r="ES616" s="2178"/>
      <c r="ET616" s="2178"/>
      <c r="EU616" s="2178"/>
      <c r="EV616" s="2173"/>
      <c r="EW616" s="2172" t="str">
        <f t="shared" si="21"/>
        <v xml:space="preserve"> </v>
      </c>
      <c r="EX616" s="2178"/>
      <c r="EY616" s="2178"/>
      <c r="EZ616" s="2178"/>
      <c r="FA616" s="2173"/>
    </row>
    <row r="617" spans="1:157" ht="12.5">
      <c r="A617" s="35"/>
      <c r="B617" s="12" t="s">
        <v>20</v>
      </c>
      <c r="N617" s="2037" t="s">
        <v>705</v>
      </c>
      <c r="O617" s="2037"/>
      <c r="T617" s="35"/>
      <c r="U617" s="12" t="s">
        <v>20</v>
      </c>
      <c r="AG617" s="2037" t="s">
        <v>705</v>
      </c>
      <c r="AH617" s="2037"/>
      <c r="AZ617" s="58"/>
      <c r="BA617" s="58"/>
      <c r="BB617" s="58"/>
      <c r="BC617" s="58"/>
      <c r="BD617" s="58"/>
      <c r="BE617" s="2172">
        <f t="shared" si="0"/>
        <v>1</v>
      </c>
      <c r="BF617" s="2173"/>
      <c r="BG617" s="2007">
        <f t="shared" si="1"/>
        <v>8</v>
      </c>
      <c r="BH617" s="2009"/>
      <c r="BI617" s="2172">
        <f t="shared" si="2"/>
        <v>0</v>
      </c>
      <c r="BJ617" s="2173"/>
      <c r="BK617" s="2007">
        <f t="shared" si="3"/>
        <v>0</v>
      </c>
      <c r="BL617" s="2009"/>
      <c r="BM617" s="58"/>
      <c r="BN617" s="2014">
        <f t="shared" si="4"/>
        <v>0</v>
      </c>
      <c r="BO617" s="2015"/>
      <c r="BP617" s="2015"/>
      <c r="BQ617" s="2015"/>
      <c r="BR617" s="2016"/>
      <c r="BS617" s="2013">
        <f t="shared" si="5"/>
        <v>0</v>
      </c>
      <c r="BT617" s="2013"/>
      <c r="BU617" s="2013"/>
      <c r="BV617" s="2013"/>
      <c r="BW617" s="2013"/>
      <c r="BX617" s="2013">
        <f t="shared" si="6"/>
        <v>8</v>
      </c>
      <c r="BY617" s="2013"/>
      <c r="BZ617" s="2013"/>
      <c r="CA617" s="2013"/>
      <c r="CB617" s="2013"/>
      <c r="CC617" s="2013">
        <f t="shared" si="7"/>
        <v>0</v>
      </c>
      <c r="CD617" s="2013"/>
      <c r="CE617" s="2013"/>
      <c r="CF617" s="2013"/>
      <c r="CG617" s="2013"/>
      <c r="CH617" s="2013">
        <f t="shared" si="8"/>
        <v>0</v>
      </c>
      <c r="CI617" s="2013"/>
      <c r="CJ617" s="2013"/>
      <c r="CK617" s="2013"/>
      <c r="CL617" s="2013"/>
      <c r="CM617" s="2013">
        <f t="shared" si="9"/>
        <v>0</v>
      </c>
      <c r="CN617" s="2013"/>
      <c r="CO617" s="2013"/>
      <c r="CP617" s="2013"/>
      <c r="CQ617" s="2013"/>
      <c r="CR617" s="265"/>
      <c r="CS617" s="2369">
        <f t="shared" si="10"/>
        <v>0</v>
      </c>
      <c r="CT617" s="2369"/>
      <c r="CU617" s="2369"/>
      <c r="CV617" s="2369"/>
      <c r="CW617" s="2369"/>
      <c r="CX617" s="2369">
        <f t="shared" si="11"/>
        <v>0</v>
      </c>
      <c r="CY617" s="2369"/>
      <c r="CZ617" s="2369"/>
      <c r="DA617" s="2369"/>
      <c r="DB617" s="2369"/>
      <c r="DC617" s="2369">
        <f t="shared" si="12"/>
        <v>0</v>
      </c>
      <c r="DD617" s="2369"/>
      <c r="DE617" s="2369"/>
      <c r="DF617" s="2369"/>
      <c r="DG617" s="2369"/>
      <c r="DH617" s="2369">
        <f t="shared" si="13"/>
        <v>0</v>
      </c>
      <c r="DI617" s="2369"/>
      <c r="DJ617" s="2369"/>
      <c r="DK617" s="2369"/>
      <c r="DL617" s="2369"/>
      <c r="DM617" s="2369">
        <f t="shared" si="14"/>
        <v>0</v>
      </c>
      <c r="DN617" s="2369"/>
      <c r="DO617" s="2369"/>
      <c r="DP617" s="2369"/>
      <c r="DQ617" s="2369"/>
      <c r="DR617" s="2369">
        <f t="shared" si="15"/>
        <v>0</v>
      </c>
      <c r="DS617" s="2369"/>
      <c r="DT617" s="2369"/>
      <c r="DU617" s="2369"/>
      <c r="DV617" s="2369"/>
      <c r="DX617" s="2172" t="str">
        <f t="shared" si="16"/>
        <v xml:space="preserve"> </v>
      </c>
      <c r="DY617" s="2178"/>
      <c r="DZ617" s="2178"/>
      <c r="EA617" s="2178"/>
      <c r="EB617" s="2173"/>
      <c r="EC617" s="2172" t="str">
        <f t="shared" si="17"/>
        <v xml:space="preserve"> </v>
      </c>
      <c r="ED617" s="2178"/>
      <c r="EE617" s="2178"/>
      <c r="EF617" s="2178"/>
      <c r="EG617" s="2173"/>
      <c r="EH617" s="2172">
        <f t="shared" si="18"/>
        <v>1808</v>
      </c>
      <c r="EI617" s="2178"/>
      <c r="EJ617" s="2178"/>
      <c r="EK617" s="2178"/>
      <c r="EL617" s="2173"/>
      <c r="EM617" s="2172" t="str">
        <f t="shared" si="19"/>
        <v xml:space="preserve"> </v>
      </c>
      <c r="EN617" s="2178"/>
      <c r="EO617" s="2178"/>
      <c r="EP617" s="2178"/>
      <c r="EQ617" s="2173"/>
      <c r="ER617" s="2172" t="str">
        <f t="shared" si="20"/>
        <v xml:space="preserve"> </v>
      </c>
      <c r="ES617" s="2178"/>
      <c r="ET617" s="2178"/>
      <c r="EU617" s="2178"/>
      <c r="EV617" s="2173"/>
      <c r="EW617" s="2172" t="str">
        <f t="shared" si="21"/>
        <v xml:space="preserve"> </v>
      </c>
      <c r="EX617" s="2178"/>
      <c r="EY617" s="2178"/>
      <c r="EZ617" s="2178"/>
      <c r="FA617" s="2173"/>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172">
        <f t="shared" si="0"/>
        <v>0</v>
      </c>
      <c r="BF618" s="2173"/>
      <c r="BG618" s="2007">
        <f t="shared" si="1"/>
        <v>0</v>
      </c>
      <c r="BH618" s="2009"/>
      <c r="BI618" s="2172">
        <f t="shared" si="2"/>
        <v>0</v>
      </c>
      <c r="BJ618" s="2173"/>
      <c r="BK618" s="2007">
        <f t="shared" si="3"/>
        <v>0</v>
      </c>
      <c r="BL618" s="2009"/>
      <c r="BM618" s="58"/>
      <c r="BN618" s="2014">
        <f t="shared" si="4"/>
        <v>0</v>
      </c>
      <c r="BO618" s="2015"/>
      <c r="BP618" s="2015"/>
      <c r="BQ618" s="2015"/>
      <c r="BR618" s="2016"/>
      <c r="BS618" s="2013">
        <f t="shared" si="5"/>
        <v>0</v>
      </c>
      <c r="BT618" s="2013"/>
      <c r="BU618" s="2013"/>
      <c r="BV618" s="2013"/>
      <c r="BW618" s="2013"/>
      <c r="BX618" s="2013">
        <f t="shared" si="6"/>
        <v>12</v>
      </c>
      <c r="BY618" s="2013"/>
      <c r="BZ618" s="2013"/>
      <c r="CA618" s="2013"/>
      <c r="CB618" s="2013"/>
      <c r="CC618" s="2013">
        <f t="shared" si="7"/>
        <v>0</v>
      </c>
      <c r="CD618" s="2013"/>
      <c r="CE618" s="2013"/>
      <c r="CF618" s="2013"/>
      <c r="CG618" s="2013"/>
      <c r="CH618" s="2013">
        <f t="shared" si="8"/>
        <v>0</v>
      </c>
      <c r="CI618" s="2013"/>
      <c r="CJ618" s="2013"/>
      <c r="CK618" s="2013"/>
      <c r="CL618" s="2013"/>
      <c r="CM618" s="2013">
        <f t="shared" si="9"/>
        <v>0</v>
      </c>
      <c r="CN618" s="2013"/>
      <c r="CO618" s="2013"/>
      <c r="CP618" s="2013"/>
      <c r="CQ618" s="2013"/>
      <c r="CR618" s="265"/>
      <c r="CS618" s="2369">
        <f t="shared" si="10"/>
        <v>0</v>
      </c>
      <c r="CT618" s="2369"/>
      <c r="CU618" s="2369"/>
      <c r="CV618" s="2369"/>
      <c r="CW618" s="2369"/>
      <c r="CX618" s="2369">
        <f t="shared" si="11"/>
        <v>0</v>
      </c>
      <c r="CY618" s="2369"/>
      <c r="CZ618" s="2369"/>
      <c r="DA618" s="2369"/>
      <c r="DB618" s="2369"/>
      <c r="DC618" s="2369">
        <f t="shared" si="12"/>
        <v>0</v>
      </c>
      <c r="DD618" s="2369"/>
      <c r="DE618" s="2369"/>
      <c r="DF618" s="2369"/>
      <c r="DG618" s="2369"/>
      <c r="DH618" s="2369">
        <f t="shared" si="13"/>
        <v>0</v>
      </c>
      <c r="DI618" s="2369"/>
      <c r="DJ618" s="2369"/>
      <c r="DK618" s="2369"/>
      <c r="DL618" s="2369"/>
      <c r="DM618" s="2369">
        <f t="shared" si="14"/>
        <v>0</v>
      </c>
      <c r="DN618" s="2369"/>
      <c r="DO618" s="2369"/>
      <c r="DP618" s="2369"/>
      <c r="DQ618" s="2369"/>
      <c r="DR618" s="2369">
        <f t="shared" si="15"/>
        <v>0</v>
      </c>
      <c r="DS618" s="2369"/>
      <c r="DT618" s="2369"/>
      <c r="DU618" s="2369"/>
      <c r="DV618" s="2369"/>
      <c r="DX618" s="2172" t="str">
        <f t="shared" si="16"/>
        <v xml:space="preserve"> </v>
      </c>
      <c r="DY618" s="2178"/>
      <c r="DZ618" s="2178"/>
      <c r="EA618" s="2178"/>
      <c r="EB618" s="2173"/>
      <c r="EC618" s="2172" t="str">
        <f t="shared" si="17"/>
        <v xml:space="preserve"> </v>
      </c>
      <c r="ED618" s="2178"/>
      <c r="EE618" s="2178"/>
      <c r="EF618" s="2178"/>
      <c r="EG618" s="2173"/>
      <c r="EH618" s="2172">
        <f t="shared" si="18"/>
        <v>2554</v>
      </c>
      <c r="EI618" s="2178"/>
      <c r="EJ618" s="2178"/>
      <c r="EK618" s="2178"/>
      <c r="EL618" s="2173"/>
      <c r="EM618" s="2172" t="str">
        <f t="shared" si="19"/>
        <v xml:space="preserve"> </v>
      </c>
      <c r="EN618" s="2178"/>
      <c r="EO618" s="2178"/>
      <c r="EP618" s="2178"/>
      <c r="EQ618" s="2173"/>
      <c r="ER618" s="2172" t="str">
        <f t="shared" si="20"/>
        <v xml:space="preserve"> </v>
      </c>
      <c r="ES618" s="2178"/>
      <c r="ET618" s="2178"/>
      <c r="EU618" s="2178"/>
      <c r="EV618" s="2173"/>
      <c r="EW618" s="2172" t="str">
        <f t="shared" si="21"/>
        <v xml:space="preserve"> </v>
      </c>
      <c r="EX618" s="2178"/>
      <c r="EY618" s="2178"/>
      <c r="EZ618" s="2178"/>
      <c r="FA618" s="2173"/>
    </row>
    <row r="619" spans="1:157" s="7" customFormat="1" ht="12.5">
      <c r="A619" s="87" t="s">
        <v>372</v>
      </c>
      <c r="B619" s="12" t="s">
        <v>495</v>
      </c>
      <c r="C619" s="12"/>
      <c r="D619" s="12"/>
      <c r="E619" s="12"/>
      <c r="F619" s="12"/>
      <c r="G619" s="2160">
        <f>C574</f>
        <v>0</v>
      </c>
      <c r="H619" s="2160"/>
      <c r="I619" s="2160"/>
      <c r="J619" s="2160"/>
      <c r="K619" s="2160"/>
      <c r="L619" s="2160"/>
      <c r="M619" s="2160"/>
      <c r="N619" s="2160"/>
      <c r="O619" s="2160"/>
      <c r="P619" s="2160"/>
      <c r="Q619" s="2160"/>
      <c r="R619" s="2160"/>
      <c r="S619" s="12"/>
      <c r="T619" s="87" t="s">
        <v>373</v>
      </c>
      <c r="U619" s="12" t="s">
        <v>495</v>
      </c>
      <c r="V619" s="12"/>
      <c r="W619" s="12"/>
      <c r="X619" s="12"/>
      <c r="Y619" s="12"/>
      <c r="Z619" s="2160">
        <f>C575</f>
        <v>0</v>
      </c>
      <c r="AA619" s="2160"/>
      <c r="AB619" s="2160"/>
      <c r="AC619" s="2160"/>
      <c r="AD619" s="2160"/>
      <c r="AE619" s="2160"/>
      <c r="AF619" s="2160"/>
      <c r="AG619" s="2160"/>
      <c r="AH619" s="2160"/>
      <c r="AI619" s="2160"/>
      <c r="AJ619" s="2160"/>
      <c r="AK619" s="2160"/>
      <c r="AL619" s="12"/>
      <c r="AM619" s="39"/>
      <c r="AN619" s="39"/>
      <c r="AO619" s="39"/>
      <c r="AP619" s="39"/>
      <c r="AQ619" s="39"/>
      <c r="AR619" s="39"/>
      <c r="AS619" s="39"/>
      <c r="AT619" s="39"/>
      <c r="AU619" s="39"/>
      <c r="AV619" s="39"/>
      <c r="AW619" s="39"/>
      <c r="AX619" s="39"/>
      <c r="AY619" s="39"/>
      <c r="AZ619" s="58"/>
      <c r="BA619" s="58"/>
      <c r="BB619" s="58"/>
      <c r="BC619" s="58"/>
      <c r="BD619" s="58"/>
      <c r="BE619" s="2172">
        <f t="shared" si="0"/>
        <v>1</v>
      </c>
      <c r="BF619" s="2173"/>
      <c r="BG619" s="2007">
        <f t="shared" si="1"/>
        <v>3</v>
      </c>
      <c r="BH619" s="2009"/>
      <c r="BI619" s="2172">
        <f t="shared" si="2"/>
        <v>0</v>
      </c>
      <c r="BJ619" s="2173"/>
      <c r="BK619" s="2007">
        <f t="shared" si="3"/>
        <v>0</v>
      </c>
      <c r="BL619" s="2009"/>
      <c r="BM619" s="58"/>
      <c r="BN619" s="2014">
        <f t="shared" si="4"/>
        <v>0</v>
      </c>
      <c r="BO619" s="2015"/>
      <c r="BP619" s="2015"/>
      <c r="BQ619" s="2015"/>
      <c r="BR619" s="2016"/>
      <c r="BS619" s="2013">
        <f t="shared" si="5"/>
        <v>0</v>
      </c>
      <c r="BT619" s="2013"/>
      <c r="BU619" s="2013"/>
      <c r="BV619" s="2013"/>
      <c r="BW619" s="2013"/>
      <c r="BX619" s="2013">
        <f t="shared" si="6"/>
        <v>0</v>
      </c>
      <c r="BY619" s="2013"/>
      <c r="BZ619" s="2013"/>
      <c r="CA619" s="2013"/>
      <c r="CB619" s="2013"/>
      <c r="CC619" s="2013">
        <f t="shared" si="7"/>
        <v>3</v>
      </c>
      <c r="CD619" s="2013"/>
      <c r="CE619" s="2013"/>
      <c r="CF619" s="2013"/>
      <c r="CG619" s="2013"/>
      <c r="CH619" s="2013">
        <f t="shared" si="8"/>
        <v>0</v>
      </c>
      <c r="CI619" s="2013"/>
      <c r="CJ619" s="2013"/>
      <c r="CK619" s="2013"/>
      <c r="CL619" s="2013"/>
      <c r="CM619" s="2013">
        <f t="shared" si="9"/>
        <v>0</v>
      </c>
      <c r="CN619" s="2013"/>
      <c r="CO619" s="2013"/>
      <c r="CP619" s="2013"/>
      <c r="CQ619" s="2013"/>
      <c r="CR619" s="265"/>
      <c r="CS619" s="2369">
        <f t="shared" si="10"/>
        <v>0</v>
      </c>
      <c r="CT619" s="2369"/>
      <c r="CU619" s="2369"/>
      <c r="CV619" s="2369"/>
      <c r="CW619" s="2369"/>
      <c r="CX619" s="2369">
        <f t="shared" si="11"/>
        <v>0</v>
      </c>
      <c r="CY619" s="2369"/>
      <c r="CZ619" s="2369"/>
      <c r="DA619" s="2369"/>
      <c r="DB619" s="2369"/>
      <c r="DC619" s="2369">
        <f t="shared" si="12"/>
        <v>0</v>
      </c>
      <c r="DD619" s="2369"/>
      <c r="DE619" s="2369"/>
      <c r="DF619" s="2369"/>
      <c r="DG619" s="2369"/>
      <c r="DH619" s="2369">
        <f t="shared" si="13"/>
        <v>0</v>
      </c>
      <c r="DI619" s="2369"/>
      <c r="DJ619" s="2369"/>
      <c r="DK619" s="2369"/>
      <c r="DL619" s="2369"/>
      <c r="DM619" s="2369">
        <f t="shared" si="14"/>
        <v>0</v>
      </c>
      <c r="DN619" s="2369"/>
      <c r="DO619" s="2369"/>
      <c r="DP619" s="2369"/>
      <c r="DQ619" s="2369"/>
      <c r="DR619" s="2369">
        <f t="shared" si="15"/>
        <v>0</v>
      </c>
      <c r="DS619" s="2369"/>
      <c r="DT619" s="2369"/>
      <c r="DU619" s="2369"/>
      <c r="DV619" s="2369"/>
      <c r="DX619" s="2172" t="str">
        <f t="shared" si="16"/>
        <v xml:space="preserve"> </v>
      </c>
      <c r="DY619" s="2178"/>
      <c r="DZ619" s="2178"/>
      <c r="EA619" s="2178"/>
      <c r="EB619" s="2173"/>
      <c r="EC619" s="2172" t="str">
        <f t="shared" si="17"/>
        <v xml:space="preserve"> </v>
      </c>
      <c r="ED619" s="2178"/>
      <c r="EE619" s="2178"/>
      <c r="EF619" s="2178"/>
      <c r="EG619" s="2173"/>
      <c r="EH619" s="2172" t="str">
        <f t="shared" si="18"/>
        <v xml:space="preserve"> </v>
      </c>
      <c r="EI619" s="2178"/>
      <c r="EJ619" s="2178"/>
      <c r="EK619" s="2178"/>
      <c r="EL619" s="2173"/>
      <c r="EM619" s="2172">
        <f t="shared" si="19"/>
        <v>2082</v>
      </c>
      <c r="EN619" s="2178"/>
      <c r="EO619" s="2178"/>
      <c r="EP619" s="2178"/>
      <c r="EQ619" s="2173"/>
      <c r="ER619" s="2172" t="str">
        <f t="shared" si="20"/>
        <v xml:space="preserve"> </v>
      </c>
      <c r="ES619" s="2178"/>
      <c r="ET619" s="2178"/>
      <c r="EU619" s="2178"/>
      <c r="EV619" s="2173"/>
      <c r="EW619" s="2172" t="str">
        <f t="shared" si="21"/>
        <v xml:space="preserve"> </v>
      </c>
      <c r="EX619" s="2178"/>
      <c r="EY619" s="2178"/>
      <c r="EZ619" s="2178"/>
      <c r="FA619" s="2173"/>
    </row>
    <row r="620" spans="1:157" s="7" customFormat="1" ht="12.5">
      <c r="A620" s="12"/>
      <c r="B620" s="12" t="s">
        <v>90</v>
      </c>
      <c r="C620" s="12"/>
      <c r="D620" s="12"/>
      <c r="E620" s="12"/>
      <c r="F620" s="12"/>
      <c r="G620" s="2038"/>
      <c r="H620" s="2038"/>
      <c r="I620" s="2038"/>
      <c r="J620" s="2038"/>
      <c r="K620" s="2038"/>
      <c r="L620" s="2038"/>
      <c r="M620" s="2038"/>
      <c r="N620" s="2038"/>
      <c r="O620" s="2038"/>
      <c r="P620" s="2038"/>
      <c r="Q620" s="2038"/>
      <c r="R620" s="2038"/>
      <c r="S620" s="12"/>
      <c r="T620" s="12"/>
      <c r="U620" s="12" t="s">
        <v>90</v>
      </c>
      <c r="V620" s="12"/>
      <c r="W620" s="12"/>
      <c r="X620" s="12"/>
      <c r="Y620" s="12"/>
      <c r="Z620" s="2038"/>
      <c r="AA620" s="2038"/>
      <c r="AB620" s="2038"/>
      <c r="AC620" s="2038"/>
      <c r="AD620" s="2038"/>
      <c r="AE620" s="2038"/>
      <c r="AF620" s="2038"/>
      <c r="AG620" s="2038"/>
      <c r="AH620" s="2038"/>
      <c r="AI620" s="2038"/>
      <c r="AJ620" s="2038"/>
      <c r="AK620" s="2038"/>
      <c r="AL620" s="12"/>
      <c r="AM620" s="39"/>
      <c r="AN620" s="39"/>
      <c r="AO620" s="39"/>
      <c r="AP620" s="39"/>
      <c r="AQ620" s="39"/>
      <c r="AR620" s="39"/>
      <c r="AS620" s="39"/>
      <c r="AT620" s="39"/>
      <c r="AU620" s="39"/>
      <c r="AV620" s="39"/>
      <c r="AW620" s="39"/>
      <c r="AX620" s="39"/>
      <c r="AY620" s="39"/>
      <c r="AZ620" s="58"/>
      <c r="BA620" s="58"/>
      <c r="BB620" s="58"/>
      <c r="BC620" s="58"/>
      <c r="BD620" s="58"/>
      <c r="BE620" s="2172">
        <f t="shared" si="0"/>
        <v>0</v>
      </c>
      <c r="BF620" s="2173"/>
      <c r="BG620" s="2007">
        <f t="shared" si="1"/>
        <v>0</v>
      </c>
      <c r="BH620" s="2009"/>
      <c r="BI620" s="2172">
        <f t="shared" si="2"/>
        <v>0</v>
      </c>
      <c r="BJ620" s="2173"/>
      <c r="BK620" s="2007">
        <f t="shared" si="3"/>
        <v>0</v>
      </c>
      <c r="BL620" s="2009"/>
      <c r="BM620" s="58"/>
      <c r="BN620" s="2014">
        <f t="shared" si="4"/>
        <v>0</v>
      </c>
      <c r="BO620" s="2015"/>
      <c r="BP620" s="2015"/>
      <c r="BQ620" s="2015"/>
      <c r="BR620" s="2016"/>
      <c r="BS620" s="2013">
        <f t="shared" si="5"/>
        <v>0</v>
      </c>
      <c r="BT620" s="2013"/>
      <c r="BU620" s="2013"/>
      <c r="BV620" s="2013"/>
      <c r="BW620" s="2013"/>
      <c r="BX620" s="2013">
        <f t="shared" si="6"/>
        <v>0</v>
      </c>
      <c r="BY620" s="2013"/>
      <c r="BZ620" s="2013"/>
      <c r="CA620" s="2013"/>
      <c r="CB620" s="2013"/>
      <c r="CC620" s="2013">
        <f t="shared" si="7"/>
        <v>0</v>
      </c>
      <c r="CD620" s="2013"/>
      <c r="CE620" s="2013"/>
      <c r="CF620" s="2013"/>
      <c r="CG620" s="2013"/>
      <c r="CH620" s="2013">
        <f t="shared" si="8"/>
        <v>0</v>
      </c>
      <c r="CI620" s="2013"/>
      <c r="CJ620" s="2013"/>
      <c r="CK620" s="2013"/>
      <c r="CL620" s="2013"/>
      <c r="CM620" s="2013">
        <f t="shared" si="9"/>
        <v>0</v>
      </c>
      <c r="CN620" s="2013"/>
      <c r="CO620" s="2013"/>
      <c r="CP620" s="2013"/>
      <c r="CQ620" s="2013"/>
      <c r="CR620" s="265"/>
      <c r="CS620" s="2369">
        <f t="shared" si="10"/>
        <v>0</v>
      </c>
      <c r="CT620" s="2369"/>
      <c r="CU620" s="2369"/>
      <c r="CV620" s="2369"/>
      <c r="CW620" s="2369"/>
      <c r="CX620" s="2369">
        <f t="shared" si="11"/>
        <v>0</v>
      </c>
      <c r="CY620" s="2369"/>
      <c r="CZ620" s="2369"/>
      <c r="DA620" s="2369"/>
      <c r="DB620" s="2369"/>
      <c r="DC620" s="2369">
        <f t="shared" si="12"/>
        <v>0</v>
      </c>
      <c r="DD620" s="2369"/>
      <c r="DE620" s="2369"/>
      <c r="DF620" s="2369"/>
      <c r="DG620" s="2369"/>
      <c r="DH620" s="2369">
        <f t="shared" si="13"/>
        <v>0</v>
      </c>
      <c r="DI620" s="2369"/>
      <c r="DJ620" s="2369"/>
      <c r="DK620" s="2369"/>
      <c r="DL620" s="2369"/>
      <c r="DM620" s="2369">
        <f t="shared" si="14"/>
        <v>0</v>
      </c>
      <c r="DN620" s="2369"/>
      <c r="DO620" s="2369"/>
      <c r="DP620" s="2369"/>
      <c r="DQ620" s="2369"/>
      <c r="DR620" s="2369">
        <f t="shared" si="15"/>
        <v>0</v>
      </c>
      <c r="DS620" s="2369"/>
      <c r="DT620" s="2369"/>
      <c r="DU620" s="2369"/>
      <c r="DV620" s="2369"/>
      <c r="DX620" s="2172" t="str">
        <f t="shared" si="16"/>
        <v xml:space="preserve"> </v>
      </c>
      <c r="DY620" s="2178"/>
      <c r="DZ620" s="2178"/>
      <c r="EA620" s="2178"/>
      <c r="EB620" s="2173"/>
      <c r="EC620" s="2172" t="str">
        <f t="shared" si="17"/>
        <v xml:space="preserve"> </v>
      </c>
      <c r="ED620" s="2178"/>
      <c r="EE620" s="2178"/>
      <c r="EF620" s="2178"/>
      <c r="EG620" s="2173"/>
      <c r="EH620" s="2172" t="str">
        <f t="shared" si="18"/>
        <v xml:space="preserve"> </v>
      </c>
      <c r="EI620" s="2178"/>
      <c r="EJ620" s="2178"/>
      <c r="EK620" s="2178"/>
      <c r="EL620" s="2173"/>
      <c r="EM620" s="2172" t="str">
        <f t="shared" si="19"/>
        <v xml:space="preserve"> </v>
      </c>
      <c r="EN620" s="2178"/>
      <c r="EO620" s="2178"/>
      <c r="EP620" s="2178"/>
      <c r="EQ620" s="2173"/>
      <c r="ER620" s="2172" t="str">
        <f t="shared" si="20"/>
        <v xml:space="preserve"> </v>
      </c>
      <c r="ES620" s="2178"/>
      <c r="ET620" s="2178"/>
      <c r="EU620" s="2178"/>
      <c r="EV620" s="2173"/>
      <c r="EW620" s="2172" t="str">
        <f t="shared" si="21"/>
        <v xml:space="preserve"> </v>
      </c>
      <c r="EX620" s="2178"/>
      <c r="EY620" s="2178"/>
      <c r="EZ620" s="2178"/>
      <c r="FA620" s="2173"/>
    </row>
    <row r="621" spans="1:157" ht="12.5">
      <c r="B621" s="12" t="s">
        <v>614</v>
      </c>
      <c r="G621" s="2038"/>
      <c r="H621" s="2038"/>
      <c r="I621" s="2038"/>
      <c r="J621" s="2038"/>
      <c r="K621" s="2038"/>
      <c r="L621" s="2038"/>
      <c r="M621" s="2038"/>
      <c r="N621" s="2038"/>
      <c r="O621" s="2038"/>
      <c r="P621" s="2038"/>
      <c r="Q621" s="2038"/>
      <c r="R621" s="2038"/>
      <c r="U621" s="12" t="s">
        <v>614</v>
      </c>
      <c r="Z621" s="2052"/>
      <c r="AA621" s="2052"/>
      <c r="AB621" s="2052"/>
      <c r="AC621" s="2052"/>
      <c r="AD621" s="2052"/>
      <c r="AE621" s="2052"/>
      <c r="AF621" s="2052"/>
      <c r="AG621" s="2052"/>
      <c r="AH621" s="2052"/>
      <c r="AI621" s="2052"/>
      <c r="AJ621" s="2052"/>
      <c r="AK621" s="2052"/>
      <c r="AZ621" s="58"/>
      <c r="BA621" s="58"/>
      <c r="BB621" s="58"/>
      <c r="BC621" s="58"/>
      <c r="BD621" s="58"/>
      <c r="BE621" s="2172">
        <f t="shared" si="0"/>
        <v>0</v>
      </c>
      <c r="BF621" s="2173"/>
      <c r="BG621" s="2007">
        <f t="shared" si="1"/>
        <v>0</v>
      </c>
      <c r="BH621" s="2009"/>
      <c r="BI621" s="2172">
        <f t="shared" si="2"/>
        <v>0</v>
      </c>
      <c r="BJ621" s="2173"/>
      <c r="BK621" s="2007">
        <f t="shared" si="3"/>
        <v>0</v>
      </c>
      <c r="BL621" s="2009"/>
      <c r="BM621" s="58"/>
      <c r="BN621" s="2014">
        <f t="shared" si="4"/>
        <v>0</v>
      </c>
      <c r="BO621" s="2015"/>
      <c r="BP621" s="2015"/>
      <c r="BQ621" s="2015"/>
      <c r="BR621" s="2016"/>
      <c r="BS621" s="2013">
        <f t="shared" si="5"/>
        <v>0</v>
      </c>
      <c r="BT621" s="2013"/>
      <c r="BU621" s="2013"/>
      <c r="BV621" s="2013"/>
      <c r="BW621" s="2013"/>
      <c r="BX621" s="2013">
        <f t="shared" si="6"/>
        <v>0</v>
      </c>
      <c r="BY621" s="2013"/>
      <c r="BZ621" s="2013"/>
      <c r="CA621" s="2013"/>
      <c r="CB621" s="2013"/>
      <c r="CC621" s="2013">
        <f t="shared" si="7"/>
        <v>0</v>
      </c>
      <c r="CD621" s="2013"/>
      <c r="CE621" s="2013"/>
      <c r="CF621" s="2013"/>
      <c r="CG621" s="2013"/>
      <c r="CH621" s="2013">
        <f t="shared" si="8"/>
        <v>0</v>
      </c>
      <c r="CI621" s="2013"/>
      <c r="CJ621" s="2013"/>
      <c r="CK621" s="2013"/>
      <c r="CL621" s="2013"/>
      <c r="CM621" s="2013">
        <f t="shared" si="9"/>
        <v>0</v>
      </c>
      <c r="CN621" s="2013"/>
      <c r="CO621" s="2013"/>
      <c r="CP621" s="2013"/>
      <c r="CQ621" s="2013"/>
      <c r="CR621" s="265"/>
      <c r="CS621" s="2369">
        <f t="shared" si="10"/>
        <v>0</v>
      </c>
      <c r="CT621" s="2369"/>
      <c r="CU621" s="2369"/>
      <c r="CV621" s="2369"/>
      <c r="CW621" s="2369"/>
      <c r="CX621" s="2369">
        <f t="shared" si="11"/>
        <v>0</v>
      </c>
      <c r="CY621" s="2369"/>
      <c r="CZ621" s="2369"/>
      <c r="DA621" s="2369"/>
      <c r="DB621" s="2369"/>
      <c r="DC621" s="2369">
        <f t="shared" si="12"/>
        <v>0</v>
      </c>
      <c r="DD621" s="2369"/>
      <c r="DE621" s="2369"/>
      <c r="DF621" s="2369"/>
      <c r="DG621" s="2369"/>
      <c r="DH621" s="2369">
        <f t="shared" si="13"/>
        <v>0</v>
      </c>
      <c r="DI621" s="2369"/>
      <c r="DJ621" s="2369"/>
      <c r="DK621" s="2369"/>
      <c r="DL621" s="2369"/>
      <c r="DM621" s="2369">
        <f t="shared" si="14"/>
        <v>0</v>
      </c>
      <c r="DN621" s="2369"/>
      <c r="DO621" s="2369"/>
      <c r="DP621" s="2369"/>
      <c r="DQ621" s="2369"/>
      <c r="DR621" s="2369">
        <f t="shared" si="15"/>
        <v>0</v>
      </c>
      <c r="DS621" s="2369"/>
      <c r="DT621" s="2369"/>
      <c r="DU621" s="2369"/>
      <c r="DV621" s="2369"/>
      <c r="DX621" s="2172" t="str">
        <f t="shared" si="16"/>
        <v xml:space="preserve"> </v>
      </c>
      <c r="DY621" s="2178"/>
      <c r="DZ621" s="2178"/>
      <c r="EA621" s="2178"/>
      <c r="EB621" s="2173"/>
      <c r="EC621" s="2172" t="str">
        <f t="shared" si="17"/>
        <v xml:space="preserve"> </v>
      </c>
      <c r="ED621" s="2178"/>
      <c r="EE621" s="2178"/>
      <c r="EF621" s="2178"/>
      <c r="EG621" s="2173"/>
      <c r="EH621" s="2172" t="str">
        <f t="shared" si="18"/>
        <v xml:space="preserve"> </v>
      </c>
      <c r="EI621" s="2178"/>
      <c r="EJ621" s="2178"/>
      <c r="EK621" s="2178"/>
      <c r="EL621" s="2173"/>
      <c r="EM621" s="2172" t="str">
        <f t="shared" si="19"/>
        <v xml:space="preserve"> </v>
      </c>
      <c r="EN621" s="2178"/>
      <c r="EO621" s="2178"/>
      <c r="EP621" s="2178"/>
      <c r="EQ621" s="2173"/>
      <c r="ER621" s="2172" t="str">
        <f t="shared" si="20"/>
        <v xml:space="preserve"> </v>
      </c>
      <c r="ES621" s="2178"/>
      <c r="ET621" s="2178"/>
      <c r="EU621" s="2178"/>
      <c r="EV621" s="2173"/>
      <c r="EW621" s="2172" t="str">
        <f t="shared" si="21"/>
        <v xml:space="preserve"> </v>
      </c>
      <c r="EX621" s="2178"/>
      <c r="EY621" s="2178"/>
      <c r="EZ621" s="2178"/>
      <c r="FA621" s="2173"/>
    </row>
    <row r="622" spans="1:157" ht="12.5">
      <c r="B622" s="12" t="s">
        <v>17</v>
      </c>
      <c r="G622" s="2038"/>
      <c r="H622" s="2038"/>
      <c r="I622" s="2038"/>
      <c r="J622" s="2038"/>
      <c r="K622" s="2038"/>
      <c r="L622" s="2038"/>
      <c r="M622" s="2038"/>
      <c r="N622" s="2038"/>
      <c r="O622" s="2038"/>
      <c r="P622" s="2038"/>
      <c r="Q622" s="2038"/>
      <c r="R622" s="2038"/>
      <c r="U622" s="12" t="s">
        <v>17</v>
      </c>
      <c r="Z622" s="2052"/>
      <c r="AA622" s="2052"/>
      <c r="AB622" s="2052"/>
      <c r="AC622" s="2052"/>
      <c r="AD622" s="2052"/>
      <c r="AE622" s="2052"/>
      <c r="AF622" s="2052"/>
      <c r="AG622" s="2052"/>
      <c r="AH622" s="2052"/>
      <c r="AI622" s="2052"/>
      <c r="AJ622" s="2052"/>
      <c r="AK622" s="2052"/>
      <c r="AZ622" s="58"/>
      <c r="BA622" s="58"/>
      <c r="BB622" s="58"/>
      <c r="BC622" s="58"/>
      <c r="BD622" s="58"/>
      <c r="BE622" s="2172">
        <f t="shared" si="0"/>
        <v>0</v>
      </c>
      <c r="BF622" s="2173"/>
      <c r="BG622" s="2007">
        <f t="shared" si="1"/>
        <v>0</v>
      </c>
      <c r="BH622" s="2009"/>
      <c r="BI622" s="2172">
        <f t="shared" si="2"/>
        <v>0</v>
      </c>
      <c r="BJ622" s="2173"/>
      <c r="BK622" s="2007">
        <f t="shared" si="3"/>
        <v>0</v>
      </c>
      <c r="BL622" s="2009"/>
      <c r="BM622" s="58"/>
      <c r="BN622" s="2014">
        <f t="shared" si="4"/>
        <v>0</v>
      </c>
      <c r="BO622" s="2015"/>
      <c r="BP622" s="2015"/>
      <c r="BQ622" s="2015"/>
      <c r="BR622" s="2016"/>
      <c r="BS622" s="2013">
        <f t="shared" si="5"/>
        <v>0</v>
      </c>
      <c r="BT622" s="2013"/>
      <c r="BU622" s="2013"/>
      <c r="BV622" s="2013"/>
      <c r="BW622" s="2013"/>
      <c r="BX622" s="2013">
        <f t="shared" si="6"/>
        <v>0</v>
      </c>
      <c r="BY622" s="2013"/>
      <c r="BZ622" s="2013"/>
      <c r="CA622" s="2013"/>
      <c r="CB622" s="2013"/>
      <c r="CC622" s="2013">
        <f t="shared" si="7"/>
        <v>0</v>
      </c>
      <c r="CD622" s="2013"/>
      <c r="CE622" s="2013"/>
      <c r="CF622" s="2013"/>
      <c r="CG622" s="2013"/>
      <c r="CH622" s="2013">
        <f t="shared" si="8"/>
        <v>0</v>
      </c>
      <c r="CI622" s="2013"/>
      <c r="CJ622" s="2013"/>
      <c r="CK622" s="2013"/>
      <c r="CL622" s="2013"/>
      <c r="CM622" s="2013">
        <f t="shared" si="9"/>
        <v>0</v>
      </c>
      <c r="CN622" s="2013"/>
      <c r="CO622" s="2013"/>
      <c r="CP622" s="2013"/>
      <c r="CQ622" s="2013"/>
      <c r="CR622" s="265"/>
      <c r="CS622" s="2369">
        <f t="shared" si="10"/>
        <v>0</v>
      </c>
      <c r="CT622" s="2369"/>
      <c r="CU622" s="2369"/>
      <c r="CV622" s="2369"/>
      <c r="CW622" s="2369"/>
      <c r="CX622" s="2369">
        <f t="shared" si="11"/>
        <v>0</v>
      </c>
      <c r="CY622" s="2369"/>
      <c r="CZ622" s="2369"/>
      <c r="DA622" s="2369"/>
      <c r="DB622" s="2369"/>
      <c r="DC622" s="2369">
        <f t="shared" si="12"/>
        <v>0</v>
      </c>
      <c r="DD622" s="2369"/>
      <c r="DE622" s="2369"/>
      <c r="DF622" s="2369"/>
      <c r="DG622" s="2369"/>
      <c r="DH622" s="2369">
        <f t="shared" si="13"/>
        <v>0</v>
      </c>
      <c r="DI622" s="2369"/>
      <c r="DJ622" s="2369"/>
      <c r="DK622" s="2369"/>
      <c r="DL622" s="2369"/>
      <c r="DM622" s="2369">
        <f t="shared" si="14"/>
        <v>0</v>
      </c>
      <c r="DN622" s="2369"/>
      <c r="DO622" s="2369"/>
      <c r="DP622" s="2369"/>
      <c r="DQ622" s="2369"/>
      <c r="DR622" s="2369">
        <f t="shared" si="15"/>
        <v>0</v>
      </c>
      <c r="DS622" s="2369"/>
      <c r="DT622" s="2369"/>
      <c r="DU622" s="2369"/>
      <c r="DV622" s="2369"/>
      <c r="DX622" s="2172" t="str">
        <f t="shared" si="16"/>
        <v xml:space="preserve"> </v>
      </c>
      <c r="DY622" s="2178"/>
      <c r="DZ622" s="2178"/>
      <c r="EA622" s="2178"/>
      <c r="EB622" s="2173"/>
      <c r="EC622" s="2172" t="str">
        <f t="shared" si="17"/>
        <v xml:space="preserve"> </v>
      </c>
      <c r="ED622" s="2178"/>
      <c r="EE622" s="2178"/>
      <c r="EF622" s="2178"/>
      <c r="EG622" s="2173"/>
      <c r="EH622" s="2172" t="str">
        <f t="shared" si="18"/>
        <v xml:space="preserve"> </v>
      </c>
      <c r="EI622" s="2178"/>
      <c r="EJ622" s="2178"/>
      <c r="EK622" s="2178"/>
      <c r="EL622" s="2173"/>
      <c r="EM622" s="2172" t="str">
        <f t="shared" si="19"/>
        <v xml:space="preserve"> </v>
      </c>
      <c r="EN622" s="2178"/>
      <c r="EO622" s="2178"/>
      <c r="EP622" s="2178"/>
      <c r="EQ622" s="2173"/>
      <c r="ER622" s="2172" t="str">
        <f t="shared" si="20"/>
        <v xml:space="preserve"> </v>
      </c>
      <c r="ES622" s="2178"/>
      <c r="ET622" s="2178"/>
      <c r="EU622" s="2178"/>
      <c r="EV622" s="2173"/>
      <c r="EW622" s="2172" t="str">
        <f t="shared" si="21"/>
        <v xml:space="preserve"> </v>
      </c>
      <c r="EX622" s="2178"/>
      <c r="EY622" s="2178"/>
      <c r="EZ622" s="2178"/>
      <c r="FA622" s="2173"/>
    </row>
    <row r="623" spans="1:157" ht="12.5">
      <c r="B623" s="12" t="s">
        <v>325</v>
      </c>
      <c r="G623" s="2092"/>
      <c r="H623" s="2092"/>
      <c r="I623" s="2092"/>
      <c r="J623" s="2092"/>
      <c r="K623" s="2092"/>
      <c r="L623" s="2092"/>
      <c r="O623" s="137" t="s">
        <v>212</v>
      </c>
      <c r="P623" s="2171"/>
      <c r="Q623" s="2171"/>
      <c r="R623" s="2171"/>
      <c r="U623" s="12" t="s">
        <v>325</v>
      </c>
      <c r="Z623" s="2092"/>
      <c r="AA623" s="2092"/>
      <c r="AB623" s="2092"/>
      <c r="AC623" s="2092"/>
      <c r="AD623" s="2092"/>
      <c r="AE623" s="2092"/>
      <c r="AH623" s="137" t="s">
        <v>212</v>
      </c>
      <c r="AI623" s="2171"/>
      <c r="AJ623" s="2171"/>
      <c r="AK623" s="2171"/>
      <c r="AZ623" s="58"/>
      <c r="BA623" s="58"/>
      <c r="BB623" s="58"/>
      <c r="BC623" s="58"/>
      <c r="BD623" s="58"/>
      <c r="BE623" s="2172">
        <f t="shared" si="0"/>
        <v>0</v>
      </c>
      <c r="BF623" s="2173"/>
      <c r="BG623" s="2007">
        <f t="shared" si="1"/>
        <v>0</v>
      </c>
      <c r="BH623" s="2009"/>
      <c r="BI623" s="2172">
        <f t="shared" si="2"/>
        <v>0</v>
      </c>
      <c r="BJ623" s="2173"/>
      <c r="BK623" s="2007">
        <f t="shared" si="3"/>
        <v>0</v>
      </c>
      <c r="BL623" s="2009"/>
      <c r="BM623" s="58"/>
      <c r="BN623" s="2014">
        <f t="shared" si="4"/>
        <v>0</v>
      </c>
      <c r="BO623" s="2015"/>
      <c r="BP623" s="2015"/>
      <c r="BQ623" s="2015"/>
      <c r="BR623" s="2016"/>
      <c r="BS623" s="2013">
        <f t="shared" si="5"/>
        <v>0</v>
      </c>
      <c r="BT623" s="2013"/>
      <c r="BU623" s="2013"/>
      <c r="BV623" s="2013"/>
      <c r="BW623" s="2013"/>
      <c r="BX623" s="2013">
        <f t="shared" si="6"/>
        <v>0</v>
      </c>
      <c r="BY623" s="2013"/>
      <c r="BZ623" s="2013"/>
      <c r="CA623" s="2013"/>
      <c r="CB623" s="2013"/>
      <c r="CC623" s="2013">
        <f t="shared" si="7"/>
        <v>0</v>
      </c>
      <c r="CD623" s="2013"/>
      <c r="CE623" s="2013"/>
      <c r="CF623" s="2013"/>
      <c r="CG623" s="2013"/>
      <c r="CH623" s="2013">
        <f t="shared" si="8"/>
        <v>0</v>
      </c>
      <c r="CI623" s="2013"/>
      <c r="CJ623" s="2013"/>
      <c r="CK623" s="2013"/>
      <c r="CL623" s="2013"/>
      <c r="CM623" s="2013">
        <f t="shared" si="9"/>
        <v>0</v>
      </c>
      <c r="CN623" s="2013"/>
      <c r="CO623" s="2013"/>
      <c r="CP623" s="2013"/>
      <c r="CQ623" s="2013"/>
      <c r="CR623" s="265"/>
      <c r="CS623" s="2369">
        <f t="shared" si="10"/>
        <v>0</v>
      </c>
      <c r="CT623" s="2369"/>
      <c r="CU623" s="2369"/>
      <c r="CV623" s="2369"/>
      <c r="CW623" s="2369"/>
      <c r="CX623" s="2369">
        <f t="shared" si="11"/>
        <v>0</v>
      </c>
      <c r="CY623" s="2369"/>
      <c r="CZ623" s="2369"/>
      <c r="DA623" s="2369"/>
      <c r="DB623" s="2369"/>
      <c r="DC623" s="2369">
        <f t="shared" si="12"/>
        <v>0</v>
      </c>
      <c r="DD623" s="2369"/>
      <c r="DE623" s="2369"/>
      <c r="DF623" s="2369"/>
      <c r="DG623" s="2369"/>
      <c r="DH623" s="2369">
        <f t="shared" si="13"/>
        <v>0</v>
      </c>
      <c r="DI623" s="2369"/>
      <c r="DJ623" s="2369"/>
      <c r="DK623" s="2369"/>
      <c r="DL623" s="2369"/>
      <c r="DM623" s="2369">
        <f t="shared" si="14"/>
        <v>0</v>
      </c>
      <c r="DN623" s="2369"/>
      <c r="DO623" s="2369"/>
      <c r="DP623" s="2369"/>
      <c r="DQ623" s="2369"/>
      <c r="DR623" s="2369">
        <f t="shared" si="15"/>
        <v>0</v>
      </c>
      <c r="DS623" s="2369"/>
      <c r="DT623" s="2369"/>
      <c r="DU623" s="2369"/>
      <c r="DV623" s="2369"/>
      <c r="DX623" s="2172" t="str">
        <f t="shared" si="16"/>
        <v xml:space="preserve"> </v>
      </c>
      <c r="DY623" s="2178"/>
      <c r="DZ623" s="2178"/>
      <c r="EA623" s="2178"/>
      <c r="EB623" s="2173"/>
      <c r="EC623" s="2172" t="str">
        <f t="shared" si="17"/>
        <v xml:space="preserve"> </v>
      </c>
      <c r="ED623" s="2178"/>
      <c r="EE623" s="2178"/>
      <c r="EF623" s="2178"/>
      <c r="EG623" s="2173"/>
      <c r="EH623" s="2172" t="str">
        <f t="shared" si="18"/>
        <v xml:space="preserve"> </v>
      </c>
      <c r="EI623" s="2178"/>
      <c r="EJ623" s="2178"/>
      <c r="EK623" s="2178"/>
      <c r="EL623" s="2173"/>
      <c r="EM623" s="2172" t="str">
        <f t="shared" si="19"/>
        <v xml:space="preserve"> </v>
      </c>
      <c r="EN623" s="2178"/>
      <c r="EO623" s="2178"/>
      <c r="EP623" s="2178"/>
      <c r="EQ623" s="2173"/>
      <c r="ER623" s="2172" t="str">
        <f t="shared" si="20"/>
        <v xml:space="preserve"> </v>
      </c>
      <c r="ES623" s="2178"/>
      <c r="ET623" s="2178"/>
      <c r="EU623" s="2178"/>
      <c r="EV623" s="2173"/>
      <c r="EW623" s="2172" t="str">
        <f t="shared" si="21"/>
        <v xml:space="preserve"> </v>
      </c>
      <c r="EX623" s="2178"/>
      <c r="EY623" s="2178"/>
      <c r="EZ623" s="2178"/>
      <c r="FA623" s="2173"/>
    </row>
    <row r="624" spans="1:157" ht="12.5">
      <c r="B624" s="12" t="s">
        <v>18</v>
      </c>
      <c r="H624" s="2038"/>
      <c r="I624" s="2038"/>
      <c r="J624" s="2038"/>
      <c r="K624" s="2038"/>
      <c r="L624" s="2038"/>
      <c r="M624" s="2038"/>
      <c r="N624" s="2038"/>
      <c r="O624" s="2038"/>
      <c r="P624" s="2038"/>
      <c r="Q624" s="2038"/>
      <c r="R624" s="2038"/>
      <c r="U624" s="12" t="s">
        <v>18</v>
      </c>
      <c r="AA624" s="2038"/>
      <c r="AB624" s="2038"/>
      <c r="AC624" s="2038"/>
      <c r="AD624" s="2038"/>
      <c r="AE624" s="2038"/>
      <c r="AF624" s="2038"/>
      <c r="AG624" s="2038"/>
      <c r="AH624" s="2038"/>
      <c r="AI624" s="2038"/>
      <c r="AJ624" s="2038"/>
      <c r="AK624" s="2038"/>
      <c r="AZ624" s="58"/>
      <c r="BA624" s="58"/>
      <c r="BB624" s="58"/>
      <c r="BC624" s="58"/>
      <c r="BD624" s="58"/>
      <c r="BE624" s="2172">
        <f t="shared" si="0"/>
        <v>0</v>
      </c>
      <c r="BF624" s="2173"/>
      <c r="BG624" s="2007">
        <f t="shared" si="1"/>
        <v>0</v>
      </c>
      <c r="BH624" s="2009"/>
      <c r="BI624" s="2172">
        <f t="shared" si="2"/>
        <v>0</v>
      </c>
      <c r="BJ624" s="2173"/>
      <c r="BK624" s="2007">
        <f t="shared" si="3"/>
        <v>0</v>
      </c>
      <c r="BL624" s="2009"/>
      <c r="BM624" s="58"/>
      <c r="BN624" s="2014">
        <f t="shared" si="4"/>
        <v>0</v>
      </c>
      <c r="BO624" s="2015"/>
      <c r="BP624" s="2015"/>
      <c r="BQ624" s="2015"/>
      <c r="BR624" s="2016"/>
      <c r="BS624" s="2013">
        <f t="shared" si="5"/>
        <v>0</v>
      </c>
      <c r="BT624" s="2013"/>
      <c r="BU624" s="2013"/>
      <c r="BV624" s="2013"/>
      <c r="BW624" s="2013"/>
      <c r="BX624" s="2013">
        <f t="shared" si="6"/>
        <v>0</v>
      </c>
      <c r="BY624" s="2013"/>
      <c r="BZ624" s="2013"/>
      <c r="CA624" s="2013"/>
      <c r="CB624" s="2013"/>
      <c r="CC624" s="2013">
        <f t="shared" si="7"/>
        <v>0</v>
      </c>
      <c r="CD624" s="2013"/>
      <c r="CE624" s="2013"/>
      <c r="CF624" s="2013"/>
      <c r="CG624" s="2013"/>
      <c r="CH624" s="2013">
        <f t="shared" si="8"/>
        <v>0</v>
      </c>
      <c r="CI624" s="2013"/>
      <c r="CJ624" s="2013"/>
      <c r="CK624" s="2013"/>
      <c r="CL624" s="2013"/>
      <c r="CM624" s="2013">
        <f t="shared" si="9"/>
        <v>0</v>
      </c>
      <c r="CN624" s="2013"/>
      <c r="CO624" s="2013"/>
      <c r="CP624" s="2013"/>
      <c r="CQ624" s="2013"/>
      <c r="CR624" s="265"/>
      <c r="CS624" s="2369">
        <f t="shared" si="10"/>
        <v>0</v>
      </c>
      <c r="CT624" s="2369"/>
      <c r="CU624" s="2369"/>
      <c r="CV624" s="2369"/>
      <c r="CW624" s="2369"/>
      <c r="CX624" s="2369">
        <f t="shared" si="11"/>
        <v>0</v>
      </c>
      <c r="CY624" s="2369"/>
      <c r="CZ624" s="2369"/>
      <c r="DA624" s="2369"/>
      <c r="DB624" s="2369"/>
      <c r="DC624" s="2369">
        <f t="shared" si="12"/>
        <v>0</v>
      </c>
      <c r="DD624" s="2369"/>
      <c r="DE624" s="2369"/>
      <c r="DF624" s="2369"/>
      <c r="DG624" s="2369"/>
      <c r="DH624" s="2369">
        <f t="shared" si="13"/>
        <v>0</v>
      </c>
      <c r="DI624" s="2369"/>
      <c r="DJ624" s="2369"/>
      <c r="DK624" s="2369"/>
      <c r="DL624" s="2369"/>
      <c r="DM624" s="2369">
        <f t="shared" si="14"/>
        <v>0</v>
      </c>
      <c r="DN624" s="2369"/>
      <c r="DO624" s="2369"/>
      <c r="DP624" s="2369"/>
      <c r="DQ624" s="2369"/>
      <c r="DR624" s="2369">
        <f t="shared" si="15"/>
        <v>0</v>
      </c>
      <c r="DS624" s="2369"/>
      <c r="DT624" s="2369"/>
      <c r="DU624" s="2369"/>
      <c r="DV624" s="2369"/>
      <c r="DX624" s="2172" t="str">
        <f t="shared" si="16"/>
        <v xml:space="preserve"> </v>
      </c>
      <c r="DY624" s="2178"/>
      <c r="DZ624" s="2178"/>
      <c r="EA624" s="2178"/>
      <c r="EB624" s="2173"/>
      <c r="EC624" s="2172" t="str">
        <f t="shared" si="17"/>
        <v xml:space="preserve"> </v>
      </c>
      <c r="ED624" s="2178"/>
      <c r="EE624" s="2178"/>
      <c r="EF624" s="2178"/>
      <c r="EG624" s="2173"/>
      <c r="EH624" s="2172" t="str">
        <f t="shared" si="18"/>
        <v xml:space="preserve"> </v>
      </c>
      <c r="EI624" s="2178"/>
      <c r="EJ624" s="2178"/>
      <c r="EK624" s="2178"/>
      <c r="EL624" s="2173"/>
      <c r="EM624" s="2172" t="str">
        <f t="shared" si="19"/>
        <v xml:space="preserve"> </v>
      </c>
      <c r="EN624" s="2178"/>
      <c r="EO624" s="2178"/>
      <c r="EP624" s="2178"/>
      <c r="EQ624" s="2173"/>
      <c r="ER624" s="2172" t="str">
        <f t="shared" si="20"/>
        <v xml:space="preserve"> </v>
      </c>
      <c r="ES624" s="2178"/>
      <c r="ET624" s="2178"/>
      <c r="EU624" s="2178"/>
      <c r="EV624" s="2173"/>
      <c r="EW624" s="2172" t="str">
        <f t="shared" si="21"/>
        <v xml:space="preserve"> </v>
      </c>
      <c r="EX624" s="2178"/>
      <c r="EY624" s="2178"/>
      <c r="EZ624" s="2178"/>
      <c r="FA624" s="2173"/>
    </row>
    <row r="625" spans="1:157" ht="12.5">
      <c r="B625" s="12" t="s">
        <v>20</v>
      </c>
      <c r="N625" s="2037" t="s">
        <v>705</v>
      </c>
      <c r="O625" s="2037"/>
      <c r="U625" s="12" t="s">
        <v>20</v>
      </c>
      <c r="AG625" s="2037" t="s">
        <v>705</v>
      </c>
      <c r="AH625" s="2037"/>
      <c r="AZ625" s="58"/>
      <c r="BA625" s="58"/>
      <c r="BB625" s="58"/>
      <c r="BC625" s="58"/>
      <c r="BD625" s="58"/>
      <c r="BE625" s="2172">
        <f t="shared" si="0"/>
        <v>0</v>
      </c>
      <c r="BF625" s="2173"/>
      <c r="BG625" s="2007">
        <f t="shared" si="1"/>
        <v>0</v>
      </c>
      <c r="BH625" s="2009"/>
      <c r="BI625" s="2172">
        <f t="shared" si="2"/>
        <v>0</v>
      </c>
      <c r="BJ625" s="2173"/>
      <c r="BK625" s="2007">
        <f t="shared" si="3"/>
        <v>0</v>
      </c>
      <c r="BL625" s="2009"/>
      <c r="BM625" s="58"/>
      <c r="BN625" s="2014">
        <f t="shared" si="4"/>
        <v>0</v>
      </c>
      <c r="BO625" s="2015"/>
      <c r="BP625" s="2015"/>
      <c r="BQ625" s="2015"/>
      <c r="BR625" s="2016"/>
      <c r="BS625" s="2013">
        <f t="shared" si="5"/>
        <v>0</v>
      </c>
      <c r="BT625" s="2013"/>
      <c r="BU625" s="2013"/>
      <c r="BV625" s="2013"/>
      <c r="BW625" s="2013"/>
      <c r="BX625" s="2013">
        <f t="shared" si="6"/>
        <v>0</v>
      </c>
      <c r="BY625" s="2013"/>
      <c r="BZ625" s="2013"/>
      <c r="CA625" s="2013"/>
      <c r="CB625" s="2013"/>
      <c r="CC625" s="2013">
        <f t="shared" si="7"/>
        <v>0</v>
      </c>
      <c r="CD625" s="2013"/>
      <c r="CE625" s="2013"/>
      <c r="CF625" s="2013"/>
      <c r="CG625" s="2013"/>
      <c r="CH625" s="2013">
        <f t="shared" si="8"/>
        <v>0</v>
      </c>
      <c r="CI625" s="2013"/>
      <c r="CJ625" s="2013"/>
      <c r="CK625" s="2013"/>
      <c r="CL625" s="2013"/>
      <c r="CM625" s="2013">
        <f t="shared" si="9"/>
        <v>0</v>
      </c>
      <c r="CN625" s="2013"/>
      <c r="CO625" s="2013"/>
      <c r="CP625" s="2013"/>
      <c r="CQ625" s="2013"/>
      <c r="CR625" s="265"/>
      <c r="CS625" s="2369">
        <f t="shared" si="10"/>
        <v>0</v>
      </c>
      <c r="CT625" s="2369"/>
      <c r="CU625" s="2369"/>
      <c r="CV625" s="2369"/>
      <c r="CW625" s="2369"/>
      <c r="CX625" s="2369">
        <f t="shared" si="11"/>
        <v>0</v>
      </c>
      <c r="CY625" s="2369"/>
      <c r="CZ625" s="2369"/>
      <c r="DA625" s="2369"/>
      <c r="DB625" s="2369"/>
      <c r="DC625" s="2369">
        <f t="shared" si="12"/>
        <v>0</v>
      </c>
      <c r="DD625" s="2369"/>
      <c r="DE625" s="2369"/>
      <c r="DF625" s="2369"/>
      <c r="DG625" s="2369"/>
      <c r="DH625" s="2369">
        <f t="shared" si="13"/>
        <v>0</v>
      </c>
      <c r="DI625" s="2369"/>
      <c r="DJ625" s="2369"/>
      <c r="DK625" s="2369"/>
      <c r="DL625" s="2369"/>
      <c r="DM625" s="2369">
        <f t="shared" si="14"/>
        <v>0</v>
      </c>
      <c r="DN625" s="2369"/>
      <c r="DO625" s="2369"/>
      <c r="DP625" s="2369"/>
      <c r="DQ625" s="2369"/>
      <c r="DR625" s="2369">
        <f t="shared" si="15"/>
        <v>0</v>
      </c>
      <c r="DS625" s="2369"/>
      <c r="DT625" s="2369"/>
      <c r="DU625" s="2369"/>
      <c r="DV625" s="2369"/>
      <c r="DX625" s="2172" t="str">
        <f t="shared" si="16"/>
        <v xml:space="preserve"> </v>
      </c>
      <c r="DY625" s="2178"/>
      <c r="DZ625" s="2178"/>
      <c r="EA625" s="2178"/>
      <c r="EB625" s="2173"/>
      <c r="EC625" s="2172" t="str">
        <f t="shared" si="17"/>
        <v xml:space="preserve"> </v>
      </c>
      <c r="ED625" s="2178"/>
      <c r="EE625" s="2178"/>
      <c r="EF625" s="2178"/>
      <c r="EG625" s="2173"/>
      <c r="EH625" s="2172" t="str">
        <f t="shared" si="18"/>
        <v xml:space="preserve"> </v>
      </c>
      <c r="EI625" s="2178"/>
      <c r="EJ625" s="2178"/>
      <c r="EK625" s="2178"/>
      <c r="EL625" s="2173"/>
      <c r="EM625" s="2172" t="str">
        <f t="shared" si="19"/>
        <v xml:space="preserve"> </v>
      </c>
      <c r="EN625" s="2178"/>
      <c r="EO625" s="2178"/>
      <c r="EP625" s="2178"/>
      <c r="EQ625" s="2173"/>
      <c r="ER625" s="2172" t="str">
        <f t="shared" si="20"/>
        <v xml:space="preserve"> </v>
      </c>
      <c r="ES625" s="2178"/>
      <c r="ET625" s="2178"/>
      <c r="EU625" s="2178"/>
      <c r="EV625" s="2173"/>
      <c r="EW625" s="2172" t="str">
        <f t="shared" si="21"/>
        <v xml:space="preserve"> </v>
      </c>
      <c r="EX625" s="2178"/>
      <c r="EY625" s="2178"/>
      <c r="EZ625" s="2178"/>
      <c r="FA625" s="2173"/>
    </row>
    <row r="626" spans="1:157" ht="12.5">
      <c r="AZ626" s="58"/>
      <c r="BA626" s="58"/>
      <c r="BB626" s="58"/>
      <c r="BC626" s="58"/>
      <c r="BD626" s="58"/>
      <c r="BE626" s="2172">
        <f t="shared" si="0"/>
        <v>0</v>
      </c>
      <c r="BF626" s="2173"/>
      <c r="BG626" s="2007">
        <f t="shared" si="1"/>
        <v>0</v>
      </c>
      <c r="BH626" s="2009"/>
      <c r="BI626" s="2172">
        <f t="shared" si="2"/>
        <v>0</v>
      </c>
      <c r="BJ626" s="2173"/>
      <c r="BK626" s="2007">
        <f t="shared" si="3"/>
        <v>0</v>
      </c>
      <c r="BL626" s="2009"/>
      <c r="BM626" s="58"/>
      <c r="BN626" s="2014">
        <f t="shared" si="4"/>
        <v>0</v>
      </c>
      <c r="BO626" s="2015"/>
      <c r="BP626" s="2015"/>
      <c r="BQ626" s="2015"/>
      <c r="BR626" s="2016"/>
      <c r="BS626" s="2013">
        <f t="shared" si="5"/>
        <v>0</v>
      </c>
      <c r="BT626" s="2013"/>
      <c r="BU626" s="2013"/>
      <c r="BV626" s="2013"/>
      <c r="BW626" s="2013"/>
      <c r="BX626" s="2013">
        <f t="shared" si="6"/>
        <v>0</v>
      </c>
      <c r="BY626" s="2013"/>
      <c r="BZ626" s="2013"/>
      <c r="CA626" s="2013"/>
      <c r="CB626" s="2013"/>
      <c r="CC626" s="2013">
        <f t="shared" si="7"/>
        <v>0</v>
      </c>
      <c r="CD626" s="2013"/>
      <c r="CE626" s="2013"/>
      <c r="CF626" s="2013"/>
      <c r="CG626" s="2013"/>
      <c r="CH626" s="2013">
        <f t="shared" si="8"/>
        <v>0</v>
      </c>
      <c r="CI626" s="2013"/>
      <c r="CJ626" s="2013"/>
      <c r="CK626" s="2013"/>
      <c r="CL626" s="2013"/>
      <c r="CM626" s="2013">
        <f t="shared" si="9"/>
        <v>0</v>
      </c>
      <c r="CN626" s="2013"/>
      <c r="CO626" s="2013"/>
      <c r="CP626" s="2013"/>
      <c r="CQ626" s="2013"/>
      <c r="CR626" s="265"/>
      <c r="CS626" s="2369">
        <f t="shared" si="10"/>
        <v>0</v>
      </c>
      <c r="CT626" s="2369"/>
      <c r="CU626" s="2369"/>
      <c r="CV626" s="2369"/>
      <c r="CW626" s="2369"/>
      <c r="CX626" s="2369">
        <f t="shared" si="11"/>
        <v>0</v>
      </c>
      <c r="CY626" s="2369"/>
      <c r="CZ626" s="2369"/>
      <c r="DA626" s="2369"/>
      <c r="DB626" s="2369"/>
      <c r="DC626" s="2369">
        <f t="shared" si="12"/>
        <v>0</v>
      </c>
      <c r="DD626" s="2369"/>
      <c r="DE626" s="2369"/>
      <c r="DF626" s="2369"/>
      <c r="DG626" s="2369"/>
      <c r="DH626" s="2369">
        <f t="shared" si="13"/>
        <v>0</v>
      </c>
      <c r="DI626" s="2369"/>
      <c r="DJ626" s="2369"/>
      <c r="DK626" s="2369"/>
      <c r="DL626" s="2369"/>
      <c r="DM626" s="2369">
        <f t="shared" si="14"/>
        <v>0</v>
      </c>
      <c r="DN626" s="2369"/>
      <c r="DO626" s="2369"/>
      <c r="DP626" s="2369"/>
      <c r="DQ626" s="2369"/>
      <c r="DR626" s="2369">
        <f t="shared" si="15"/>
        <v>0</v>
      </c>
      <c r="DS626" s="2369"/>
      <c r="DT626" s="2369"/>
      <c r="DU626" s="2369"/>
      <c r="DV626" s="2369"/>
      <c r="DX626" s="2172" t="str">
        <f t="shared" si="16"/>
        <v xml:space="preserve"> </v>
      </c>
      <c r="DY626" s="2178"/>
      <c r="DZ626" s="2178"/>
      <c r="EA626" s="2178"/>
      <c r="EB626" s="2173"/>
      <c r="EC626" s="2172" t="str">
        <f t="shared" si="17"/>
        <v xml:space="preserve"> </v>
      </c>
      <c r="ED626" s="2178"/>
      <c r="EE626" s="2178"/>
      <c r="EF626" s="2178"/>
      <c r="EG626" s="2173"/>
      <c r="EH626" s="2172" t="str">
        <f t="shared" si="18"/>
        <v xml:space="preserve"> </v>
      </c>
      <c r="EI626" s="2178"/>
      <c r="EJ626" s="2178"/>
      <c r="EK626" s="2178"/>
      <c r="EL626" s="2173"/>
      <c r="EM626" s="2172" t="str">
        <f t="shared" si="19"/>
        <v xml:space="preserve"> </v>
      </c>
      <c r="EN626" s="2178"/>
      <c r="EO626" s="2178"/>
      <c r="EP626" s="2178"/>
      <c r="EQ626" s="2173"/>
      <c r="ER626" s="2172" t="str">
        <f t="shared" si="20"/>
        <v xml:space="preserve"> </v>
      </c>
      <c r="ES626" s="2178"/>
      <c r="ET626" s="2178"/>
      <c r="EU626" s="2178"/>
      <c r="EV626" s="2173"/>
      <c r="EW626" s="2172" t="str">
        <f t="shared" si="21"/>
        <v xml:space="preserve"> </v>
      </c>
      <c r="EX626" s="2178"/>
      <c r="EY626" s="2178"/>
      <c r="EZ626" s="2178"/>
      <c r="FA626" s="2173"/>
    </row>
    <row r="627" spans="1:157" ht="12.75" customHeight="1">
      <c r="A627" s="1870" t="s">
        <v>576</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2"/>
      <c r="AU627" s="1572"/>
      <c r="AV627" s="1572"/>
      <c r="AW627" s="1572"/>
      <c r="AX627" s="1572"/>
      <c r="AY627" s="1572"/>
      <c r="AZ627" s="58"/>
      <c r="BA627" s="58"/>
      <c r="BB627" s="58"/>
      <c r="BC627" s="58"/>
      <c r="BD627" s="58"/>
      <c r="BE627" s="2172">
        <f t="shared" si="0"/>
        <v>0</v>
      </c>
      <c r="BF627" s="2173"/>
      <c r="BG627" s="2007">
        <f t="shared" si="1"/>
        <v>0</v>
      </c>
      <c r="BH627" s="2009"/>
      <c r="BI627" s="2172">
        <f t="shared" si="2"/>
        <v>0</v>
      </c>
      <c r="BJ627" s="2173"/>
      <c r="BK627" s="2007">
        <f t="shared" si="3"/>
        <v>0</v>
      </c>
      <c r="BL627" s="2009"/>
      <c r="BM627" s="58"/>
      <c r="BN627" s="2014">
        <f t="shared" si="4"/>
        <v>0</v>
      </c>
      <c r="BO627" s="2015"/>
      <c r="BP627" s="2015"/>
      <c r="BQ627" s="2015"/>
      <c r="BR627" s="2016"/>
      <c r="BS627" s="2013">
        <f t="shared" si="5"/>
        <v>0</v>
      </c>
      <c r="BT627" s="2013"/>
      <c r="BU627" s="2013"/>
      <c r="BV627" s="2013"/>
      <c r="BW627" s="2013"/>
      <c r="BX627" s="2013">
        <f t="shared" si="6"/>
        <v>0</v>
      </c>
      <c r="BY627" s="2013"/>
      <c r="BZ627" s="2013"/>
      <c r="CA627" s="2013"/>
      <c r="CB627" s="2013"/>
      <c r="CC627" s="2013">
        <f t="shared" si="7"/>
        <v>0</v>
      </c>
      <c r="CD627" s="2013"/>
      <c r="CE627" s="2013"/>
      <c r="CF627" s="2013"/>
      <c r="CG627" s="2013"/>
      <c r="CH627" s="2013">
        <f t="shared" si="8"/>
        <v>0</v>
      </c>
      <c r="CI627" s="2013"/>
      <c r="CJ627" s="2013"/>
      <c r="CK627" s="2013"/>
      <c r="CL627" s="2013"/>
      <c r="CM627" s="2013">
        <f t="shared" si="9"/>
        <v>0</v>
      </c>
      <c r="CN627" s="2013"/>
      <c r="CO627" s="2013"/>
      <c r="CP627" s="2013"/>
      <c r="CQ627" s="2013"/>
      <c r="CR627" s="265"/>
      <c r="CS627" s="2369">
        <f t="shared" si="10"/>
        <v>0</v>
      </c>
      <c r="CT627" s="2369"/>
      <c r="CU627" s="2369"/>
      <c r="CV627" s="2369"/>
      <c r="CW627" s="2369"/>
      <c r="CX627" s="2369">
        <f t="shared" si="11"/>
        <v>0</v>
      </c>
      <c r="CY627" s="2369"/>
      <c r="CZ627" s="2369"/>
      <c r="DA627" s="2369"/>
      <c r="DB627" s="2369"/>
      <c r="DC627" s="2369">
        <f t="shared" si="12"/>
        <v>0</v>
      </c>
      <c r="DD627" s="2369"/>
      <c r="DE627" s="2369"/>
      <c r="DF627" s="2369"/>
      <c r="DG627" s="2369"/>
      <c r="DH627" s="2369">
        <f t="shared" si="13"/>
        <v>0</v>
      </c>
      <c r="DI627" s="2369"/>
      <c r="DJ627" s="2369"/>
      <c r="DK627" s="2369"/>
      <c r="DL627" s="2369"/>
      <c r="DM627" s="2369">
        <f t="shared" si="14"/>
        <v>0</v>
      </c>
      <c r="DN627" s="2369"/>
      <c r="DO627" s="2369"/>
      <c r="DP627" s="2369"/>
      <c r="DQ627" s="2369"/>
      <c r="DR627" s="2369">
        <f t="shared" si="15"/>
        <v>0</v>
      </c>
      <c r="DS627" s="2369"/>
      <c r="DT627" s="2369"/>
      <c r="DU627" s="2369"/>
      <c r="DV627" s="2369"/>
      <c r="DX627" s="2172" t="str">
        <f t="shared" si="16"/>
        <v xml:space="preserve"> </v>
      </c>
      <c r="DY627" s="2178"/>
      <c r="DZ627" s="2178"/>
      <c r="EA627" s="2178"/>
      <c r="EB627" s="2173"/>
      <c r="EC627" s="2172" t="str">
        <f t="shared" si="17"/>
        <v xml:space="preserve"> </v>
      </c>
      <c r="ED627" s="2178"/>
      <c r="EE627" s="2178"/>
      <c r="EF627" s="2178"/>
      <c r="EG627" s="2173"/>
      <c r="EH627" s="2172" t="str">
        <f t="shared" si="18"/>
        <v xml:space="preserve"> </v>
      </c>
      <c r="EI627" s="2178"/>
      <c r="EJ627" s="2178"/>
      <c r="EK627" s="2178"/>
      <c r="EL627" s="2173"/>
      <c r="EM627" s="2172" t="str">
        <f t="shared" si="19"/>
        <v xml:space="preserve"> </v>
      </c>
      <c r="EN627" s="2178"/>
      <c r="EO627" s="2178"/>
      <c r="EP627" s="2178"/>
      <c r="EQ627" s="2173"/>
      <c r="ER627" s="2172" t="str">
        <f t="shared" si="20"/>
        <v xml:space="preserve"> </v>
      </c>
      <c r="ES627" s="2178"/>
      <c r="ET627" s="2178"/>
      <c r="EU627" s="2178"/>
      <c r="EV627" s="2173"/>
      <c r="EW627" s="2172" t="str">
        <f t="shared" si="21"/>
        <v xml:space="preserve"> </v>
      </c>
      <c r="EX627" s="2178"/>
      <c r="EY627" s="2178"/>
      <c r="EZ627" s="2178"/>
      <c r="FA627" s="2173"/>
    </row>
    <row r="628" spans="1:157" ht="13">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2"/>
      <c r="AU628" s="1572"/>
      <c r="AV628" s="1572"/>
      <c r="AW628" s="1572"/>
      <c r="AX628" s="1572"/>
      <c r="AY628" s="1572"/>
      <c r="AZ628" s="58"/>
      <c r="BA628" s="58"/>
      <c r="BB628" s="58"/>
      <c r="BC628" s="58"/>
      <c r="BD628" s="58"/>
      <c r="BE628" s="2172">
        <f t="shared" si="0"/>
        <v>0</v>
      </c>
      <c r="BF628" s="2173"/>
      <c r="BG628" s="2007">
        <f t="shared" si="1"/>
        <v>0</v>
      </c>
      <c r="BH628" s="2009"/>
      <c r="BI628" s="2172">
        <f t="shared" si="2"/>
        <v>0</v>
      </c>
      <c r="BJ628" s="2173"/>
      <c r="BK628" s="2007">
        <f t="shared" si="3"/>
        <v>0</v>
      </c>
      <c r="BL628" s="2009"/>
      <c r="BM628" s="58"/>
      <c r="BN628" s="2014">
        <f t="shared" si="4"/>
        <v>0</v>
      </c>
      <c r="BO628" s="2015"/>
      <c r="BP628" s="2015"/>
      <c r="BQ628" s="2015"/>
      <c r="BR628" s="2016"/>
      <c r="BS628" s="2013">
        <f t="shared" si="5"/>
        <v>0</v>
      </c>
      <c r="BT628" s="2013"/>
      <c r="BU628" s="2013"/>
      <c r="BV628" s="2013"/>
      <c r="BW628" s="2013"/>
      <c r="BX628" s="2013">
        <f t="shared" si="6"/>
        <v>0</v>
      </c>
      <c r="BY628" s="2013"/>
      <c r="BZ628" s="2013"/>
      <c r="CA628" s="2013"/>
      <c r="CB628" s="2013"/>
      <c r="CC628" s="2013">
        <f t="shared" si="7"/>
        <v>0</v>
      </c>
      <c r="CD628" s="2013"/>
      <c r="CE628" s="2013"/>
      <c r="CF628" s="2013"/>
      <c r="CG628" s="2013"/>
      <c r="CH628" s="2013">
        <f t="shared" si="8"/>
        <v>0</v>
      </c>
      <c r="CI628" s="2013"/>
      <c r="CJ628" s="2013"/>
      <c r="CK628" s="2013"/>
      <c r="CL628" s="2013"/>
      <c r="CM628" s="2013">
        <f t="shared" si="9"/>
        <v>0</v>
      </c>
      <c r="CN628" s="2013"/>
      <c r="CO628" s="2013"/>
      <c r="CP628" s="2013"/>
      <c r="CQ628" s="2013"/>
      <c r="CR628" s="265"/>
      <c r="CS628" s="2369">
        <f t="shared" si="10"/>
        <v>0</v>
      </c>
      <c r="CT628" s="2369"/>
      <c r="CU628" s="2369"/>
      <c r="CV628" s="2369"/>
      <c r="CW628" s="2369"/>
      <c r="CX628" s="2369">
        <f t="shared" si="11"/>
        <v>0</v>
      </c>
      <c r="CY628" s="2369"/>
      <c r="CZ628" s="2369"/>
      <c r="DA628" s="2369"/>
      <c r="DB628" s="2369"/>
      <c r="DC628" s="2369">
        <f t="shared" si="12"/>
        <v>0</v>
      </c>
      <c r="DD628" s="2369"/>
      <c r="DE628" s="2369"/>
      <c r="DF628" s="2369"/>
      <c r="DG628" s="2369"/>
      <c r="DH628" s="2369">
        <f t="shared" si="13"/>
        <v>0</v>
      </c>
      <c r="DI628" s="2369"/>
      <c r="DJ628" s="2369"/>
      <c r="DK628" s="2369"/>
      <c r="DL628" s="2369"/>
      <c r="DM628" s="2369">
        <f t="shared" si="14"/>
        <v>0</v>
      </c>
      <c r="DN628" s="2369"/>
      <c r="DO628" s="2369"/>
      <c r="DP628" s="2369"/>
      <c r="DQ628" s="2369"/>
      <c r="DR628" s="2369">
        <f t="shared" si="15"/>
        <v>0</v>
      </c>
      <c r="DS628" s="2369"/>
      <c r="DT628" s="2369"/>
      <c r="DU628" s="2369"/>
      <c r="DV628" s="2369"/>
      <c r="DX628" s="2172" t="str">
        <f t="shared" si="16"/>
        <v xml:space="preserve"> </v>
      </c>
      <c r="DY628" s="2178"/>
      <c r="DZ628" s="2178"/>
      <c r="EA628" s="2178"/>
      <c r="EB628" s="2173"/>
      <c r="EC628" s="2172" t="str">
        <f t="shared" si="17"/>
        <v xml:space="preserve"> </v>
      </c>
      <c r="ED628" s="2178"/>
      <c r="EE628" s="2178"/>
      <c r="EF628" s="2178"/>
      <c r="EG628" s="2173"/>
      <c r="EH628" s="2172" t="str">
        <f t="shared" si="18"/>
        <v xml:space="preserve"> </v>
      </c>
      <c r="EI628" s="2178"/>
      <c r="EJ628" s="2178"/>
      <c r="EK628" s="2178"/>
      <c r="EL628" s="2173"/>
      <c r="EM628" s="2172" t="str">
        <f t="shared" si="19"/>
        <v xml:space="preserve"> </v>
      </c>
      <c r="EN628" s="2178"/>
      <c r="EO628" s="2178"/>
      <c r="EP628" s="2178"/>
      <c r="EQ628" s="2173"/>
      <c r="ER628" s="2172" t="str">
        <f t="shared" si="20"/>
        <v xml:space="preserve"> </v>
      </c>
      <c r="ES628" s="2178"/>
      <c r="ET628" s="2178"/>
      <c r="EU628" s="2178"/>
      <c r="EV628" s="2173"/>
      <c r="EW628" s="2172" t="str">
        <f t="shared" si="21"/>
        <v xml:space="preserve"> </v>
      </c>
      <c r="EX628" s="2178"/>
      <c r="EY628" s="2178"/>
      <c r="EZ628" s="2178"/>
      <c r="FA628" s="2173"/>
    </row>
    <row r="629" spans="1:157" ht="12.5">
      <c r="A629" s="25"/>
      <c r="B629" s="25"/>
      <c r="C629" s="25"/>
      <c r="D629" s="25"/>
      <c r="E629" s="25"/>
      <c r="F629" s="25"/>
      <c r="G629" s="3"/>
      <c r="H629" s="25"/>
      <c r="AZ629" s="58"/>
      <c r="BA629" s="58"/>
      <c r="BB629" s="58"/>
      <c r="BC629" s="58"/>
      <c r="BD629" s="58"/>
      <c r="BE629" s="2172">
        <f t="shared" si="0"/>
        <v>0</v>
      </c>
      <c r="BF629" s="2173"/>
      <c r="BG629" s="2007">
        <f t="shared" si="1"/>
        <v>0</v>
      </c>
      <c r="BH629" s="2009"/>
      <c r="BI629" s="2172">
        <f t="shared" si="2"/>
        <v>0</v>
      </c>
      <c r="BJ629" s="2173"/>
      <c r="BK629" s="2007">
        <f t="shared" si="3"/>
        <v>0</v>
      </c>
      <c r="BL629" s="2009"/>
      <c r="BM629" s="58"/>
      <c r="BN629" s="2014">
        <f t="shared" si="4"/>
        <v>0</v>
      </c>
      <c r="BO629" s="2015"/>
      <c r="BP629" s="2015"/>
      <c r="BQ629" s="2015"/>
      <c r="BR629" s="2016"/>
      <c r="BS629" s="2013">
        <f t="shared" si="5"/>
        <v>0</v>
      </c>
      <c r="BT629" s="2013"/>
      <c r="BU629" s="2013"/>
      <c r="BV629" s="2013"/>
      <c r="BW629" s="2013"/>
      <c r="BX629" s="2013">
        <f t="shared" si="6"/>
        <v>0</v>
      </c>
      <c r="BY629" s="2013"/>
      <c r="BZ629" s="2013"/>
      <c r="CA629" s="2013"/>
      <c r="CB629" s="2013"/>
      <c r="CC629" s="2013">
        <f t="shared" si="7"/>
        <v>0</v>
      </c>
      <c r="CD629" s="2013"/>
      <c r="CE629" s="2013"/>
      <c r="CF629" s="2013"/>
      <c r="CG629" s="2013"/>
      <c r="CH629" s="2013">
        <f t="shared" si="8"/>
        <v>0</v>
      </c>
      <c r="CI629" s="2013"/>
      <c r="CJ629" s="2013"/>
      <c r="CK629" s="2013"/>
      <c r="CL629" s="2013"/>
      <c r="CM629" s="2013">
        <f t="shared" si="9"/>
        <v>0</v>
      </c>
      <c r="CN629" s="2013"/>
      <c r="CO629" s="2013"/>
      <c r="CP629" s="2013"/>
      <c r="CQ629" s="2013"/>
      <c r="CR629" s="265"/>
      <c r="CS629" s="2369">
        <f t="shared" si="10"/>
        <v>0</v>
      </c>
      <c r="CT629" s="2369"/>
      <c r="CU629" s="2369"/>
      <c r="CV629" s="2369"/>
      <c r="CW629" s="2369"/>
      <c r="CX629" s="2369">
        <f t="shared" si="11"/>
        <v>0</v>
      </c>
      <c r="CY629" s="2369"/>
      <c r="CZ629" s="2369"/>
      <c r="DA629" s="2369"/>
      <c r="DB629" s="2369"/>
      <c r="DC629" s="2369">
        <f t="shared" si="12"/>
        <v>0</v>
      </c>
      <c r="DD629" s="2369"/>
      <c r="DE629" s="2369"/>
      <c r="DF629" s="2369"/>
      <c r="DG629" s="2369"/>
      <c r="DH629" s="2369">
        <f t="shared" si="13"/>
        <v>0</v>
      </c>
      <c r="DI629" s="2369"/>
      <c r="DJ629" s="2369"/>
      <c r="DK629" s="2369"/>
      <c r="DL629" s="2369"/>
      <c r="DM629" s="2369">
        <f t="shared" si="14"/>
        <v>0</v>
      </c>
      <c r="DN629" s="2369"/>
      <c r="DO629" s="2369"/>
      <c r="DP629" s="2369"/>
      <c r="DQ629" s="2369"/>
      <c r="DR629" s="2369">
        <f t="shared" si="15"/>
        <v>0</v>
      </c>
      <c r="DS629" s="2369"/>
      <c r="DT629" s="2369"/>
      <c r="DU629" s="2369"/>
      <c r="DV629" s="2369"/>
      <c r="DX629" s="2172" t="str">
        <f t="shared" si="16"/>
        <v xml:space="preserve"> </v>
      </c>
      <c r="DY629" s="2178"/>
      <c r="DZ629" s="2178"/>
      <c r="EA629" s="2178"/>
      <c r="EB629" s="2173"/>
      <c r="EC629" s="2172" t="str">
        <f t="shared" si="17"/>
        <v xml:space="preserve"> </v>
      </c>
      <c r="ED629" s="2178"/>
      <c r="EE629" s="2178"/>
      <c r="EF629" s="2178"/>
      <c r="EG629" s="2173"/>
      <c r="EH629" s="2172" t="str">
        <f t="shared" si="18"/>
        <v xml:space="preserve"> </v>
      </c>
      <c r="EI629" s="2178"/>
      <c r="EJ629" s="2178"/>
      <c r="EK629" s="2178"/>
      <c r="EL629" s="2173"/>
      <c r="EM629" s="2172" t="str">
        <f t="shared" si="19"/>
        <v xml:space="preserve"> </v>
      </c>
      <c r="EN629" s="2178"/>
      <c r="EO629" s="2178"/>
      <c r="EP629" s="2178"/>
      <c r="EQ629" s="2173"/>
      <c r="ER629" s="2172" t="str">
        <f t="shared" si="20"/>
        <v xml:space="preserve"> </v>
      </c>
      <c r="ES629" s="2178"/>
      <c r="ET629" s="2178"/>
      <c r="EU629" s="2178"/>
      <c r="EV629" s="2173"/>
      <c r="EW629" s="2172" t="str">
        <f t="shared" si="21"/>
        <v xml:space="preserve"> </v>
      </c>
      <c r="EX629" s="2178"/>
      <c r="EY629" s="2178"/>
      <c r="EZ629" s="2178"/>
      <c r="FA629" s="2173"/>
    </row>
    <row r="630" spans="1:157" ht="13">
      <c r="A630" s="50" t="s">
        <v>328</v>
      </c>
      <c r="B630" s="50"/>
      <c r="C630" s="50" t="s">
        <v>21</v>
      </c>
      <c r="AZ630" s="58"/>
      <c r="BA630" s="58"/>
      <c r="BB630" s="58"/>
      <c r="BC630" s="58"/>
      <c r="BD630" s="58"/>
      <c r="BE630" s="2172">
        <f t="shared" si="0"/>
        <v>0</v>
      </c>
      <c r="BF630" s="2173"/>
      <c r="BG630" s="2007">
        <f t="shared" si="1"/>
        <v>0</v>
      </c>
      <c r="BH630" s="2009"/>
      <c r="BI630" s="2172">
        <f t="shared" si="2"/>
        <v>0</v>
      </c>
      <c r="BJ630" s="2173"/>
      <c r="BK630" s="2007">
        <f t="shared" si="3"/>
        <v>0</v>
      </c>
      <c r="BL630" s="2009"/>
      <c r="BM630" s="58"/>
      <c r="BN630" s="2014">
        <f t="shared" si="4"/>
        <v>0</v>
      </c>
      <c r="BO630" s="2015"/>
      <c r="BP630" s="2015"/>
      <c r="BQ630" s="2015"/>
      <c r="BR630" s="2016"/>
      <c r="BS630" s="2013">
        <f t="shared" si="5"/>
        <v>0</v>
      </c>
      <c r="BT630" s="2013"/>
      <c r="BU630" s="2013"/>
      <c r="BV630" s="2013"/>
      <c r="BW630" s="2013"/>
      <c r="BX630" s="2013">
        <f t="shared" si="6"/>
        <v>0</v>
      </c>
      <c r="BY630" s="2013"/>
      <c r="BZ630" s="2013"/>
      <c r="CA630" s="2013"/>
      <c r="CB630" s="2013"/>
      <c r="CC630" s="2013">
        <f t="shared" si="7"/>
        <v>0</v>
      </c>
      <c r="CD630" s="2013"/>
      <c r="CE630" s="2013"/>
      <c r="CF630" s="2013"/>
      <c r="CG630" s="2013"/>
      <c r="CH630" s="2013">
        <f t="shared" si="8"/>
        <v>0</v>
      </c>
      <c r="CI630" s="2013"/>
      <c r="CJ630" s="2013"/>
      <c r="CK630" s="2013"/>
      <c r="CL630" s="2013"/>
      <c r="CM630" s="2013">
        <f t="shared" si="9"/>
        <v>0</v>
      </c>
      <c r="CN630" s="2013"/>
      <c r="CO630" s="2013"/>
      <c r="CP630" s="2013"/>
      <c r="CQ630" s="2013"/>
      <c r="CR630" s="265"/>
      <c r="CS630" s="2369">
        <f t="shared" si="10"/>
        <v>0</v>
      </c>
      <c r="CT630" s="2369"/>
      <c r="CU630" s="2369"/>
      <c r="CV630" s="2369"/>
      <c r="CW630" s="2369"/>
      <c r="CX630" s="2369">
        <f t="shared" si="11"/>
        <v>0</v>
      </c>
      <c r="CY630" s="2369"/>
      <c r="CZ630" s="2369"/>
      <c r="DA630" s="2369"/>
      <c r="DB630" s="2369"/>
      <c r="DC630" s="2369">
        <f t="shared" si="12"/>
        <v>0</v>
      </c>
      <c r="DD630" s="2369"/>
      <c r="DE630" s="2369"/>
      <c r="DF630" s="2369"/>
      <c r="DG630" s="2369"/>
      <c r="DH630" s="2369">
        <f t="shared" si="13"/>
        <v>0</v>
      </c>
      <c r="DI630" s="2369"/>
      <c r="DJ630" s="2369"/>
      <c r="DK630" s="2369"/>
      <c r="DL630" s="2369"/>
      <c r="DM630" s="2369">
        <f t="shared" si="14"/>
        <v>0</v>
      </c>
      <c r="DN630" s="2369"/>
      <c r="DO630" s="2369"/>
      <c r="DP630" s="2369"/>
      <c r="DQ630" s="2369"/>
      <c r="DR630" s="2369">
        <f t="shared" si="15"/>
        <v>0</v>
      </c>
      <c r="DS630" s="2369"/>
      <c r="DT630" s="2369"/>
      <c r="DU630" s="2369"/>
      <c r="DV630" s="2369"/>
      <c r="DX630" s="2172" t="str">
        <f t="shared" si="16"/>
        <v xml:space="preserve"> </v>
      </c>
      <c r="DY630" s="2178"/>
      <c r="DZ630" s="2178"/>
      <c r="EA630" s="2178"/>
      <c r="EB630" s="2173"/>
      <c r="EC630" s="2172" t="str">
        <f t="shared" si="17"/>
        <v xml:space="preserve"> </v>
      </c>
      <c r="ED630" s="2178"/>
      <c r="EE630" s="2178"/>
      <c r="EF630" s="2178"/>
      <c r="EG630" s="2173"/>
      <c r="EH630" s="2172" t="str">
        <f t="shared" si="18"/>
        <v xml:space="preserve"> </v>
      </c>
      <c r="EI630" s="2178"/>
      <c r="EJ630" s="2178"/>
      <c r="EK630" s="2178"/>
      <c r="EL630" s="2173"/>
      <c r="EM630" s="2172" t="str">
        <f t="shared" si="19"/>
        <v xml:space="preserve"> </v>
      </c>
      <c r="EN630" s="2178"/>
      <c r="EO630" s="2178"/>
      <c r="EP630" s="2178"/>
      <c r="EQ630" s="2173"/>
      <c r="ER630" s="2172" t="str">
        <f t="shared" si="20"/>
        <v xml:space="preserve"> </v>
      </c>
      <c r="ES630" s="2178"/>
      <c r="ET630" s="2178"/>
      <c r="EU630" s="2178"/>
      <c r="EV630" s="2173"/>
      <c r="EW630" s="2172" t="str">
        <f t="shared" si="21"/>
        <v xml:space="preserve"> </v>
      </c>
      <c r="EX630" s="2178"/>
      <c r="EY630" s="2178"/>
      <c r="EZ630" s="2178"/>
      <c r="FA630" s="2173"/>
    </row>
    <row r="631" spans="1:157" ht="13">
      <c r="A631" s="50"/>
      <c r="B631" s="50"/>
      <c r="C631" s="50"/>
      <c r="AZ631" s="58"/>
      <c r="BA631" s="58"/>
      <c r="BB631" s="58"/>
      <c r="BC631" s="58"/>
      <c r="BD631" s="58"/>
      <c r="BE631" s="2172">
        <f t="shared" si="0"/>
        <v>0</v>
      </c>
      <c r="BF631" s="2173"/>
      <c r="BG631" s="2007">
        <f t="shared" si="1"/>
        <v>0</v>
      </c>
      <c r="BH631" s="2009"/>
      <c r="BI631" s="2172">
        <f t="shared" si="2"/>
        <v>0</v>
      </c>
      <c r="BJ631" s="2173"/>
      <c r="BK631" s="2007">
        <f t="shared" si="3"/>
        <v>0</v>
      </c>
      <c r="BL631" s="2009"/>
      <c r="BM631" s="58"/>
      <c r="BN631" s="2014">
        <f t="shared" si="4"/>
        <v>0</v>
      </c>
      <c r="BO631" s="2015"/>
      <c r="BP631" s="2015"/>
      <c r="BQ631" s="2015"/>
      <c r="BR631" s="2016"/>
      <c r="BS631" s="2013">
        <f t="shared" si="5"/>
        <v>0</v>
      </c>
      <c r="BT631" s="2013"/>
      <c r="BU631" s="2013"/>
      <c r="BV631" s="2013"/>
      <c r="BW631" s="2013"/>
      <c r="BX631" s="2013">
        <f t="shared" si="6"/>
        <v>0</v>
      </c>
      <c r="BY631" s="2013"/>
      <c r="BZ631" s="2013"/>
      <c r="CA631" s="2013"/>
      <c r="CB631" s="2013"/>
      <c r="CC631" s="2013">
        <f t="shared" si="7"/>
        <v>0</v>
      </c>
      <c r="CD631" s="2013"/>
      <c r="CE631" s="2013"/>
      <c r="CF631" s="2013"/>
      <c r="CG631" s="2013"/>
      <c r="CH631" s="2013">
        <f t="shared" si="8"/>
        <v>0</v>
      </c>
      <c r="CI631" s="2013"/>
      <c r="CJ631" s="2013"/>
      <c r="CK631" s="2013"/>
      <c r="CL631" s="2013"/>
      <c r="CM631" s="2013">
        <f t="shared" si="9"/>
        <v>0</v>
      </c>
      <c r="CN631" s="2013"/>
      <c r="CO631" s="2013"/>
      <c r="CP631" s="2013"/>
      <c r="CQ631" s="2013"/>
      <c r="CR631" s="265"/>
      <c r="CS631" s="2369">
        <f t="shared" si="10"/>
        <v>0</v>
      </c>
      <c r="CT631" s="2369"/>
      <c r="CU631" s="2369"/>
      <c r="CV631" s="2369"/>
      <c r="CW631" s="2369"/>
      <c r="CX631" s="2369">
        <f t="shared" si="11"/>
        <v>0</v>
      </c>
      <c r="CY631" s="2369"/>
      <c r="CZ631" s="2369"/>
      <c r="DA631" s="2369"/>
      <c r="DB631" s="2369"/>
      <c r="DC631" s="2369">
        <f t="shared" si="12"/>
        <v>0</v>
      </c>
      <c r="DD631" s="2369"/>
      <c r="DE631" s="2369"/>
      <c r="DF631" s="2369"/>
      <c r="DG631" s="2369"/>
      <c r="DH631" s="2369">
        <f t="shared" si="13"/>
        <v>0</v>
      </c>
      <c r="DI631" s="2369"/>
      <c r="DJ631" s="2369"/>
      <c r="DK631" s="2369"/>
      <c r="DL631" s="2369"/>
      <c r="DM631" s="2369">
        <f t="shared" si="14"/>
        <v>0</v>
      </c>
      <c r="DN631" s="2369"/>
      <c r="DO631" s="2369"/>
      <c r="DP631" s="2369"/>
      <c r="DQ631" s="2369"/>
      <c r="DR631" s="2369">
        <f t="shared" si="15"/>
        <v>0</v>
      </c>
      <c r="DS631" s="2369"/>
      <c r="DT631" s="2369"/>
      <c r="DU631" s="2369"/>
      <c r="DV631" s="2369"/>
      <c r="DX631" s="2172" t="str">
        <f t="shared" si="16"/>
        <v xml:space="preserve"> </v>
      </c>
      <c r="DY631" s="2178"/>
      <c r="DZ631" s="2178"/>
      <c r="EA631" s="2178"/>
      <c r="EB631" s="2173"/>
      <c r="EC631" s="2172" t="str">
        <f t="shared" si="17"/>
        <v xml:space="preserve"> </v>
      </c>
      <c r="ED631" s="2178"/>
      <c r="EE631" s="2178"/>
      <c r="EF631" s="2178"/>
      <c r="EG631" s="2173"/>
      <c r="EH631" s="2172" t="str">
        <f t="shared" si="18"/>
        <v xml:space="preserve"> </v>
      </c>
      <c r="EI631" s="2178"/>
      <c r="EJ631" s="2178"/>
      <c r="EK631" s="2178"/>
      <c r="EL631" s="2173"/>
      <c r="EM631" s="2172" t="str">
        <f t="shared" si="19"/>
        <v xml:space="preserve"> </v>
      </c>
      <c r="EN631" s="2178"/>
      <c r="EO631" s="2178"/>
      <c r="EP631" s="2178"/>
      <c r="EQ631" s="2173"/>
      <c r="ER631" s="2172" t="str">
        <f t="shared" si="20"/>
        <v xml:space="preserve"> </v>
      </c>
      <c r="ES631" s="2178"/>
      <c r="ET631" s="2178"/>
      <c r="EU631" s="2178"/>
      <c r="EV631" s="2173"/>
      <c r="EW631" s="2172" t="str">
        <f t="shared" si="21"/>
        <v xml:space="preserve"> </v>
      </c>
      <c r="EX631" s="2178"/>
      <c r="EY631" s="2178"/>
      <c r="EZ631" s="2178"/>
      <c r="FA631" s="2173"/>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172">
        <f t="shared" si="0"/>
        <v>0</v>
      </c>
      <c r="BF632" s="2173"/>
      <c r="BG632" s="2007">
        <f t="shared" si="1"/>
        <v>0</v>
      </c>
      <c r="BH632" s="2009"/>
      <c r="BI632" s="2172">
        <f t="shared" si="2"/>
        <v>0</v>
      </c>
      <c r="BJ632" s="2173"/>
      <c r="BK632" s="2007">
        <f t="shared" si="3"/>
        <v>0</v>
      </c>
      <c r="BL632" s="2009"/>
      <c r="BM632" s="58"/>
      <c r="BN632" s="2014">
        <f t="shared" si="4"/>
        <v>0</v>
      </c>
      <c r="BO632" s="2015"/>
      <c r="BP632" s="2015"/>
      <c r="BQ632" s="2015"/>
      <c r="BR632" s="2016"/>
      <c r="BS632" s="2013">
        <f t="shared" si="5"/>
        <v>0</v>
      </c>
      <c r="BT632" s="2013"/>
      <c r="BU632" s="2013"/>
      <c r="BV632" s="2013"/>
      <c r="BW632" s="2013"/>
      <c r="BX632" s="2013">
        <f t="shared" si="6"/>
        <v>0</v>
      </c>
      <c r="BY632" s="2013"/>
      <c r="BZ632" s="2013"/>
      <c r="CA632" s="2013"/>
      <c r="CB632" s="2013"/>
      <c r="CC632" s="2013">
        <f t="shared" si="7"/>
        <v>0</v>
      </c>
      <c r="CD632" s="2013"/>
      <c r="CE632" s="2013"/>
      <c r="CF632" s="2013"/>
      <c r="CG632" s="2013"/>
      <c r="CH632" s="2013">
        <f t="shared" si="8"/>
        <v>0</v>
      </c>
      <c r="CI632" s="2013"/>
      <c r="CJ632" s="2013"/>
      <c r="CK632" s="2013"/>
      <c r="CL632" s="2013"/>
      <c r="CM632" s="2013">
        <f t="shared" si="9"/>
        <v>0</v>
      </c>
      <c r="CN632" s="2013"/>
      <c r="CO632" s="2013"/>
      <c r="CP632" s="2013"/>
      <c r="CQ632" s="2013"/>
      <c r="CR632" s="265"/>
      <c r="CS632" s="2369">
        <f t="shared" si="10"/>
        <v>0</v>
      </c>
      <c r="CT632" s="2369"/>
      <c r="CU632" s="2369"/>
      <c r="CV632" s="2369"/>
      <c r="CW632" s="2369"/>
      <c r="CX632" s="2369">
        <f t="shared" si="11"/>
        <v>0</v>
      </c>
      <c r="CY632" s="2369"/>
      <c r="CZ632" s="2369"/>
      <c r="DA632" s="2369"/>
      <c r="DB632" s="2369"/>
      <c r="DC632" s="2369">
        <f t="shared" si="12"/>
        <v>0</v>
      </c>
      <c r="DD632" s="2369"/>
      <c r="DE632" s="2369"/>
      <c r="DF632" s="2369"/>
      <c r="DG632" s="2369"/>
      <c r="DH632" s="2369">
        <f t="shared" si="13"/>
        <v>0</v>
      </c>
      <c r="DI632" s="2369"/>
      <c r="DJ632" s="2369"/>
      <c r="DK632" s="2369"/>
      <c r="DL632" s="2369"/>
      <c r="DM632" s="2369">
        <f t="shared" si="14"/>
        <v>0</v>
      </c>
      <c r="DN632" s="2369"/>
      <c r="DO632" s="2369"/>
      <c r="DP632" s="2369"/>
      <c r="DQ632" s="2369"/>
      <c r="DR632" s="2369">
        <f t="shared" si="15"/>
        <v>0</v>
      </c>
      <c r="DS632" s="2369"/>
      <c r="DT632" s="2369"/>
      <c r="DU632" s="2369"/>
      <c r="DV632" s="2369"/>
      <c r="DX632" s="2172" t="str">
        <f t="shared" si="16"/>
        <v xml:space="preserve"> </v>
      </c>
      <c r="DY632" s="2178"/>
      <c r="DZ632" s="2178"/>
      <c r="EA632" s="2178"/>
      <c r="EB632" s="2173"/>
      <c r="EC632" s="2172" t="str">
        <f t="shared" si="17"/>
        <v xml:space="preserve"> </v>
      </c>
      <c r="ED632" s="2178"/>
      <c r="EE632" s="2178"/>
      <c r="EF632" s="2178"/>
      <c r="EG632" s="2173"/>
      <c r="EH632" s="2172" t="str">
        <f t="shared" si="18"/>
        <v xml:space="preserve"> </v>
      </c>
      <c r="EI632" s="2178"/>
      <c r="EJ632" s="2178"/>
      <c r="EK632" s="2178"/>
      <c r="EL632" s="2173"/>
      <c r="EM632" s="2172" t="str">
        <f t="shared" si="19"/>
        <v xml:space="preserve"> </v>
      </c>
      <c r="EN632" s="2178"/>
      <c r="EO632" s="2178"/>
      <c r="EP632" s="2178"/>
      <c r="EQ632" s="2173"/>
      <c r="ER632" s="2172" t="str">
        <f t="shared" si="20"/>
        <v xml:space="preserve"> </v>
      </c>
      <c r="ES632" s="2178"/>
      <c r="ET632" s="2178"/>
      <c r="EU632" s="2178"/>
      <c r="EV632" s="2173"/>
      <c r="EW632" s="2172" t="str">
        <f t="shared" si="21"/>
        <v xml:space="preserve"> </v>
      </c>
      <c r="EX632" s="2178"/>
      <c r="EY632" s="2178"/>
      <c r="EZ632" s="2178"/>
      <c r="FA632" s="2173"/>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172">
        <f t="shared" si="0"/>
        <v>0</v>
      </c>
      <c r="BF633" s="2173"/>
      <c r="BG633" s="2007">
        <f t="shared" si="1"/>
        <v>0</v>
      </c>
      <c r="BH633" s="2009"/>
      <c r="BI633" s="2172">
        <f t="shared" si="2"/>
        <v>0</v>
      </c>
      <c r="BJ633" s="2173"/>
      <c r="BK633" s="2007">
        <f t="shared" si="3"/>
        <v>0</v>
      </c>
      <c r="BL633" s="2009"/>
      <c r="BM633" s="58"/>
      <c r="BN633" s="2014">
        <f t="shared" si="4"/>
        <v>0</v>
      </c>
      <c r="BO633" s="2015"/>
      <c r="BP633" s="2015"/>
      <c r="BQ633" s="2015"/>
      <c r="BR633" s="2016"/>
      <c r="BS633" s="2013">
        <f t="shared" si="5"/>
        <v>0</v>
      </c>
      <c r="BT633" s="2013"/>
      <c r="BU633" s="2013"/>
      <c r="BV633" s="2013"/>
      <c r="BW633" s="2013"/>
      <c r="BX633" s="2013">
        <f t="shared" si="6"/>
        <v>0</v>
      </c>
      <c r="BY633" s="2013"/>
      <c r="BZ633" s="2013"/>
      <c r="CA633" s="2013"/>
      <c r="CB633" s="2013"/>
      <c r="CC633" s="2013">
        <f t="shared" si="7"/>
        <v>0</v>
      </c>
      <c r="CD633" s="2013"/>
      <c r="CE633" s="2013"/>
      <c r="CF633" s="2013"/>
      <c r="CG633" s="2013"/>
      <c r="CH633" s="2013">
        <f t="shared" si="8"/>
        <v>0</v>
      </c>
      <c r="CI633" s="2013"/>
      <c r="CJ633" s="2013"/>
      <c r="CK633" s="2013"/>
      <c r="CL633" s="2013"/>
      <c r="CM633" s="2013">
        <f t="shared" si="9"/>
        <v>0</v>
      </c>
      <c r="CN633" s="2013"/>
      <c r="CO633" s="2013"/>
      <c r="CP633" s="2013"/>
      <c r="CQ633" s="2013"/>
      <c r="CR633" s="265"/>
      <c r="CS633" s="2369">
        <f t="shared" si="10"/>
        <v>0</v>
      </c>
      <c r="CT633" s="2369"/>
      <c r="CU633" s="2369"/>
      <c r="CV633" s="2369"/>
      <c r="CW633" s="2369"/>
      <c r="CX633" s="2369">
        <f t="shared" si="11"/>
        <v>0</v>
      </c>
      <c r="CY633" s="2369"/>
      <c r="CZ633" s="2369"/>
      <c r="DA633" s="2369"/>
      <c r="DB633" s="2369"/>
      <c r="DC633" s="2369">
        <f t="shared" si="12"/>
        <v>0</v>
      </c>
      <c r="DD633" s="2369"/>
      <c r="DE633" s="2369"/>
      <c r="DF633" s="2369"/>
      <c r="DG633" s="2369"/>
      <c r="DH633" s="2369">
        <f t="shared" si="13"/>
        <v>0</v>
      </c>
      <c r="DI633" s="2369"/>
      <c r="DJ633" s="2369"/>
      <c r="DK633" s="2369"/>
      <c r="DL633" s="2369"/>
      <c r="DM633" s="2369">
        <f t="shared" si="14"/>
        <v>0</v>
      </c>
      <c r="DN633" s="2369"/>
      <c r="DO633" s="2369"/>
      <c r="DP633" s="2369"/>
      <c r="DQ633" s="2369"/>
      <c r="DR633" s="2369">
        <f t="shared" si="15"/>
        <v>0</v>
      </c>
      <c r="DS633" s="2369"/>
      <c r="DT633" s="2369"/>
      <c r="DU633" s="2369"/>
      <c r="DV633" s="2369"/>
      <c r="DX633" s="2172" t="str">
        <f t="shared" si="16"/>
        <v xml:space="preserve"> </v>
      </c>
      <c r="DY633" s="2178"/>
      <c r="DZ633" s="2178"/>
      <c r="EA633" s="2178"/>
      <c r="EB633" s="2173"/>
      <c r="EC633" s="2172" t="str">
        <f t="shared" si="17"/>
        <v xml:space="preserve"> </v>
      </c>
      <c r="ED633" s="2178"/>
      <c r="EE633" s="2178"/>
      <c r="EF633" s="2178"/>
      <c r="EG633" s="2173"/>
      <c r="EH633" s="2172" t="str">
        <f t="shared" si="18"/>
        <v xml:space="preserve"> </v>
      </c>
      <c r="EI633" s="2178"/>
      <c r="EJ633" s="2178"/>
      <c r="EK633" s="2178"/>
      <c r="EL633" s="2173"/>
      <c r="EM633" s="2172" t="str">
        <f t="shared" si="19"/>
        <v xml:space="preserve"> </v>
      </c>
      <c r="EN633" s="2178"/>
      <c r="EO633" s="2178"/>
      <c r="EP633" s="2178"/>
      <c r="EQ633" s="2173"/>
      <c r="ER633" s="2172" t="str">
        <f t="shared" si="20"/>
        <v xml:space="preserve"> </v>
      </c>
      <c r="ES633" s="2178"/>
      <c r="ET633" s="2178"/>
      <c r="EU633" s="2178"/>
      <c r="EV633" s="2173"/>
      <c r="EW633" s="2172" t="str">
        <f t="shared" si="21"/>
        <v xml:space="preserve"> </v>
      </c>
      <c r="EX633" s="2178"/>
      <c r="EY633" s="2178"/>
      <c r="EZ633" s="2178"/>
      <c r="FA633" s="2173"/>
    </row>
    <row r="634" spans="1:157" s="1821" customFormat="1" ht="12.75" customHeight="1">
      <c r="B634" s="2352" t="s">
        <v>483</v>
      </c>
      <c r="C634" s="2353"/>
      <c r="D634" s="2353"/>
      <c r="E634" s="2353"/>
      <c r="F634" s="2353"/>
      <c r="G634" s="2353"/>
      <c r="H634" s="2353"/>
      <c r="I634" s="2353"/>
      <c r="J634" s="2353"/>
      <c r="K634" s="2353"/>
      <c r="L634" s="2353"/>
      <c r="M634" s="2353"/>
      <c r="N634" s="2354"/>
      <c r="O634" s="2343" t="s">
        <v>2378</v>
      </c>
      <c r="P634" s="2174"/>
      <c r="Q634" s="2175"/>
      <c r="R634" s="2343" t="s">
        <v>2376</v>
      </c>
      <c r="S634" s="2174"/>
      <c r="T634" s="2175"/>
      <c r="U634" s="2560" t="s">
        <v>484</v>
      </c>
      <c r="V634" s="2560"/>
      <c r="W634" s="2561"/>
      <c r="X634" s="2343" t="s">
        <v>2152</v>
      </c>
      <c r="Y634" s="2174"/>
      <c r="Z634" s="2174"/>
      <c r="AA634" s="2174"/>
      <c r="AB634" s="2175"/>
      <c r="AC634" s="2551" t="s">
        <v>2150</v>
      </c>
      <c r="AD634" s="2552"/>
      <c r="AE634" s="2553"/>
      <c r="AF634" s="2343" t="s">
        <v>2153</v>
      </c>
      <c r="AG634" s="2174"/>
      <c r="AH634" s="2174"/>
      <c r="AI634" s="2174"/>
      <c r="AJ634" s="2175"/>
      <c r="AK634" s="2402" t="s">
        <v>2154</v>
      </c>
      <c r="AL634" s="2403"/>
      <c r="AM634" s="2403"/>
      <c r="AN634" s="2404"/>
      <c r="AO634" s="2373" t="s">
        <v>485</v>
      </c>
      <c r="AP634" s="2373"/>
      <c r="AQ634" s="2373"/>
      <c r="AR634" s="2373"/>
      <c r="AS634" s="2373"/>
      <c r="AT634" s="1822"/>
      <c r="AU634" s="1822"/>
      <c r="AV634" s="1822"/>
      <c r="AW634" s="1822"/>
      <c r="AX634" s="1822"/>
      <c r="AY634" s="1822"/>
      <c r="AZ634" s="181"/>
      <c r="BA634" s="181"/>
      <c r="BB634" s="181"/>
      <c r="BC634" s="181"/>
      <c r="BD634" s="181"/>
      <c r="BE634" s="2172">
        <f t="shared" si="0"/>
        <v>0</v>
      </c>
      <c r="BF634" s="2173"/>
      <c r="BG634" s="2007">
        <f t="shared" si="1"/>
        <v>0</v>
      </c>
      <c r="BH634" s="2009"/>
      <c r="BI634" s="2172">
        <f t="shared" si="2"/>
        <v>0</v>
      </c>
      <c r="BJ634" s="2173"/>
      <c r="BK634" s="2007">
        <f t="shared" si="3"/>
        <v>0</v>
      </c>
      <c r="BL634" s="2009"/>
      <c r="BM634" s="181"/>
      <c r="BN634" s="2014">
        <f t="shared" si="4"/>
        <v>0</v>
      </c>
      <c r="BO634" s="2015"/>
      <c r="BP634" s="2015"/>
      <c r="BQ634" s="2015"/>
      <c r="BR634" s="2016"/>
      <c r="BS634" s="2013">
        <f t="shared" si="5"/>
        <v>0</v>
      </c>
      <c r="BT634" s="2013"/>
      <c r="BU634" s="2013"/>
      <c r="BV634" s="2013"/>
      <c r="BW634" s="2013"/>
      <c r="BX634" s="2013">
        <f t="shared" si="6"/>
        <v>0</v>
      </c>
      <c r="BY634" s="2013"/>
      <c r="BZ634" s="2013"/>
      <c r="CA634" s="2013"/>
      <c r="CB634" s="2013"/>
      <c r="CC634" s="2013">
        <f t="shared" si="7"/>
        <v>0</v>
      </c>
      <c r="CD634" s="2013"/>
      <c r="CE634" s="2013"/>
      <c r="CF634" s="2013"/>
      <c r="CG634" s="2013"/>
      <c r="CH634" s="2013">
        <f t="shared" si="8"/>
        <v>0</v>
      </c>
      <c r="CI634" s="2013"/>
      <c r="CJ634" s="2013"/>
      <c r="CK634" s="2013"/>
      <c r="CL634" s="2013"/>
      <c r="CM634" s="2013">
        <f t="shared" si="9"/>
        <v>0</v>
      </c>
      <c r="CN634" s="2013"/>
      <c r="CO634" s="2013"/>
      <c r="CP634" s="2013"/>
      <c r="CQ634" s="2013"/>
      <c r="CR634" s="265"/>
      <c r="CS634" s="2369">
        <f t="shared" si="10"/>
        <v>0</v>
      </c>
      <c r="CT634" s="2369"/>
      <c r="CU634" s="2369"/>
      <c r="CV634" s="2369"/>
      <c r="CW634" s="2369"/>
      <c r="CX634" s="2369">
        <f t="shared" si="11"/>
        <v>0</v>
      </c>
      <c r="CY634" s="2369"/>
      <c r="CZ634" s="2369"/>
      <c r="DA634" s="2369"/>
      <c r="DB634" s="2369"/>
      <c r="DC634" s="2369">
        <f t="shared" si="12"/>
        <v>0</v>
      </c>
      <c r="DD634" s="2369"/>
      <c r="DE634" s="2369"/>
      <c r="DF634" s="2369"/>
      <c r="DG634" s="2369"/>
      <c r="DH634" s="2369">
        <f t="shared" si="13"/>
        <v>0</v>
      </c>
      <c r="DI634" s="2369"/>
      <c r="DJ634" s="2369"/>
      <c r="DK634" s="2369"/>
      <c r="DL634" s="2369"/>
      <c r="DM634" s="2369">
        <f t="shared" si="14"/>
        <v>0</v>
      </c>
      <c r="DN634" s="2369"/>
      <c r="DO634" s="2369"/>
      <c r="DP634" s="2369"/>
      <c r="DQ634" s="2369"/>
      <c r="DR634" s="2369">
        <f t="shared" si="15"/>
        <v>0</v>
      </c>
      <c r="DS634" s="2369"/>
      <c r="DT634" s="2369"/>
      <c r="DU634" s="2369"/>
      <c r="DV634" s="2369"/>
      <c r="DX634" s="2172" t="str">
        <f t="shared" si="16"/>
        <v xml:space="preserve"> </v>
      </c>
      <c r="DY634" s="2178"/>
      <c r="DZ634" s="2178"/>
      <c r="EA634" s="2178"/>
      <c r="EB634" s="2173"/>
      <c r="EC634" s="2172" t="str">
        <f t="shared" si="17"/>
        <v xml:space="preserve"> </v>
      </c>
      <c r="ED634" s="2178"/>
      <c r="EE634" s="2178"/>
      <c r="EF634" s="2178"/>
      <c r="EG634" s="2173"/>
      <c r="EH634" s="2172" t="str">
        <f t="shared" si="18"/>
        <v xml:space="preserve"> </v>
      </c>
      <c r="EI634" s="2178"/>
      <c r="EJ634" s="2178"/>
      <c r="EK634" s="2178"/>
      <c r="EL634" s="2173"/>
      <c r="EM634" s="2172" t="str">
        <f t="shared" si="19"/>
        <v xml:space="preserve"> </v>
      </c>
      <c r="EN634" s="2178"/>
      <c r="EO634" s="2178"/>
      <c r="EP634" s="2178"/>
      <c r="EQ634" s="2173"/>
      <c r="ER634" s="2172" t="str">
        <f t="shared" si="20"/>
        <v xml:space="preserve"> </v>
      </c>
      <c r="ES634" s="2178"/>
      <c r="ET634" s="2178"/>
      <c r="EU634" s="2178"/>
      <c r="EV634" s="2173"/>
      <c r="EW634" s="2172" t="str">
        <f t="shared" si="21"/>
        <v xml:space="preserve"> </v>
      </c>
      <c r="EX634" s="2178"/>
      <c r="EY634" s="2178"/>
      <c r="EZ634" s="2178"/>
      <c r="FA634" s="2173"/>
    </row>
    <row r="635" spans="1:157" s="1821" customFormat="1" ht="12.5">
      <c r="B635" s="2416"/>
      <c r="C635" s="2230"/>
      <c r="D635" s="2230"/>
      <c r="E635" s="2230"/>
      <c r="F635" s="2230"/>
      <c r="G635" s="2230"/>
      <c r="H635" s="2230"/>
      <c r="I635" s="2230"/>
      <c r="J635" s="2230"/>
      <c r="K635" s="2230"/>
      <c r="L635" s="2230"/>
      <c r="M635" s="2230"/>
      <c r="N635" s="2417"/>
      <c r="O635" s="2320"/>
      <c r="P635" s="2321"/>
      <c r="Q635" s="2322"/>
      <c r="R635" s="2320"/>
      <c r="S635" s="2321"/>
      <c r="T635" s="2322"/>
      <c r="U635" s="2562"/>
      <c r="V635" s="2562"/>
      <c r="W635" s="2563"/>
      <c r="X635" s="2320"/>
      <c r="Y635" s="2321"/>
      <c r="Z635" s="2321"/>
      <c r="AA635" s="2321"/>
      <c r="AB635" s="2322"/>
      <c r="AC635" s="2554"/>
      <c r="AD635" s="2555"/>
      <c r="AE635" s="2556"/>
      <c r="AF635" s="2320"/>
      <c r="AG635" s="2321"/>
      <c r="AH635" s="2321"/>
      <c r="AI635" s="2321"/>
      <c r="AJ635" s="2322"/>
      <c r="AK635" s="2405"/>
      <c r="AL635" s="2406"/>
      <c r="AM635" s="2406"/>
      <c r="AN635" s="2407"/>
      <c r="AO635" s="2373"/>
      <c r="AP635" s="2373"/>
      <c r="AQ635" s="2373"/>
      <c r="AR635" s="2373"/>
      <c r="AS635" s="2373"/>
      <c r="AT635" s="1822"/>
      <c r="AU635" s="1822"/>
      <c r="AV635" s="1822"/>
      <c r="AW635" s="1822"/>
      <c r="AX635" s="1822"/>
      <c r="AY635" s="1822"/>
      <c r="AZ635" s="181"/>
      <c r="BA635" s="181"/>
      <c r="BB635" s="181"/>
      <c r="BC635" s="181"/>
      <c r="BD635" s="181"/>
      <c r="BE635" s="181"/>
      <c r="BF635" s="181"/>
      <c r="BG635" s="2172">
        <f>SUM(BG610:BH634)</f>
        <v>60</v>
      </c>
      <c r="BH635" s="2173"/>
      <c r="BI635" s="181"/>
      <c r="BJ635" s="181"/>
      <c r="BK635" s="2172">
        <f>SUM(BK610:BL634)</f>
        <v>15</v>
      </c>
      <c r="BL635" s="2173"/>
      <c r="BM635" s="181"/>
      <c r="BN635" s="2172">
        <f>SUM(BN610:BR634)</f>
        <v>90</v>
      </c>
      <c r="BO635" s="2178"/>
      <c r="BP635" s="2178"/>
      <c r="BQ635" s="2178"/>
      <c r="BR635" s="2173"/>
      <c r="BS635" s="2179">
        <f>SUM(BS610:BW634)</f>
        <v>34</v>
      </c>
      <c r="BT635" s="2179"/>
      <c r="BU635" s="2179"/>
      <c r="BV635" s="2179"/>
      <c r="BW635" s="2179"/>
      <c r="BX635" s="2179">
        <f>SUM(BX610:CB634)</f>
        <v>23</v>
      </c>
      <c r="BY635" s="2179"/>
      <c r="BZ635" s="2179"/>
      <c r="CA635" s="2179"/>
      <c r="CB635" s="2179"/>
      <c r="CC635" s="2179">
        <f>SUM(CC610:CG634)</f>
        <v>3</v>
      </c>
      <c r="CD635" s="2179"/>
      <c r="CE635" s="2179"/>
      <c r="CF635" s="2179"/>
      <c r="CG635" s="2179"/>
      <c r="CH635" s="2179">
        <f>SUM(CH610:CL634)</f>
        <v>0</v>
      </c>
      <c r="CI635" s="2179"/>
      <c r="CJ635" s="2179"/>
      <c r="CK635" s="2179"/>
      <c r="CL635" s="2179"/>
      <c r="CM635" s="2179">
        <f>SUM(CM610:CQ634)</f>
        <v>0</v>
      </c>
      <c r="CN635" s="2179"/>
      <c r="CO635" s="2179"/>
      <c r="CP635" s="2179"/>
      <c r="CQ635" s="2179"/>
      <c r="CR635" s="697"/>
      <c r="CS635" s="2179">
        <f>SUM(CS610:CW634)</f>
        <v>9</v>
      </c>
      <c r="CT635" s="2179"/>
      <c r="CU635" s="2179"/>
      <c r="CV635" s="2179"/>
      <c r="CW635" s="2179"/>
      <c r="CX635" s="2179">
        <f>SUM(CX610:DB634)</f>
        <v>3</v>
      </c>
      <c r="CY635" s="2179"/>
      <c r="CZ635" s="2179"/>
      <c r="DA635" s="2179"/>
      <c r="DB635" s="2179"/>
      <c r="DC635" s="2179">
        <f>SUM(DC610:DG634)</f>
        <v>3</v>
      </c>
      <c r="DD635" s="2179"/>
      <c r="DE635" s="2179"/>
      <c r="DF635" s="2179"/>
      <c r="DG635" s="2179"/>
      <c r="DH635" s="2179">
        <f>SUM(DH610:DL634)</f>
        <v>0</v>
      </c>
      <c r="DI635" s="2179"/>
      <c r="DJ635" s="2179"/>
      <c r="DK635" s="2179"/>
      <c r="DL635" s="2179"/>
      <c r="DM635" s="2179">
        <f>SUM(DM610:DQ634)</f>
        <v>0</v>
      </c>
      <c r="DN635" s="2179"/>
      <c r="DO635" s="2179"/>
      <c r="DP635" s="2179"/>
      <c r="DQ635" s="2179"/>
      <c r="DR635" s="2179">
        <f>SUM(DR610:DV634)</f>
        <v>0</v>
      </c>
      <c r="DS635" s="2179"/>
      <c r="DT635" s="2179"/>
      <c r="DU635" s="2179"/>
      <c r="DV635" s="2179"/>
      <c r="DX635" s="2179">
        <f>SUM(DX610:EB634)</f>
        <v>3890</v>
      </c>
      <c r="DY635" s="2179"/>
      <c r="DZ635" s="2179"/>
      <c r="EA635" s="2179"/>
      <c r="EB635" s="2179"/>
      <c r="EC635" s="2179">
        <f>SUM(EC610:EG634)</f>
        <v>4534</v>
      </c>
      <c r="ED635" s="2179"/>
      <c r="EE635" s="2179"/>
      <c r="EF635" s="2179"/>
      <c r="EG635" s="2179"/>
      <c r="EH635" s="2179">
        <f>SUM(EH610:EL634)</f>
        <v>5424</v>
      </c>
      <c r="EI635" s="2179"/>
      <c r="EJ635" s="2179"/>
      <c r="EK635" s="2179"/>
      <c r="EL635" s="2179"/>
      <c r="EM635" s="2179">
        <f>SUM(EM610:EQ634)</f>
        <v>2082</v>
      </c>
      <c r="EN635" s="2179"/>
      <c r="EO635" s="2179"/>
      <c r="EP635" s="2179"/>
      <c r="EQ635" s="2179"/>
      <c r="ER635" s="2179">
        <f>SUM(ER610:EV634)</f>
        <v>0</v>
      </c>
      <c r="ES635" s="2179"/>
      <c r="ET635" s="2179"/>
      <c r="EU635" s="2179"/>
      <c r="EV635" s="2179"/>
      <c r="EW635" s="2179">
        <f>SUM(EW610:FA634)</f>
        <v>0</v>
      </c>
      <c r="EX635" s="2179"/>
      <c r="EY635" s="2179"/>
      <c r="EZ635" s="2179"/>
      <c r="FA635" s="2179"/>
    </row>
    <row r="636" spans="1:157" s="1821" customFormat="1" ht="13">
      <c r="B636" s="2418"/>
      <c r="C636" s="2230"/>
      <c r="D636" s="2230"/>
      <c r="E636" s="2230"/>
      <c r="F636" s="2230"/>
      <c r="G636" s="2230"/>
      <c r="H636" s="2230"/>
      <c r="I636" s="2230"/>
      <c r="J636" s="2230"/>
      <c r="K636" s="2230"/>
      <c r="L636" s="2230"/>
      <c r="M636" s="2230"/>
      <c r="N636" s="2417"/>
      <c r="O636" s="2323"/>
      <c r="P636" s="2324"/>
      <c r="Q636" s="2325"/>
      <c r="R636" s="2323"/>
      <c r="S636" s="2324"/>
      <c r="T636" s="2325"/>
      <c r="U636" s="2564"/>
      <c r="V636" s="2564"/>
      <c r="W636" s="2565"/>
      <c r="X636" s="2323"/>
      <c r="Y636" s="2324"/>
      <c r="Z636" s="2324"/>
      <c r="AA636" s="2324"/>
      <c r="AB636" s="2325"/>
      <c r="AC636" s="2557"/>
      <c r="AD636" s="2558"/>
      <c r="AE636" s="2559"/>
      <c r="AF636" s="2323"/>
      <c r="AG636" s="2324"/>
      <c r="AH636" s="2324"/>
      <c r="AI636" s="2324"/>
      <c r="AJ636" s="2325"/>
      <c r="AK636" s="2408"/>
      <c r="AL636" s="2409"/>
      <c r="AM636" s="2409"/>
      <c r="AN636" s="2410"/>
      <c r="AO636" s="2373"/>
      <c r="AP636" s="2373"/>
      <c r="AQ636" s="2373"/>
      <c r="AR636" s="2373"/>
      <c r="AS636" s="2373"/>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172">
        <f>BN635+BS635+BX635+CC635+CH635+CM635</f>
        <v>150</v>
      </c>
      <c r="CN636" s="2178"/>
      <c r="CO636" s="2178"/>
      <c r="CP636" s="2178"/>
      <c r="CQ636" s="2173"/>
      <c r="CR636" s="697"/>
      <c r="CS636" s="181"/>
      <c r="CT636" s="181"/>
      <c r="CU636" s="181"/>
      <c r="CV636" s="181"/>
      <c r="CW636" s="181"/>
      <c r="CX636" s="181"/>
      <c r="CY636" s="181"/>
      <c r="CZ636" s="181"/>
      <c r="DA636" s="181"/>
      <c r="DB636" s="181"/>
      <c r="DC636" s="181"/>
      <c r="DD636" s="181"/>
      <c r="DE636" s="181"/>
      <c r="DF636" s="181"/>
    </row>
    <row r="637" spans="1:157" ht="13">
      <c r="B637" s="83" t="s">
        <v>117</v>
      </c>
      <c r="C637" s="2171" t="str">
        <f>C564</f>
        <v>Citibank, N.A. - Tax Exempt Bonds</v>
      </c>
      <c r="D637" s="2171"/>
      <c r="E637" s="2171"/>
      <c r="F637" s="2171"/>
      <c r="G637" s="2171"/>
      <c r="H637" s="2171"/>
      <c r="I637" s="2171"/>
      <c r="J637" s="2171"/>
      <c r="K637" s="2171"/>
      <c r="L637" s="2171"/>
      <c r="M637" s="2171"/>
      <c r="N637" s="2415"/>
      <c r="O637" s="2251">
        <f>18*12</f>
        <v>216</v>
      </c>
      <c r="P637" s="2252"/>
      <c r="Q637" s="2253"/>
      <c r="R637" s="2153">
        <v>480</v>
      </c>
      <c r="S637" s="2058"/>
      <c r="T637" s="2059"/>
      <c r="U637" s="2411">
        <v>4.1500000000000002E-2</v>
      </c>
      <c r="V637" s="2412"/>
      <c r="W637" s="2413"/>
      <c r="X637" s="2300" t="s">
        <v>2151</v>
      </c>
      <c r="Y637" s="2549"/>
      <c r="Z637" s="2549"/>
      <c r="AA637" s="2549"/>
      <c r="AB637" s="2550"/>
      <c r="AC637" s="2126">
        <v>1</v>
      </c>
      <c r="AD637" s="2127"/>
      <c r="AE637" s="2128"/>
      <c r="AF637" s="2260">
        <v>1706016</v>
      </c>
      <c r="AG637" s="2261"/>
      <c r="AH637" s="2261"/>
      <c r="AI637" s="2261"/>
      <c r="AJ637" s="2262"/>
      <c r="AK637" s="2370"/>
      <c r="AL637" s="2371"/>
      <c r="AM637" s="2371"/>
      <c r="AN637" s="2372"/>
      <c r="AO637" s="2129">
        <v>33190000</v>
      </c>
      <c r="AP637" s="2129"/>
      <c r="AQ637" s="2129"/>
      <c r="AR637" s="2129"/>
      <c r="AS637" s="2129"/>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90</v>
      </c>
      <c r="BS637" s="58"/>
      <c r="BT637" s="58"/>
      <c r="BU637" s="58"/>
      <c r="BV637" s="58"/>
      <c r="BW637" s="1470">
        <f>BS635*1</f>
        <v>34</v>
      </c>
      <c r="BX637" s="58"/>
      <c r="BY637" s="58"/>
      <c r="BZ637" s="58"/>
      <c r="CA637" s="58"/>
      <c r="CB637" s="1470">
        <f>BX635*2</f>
        <v>46</v>
      </c>
      <c r="CC637" s="58"/>
      <c r="CD637" s="58"/>
      <c r="CE637" s="58"/>
      <c r="CF637" s="58"/>
      <c r="CG637" s="1470">
        <f>CC635*3</f>
        <v>9</v>
      </c>
      <c r="CH637" s="58"/>
      <c r="CI637" s="58"/>
      <c r="CJ637" s="58"/>
      <c r="CK637" s="58"/>
      <c r="CL637" s="1470">
        <f>CH635*4</f>
        <v>0</v>
      </c>
      <c r="CM637" s="58"/>
      <c r="CN637" s="58"/>
      <c r="CO637" s="58"/>
      <c r="CP637" s="58"/>
      <c r="CQ637" s="1470">
        <f>CM635*5</f>
        <v>0</v>
      </c>
      <c r="CS637" s="1470">
        <f>BR637+BW637+CB637+CG637+CL637+CQ637</f>
        <v>179</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71" t="str">
        <f>C566</f>
        <v>City of Santa Clara</v>
      </c>
      <c r="D638" s="2171"/>
      <c r="E638" s="2171"/>
      <c r="F638" s="2171"/>
      <c r="G638" s="2171"/>
      <c r="H638" s="2171"/>
      <c r="I638" s="2171"/>
      <c r="J638" s="2171"/>
      <c r="K638" s="2171"/>
      <c r="L638" s="2171"/>
      <c r="M638" s="2171"/>
      <c r="N638" s="2415"/>
      <c r="O638" s="2251">
        <v>660</v>
      </c>
      <c r="P638" s="2252"/>
      <c r="Q638" s="2253"/>
      <c r="R638" s="2167" t="s">
        <v>625</v>
      </c>
      <c r="S638" s="2058"/>
      <c r="T638" s="2059"/>
      <c r="U638" s="2411">
        <v>0.03</v>
      </c>
      <c r="V638" s="2412"/>
      <c r="W638" s="2413"/>
      <c r="X638" s="2300" t="s">
        <v>489</v>
      </c>
      <c r="Y638" s="2549"/>
      <c r="Z638" s="2549"/>
      <c r="AA638" s="2549"/>
      <c r="AB638" s="2550"/>
      <c r="AC638" s="2126">
        <v>2</v>
      </c>
      <c r="AD638" s="2127"/>
      <c r="AE638" s="2128"/>
      <c r="AF638" s="2260"/>
      <c r="AG638" s="2261"/>
      <c r="AH638" s="2261"/>
      <c r="AI638" s="2261"/>
      <c r="AJ638" s="2262"/>
      <c r="AK638" s="2370"/>
      <c r="AL638" s="2371"/>
      <c r="AM638" s="2371"/>
      <c r="AN638" s="2372"/>
      <c r="AO638" s="2129">
        <v>6000000</v>
      </c>
      <c r="AP638" s="2129"/>
      <c r="AQ638" s="2129"/>
      <c r="AR638" s="2129"/>
      <c r="AS638" s="2129"/>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8">
        <f t="shared" ref="DX638:DX662" si="22">DX610*(BN610/$BN$635)</f>
        <v>83.5</v>
      </c>
      <c r="DY638" s="2548"/>
      <c r="DZ638" s="2548"/>
      <c r="EA638" s="2548"/>
      <c r="EB638" s="2548"/>
      <c r="EC638" s="2548" t="e">
        <f t="shared" ref="EC638:EC662" si="23">EC610*(BS610/$BS$635)</f>
        <v>#VALUE!</v>
      </c>
      <c r="ED638" s="2548"/>
      <c r="EE638" s="2548"/>
      <c r="EF638" s="2548"/>
      <c r="EG638" s="2548"/>
      <c r="EH638" s="2548" t="e">
        <f t="shared" ref="EH638:EH662" si="24">EH610*(BX610/$BX$635)</f>
        <v>#VALUE!</v>
      </c>
      <c r="EI638" s="2548"/>
      <c r="EJ638" s="2548"/>
      <c r="EK638" s="2548"/>
      <c r="EL638" s="2548"/>
      <c r="EM638" s="2548" t="e">
        <f t="shared" ref="EM638:EM662" si="25">EM610*(CC610/$CC$635)</f>
        <v>#VALUE!</v>
      </c>
      <c r="EN638" s="2548"/>
      <c r="EO638" s="2548"/>
      <c r="EP638" s="2548"/>
      <c r="EQ638" s="2548"/>
      <c r="ER638" s="2548" t="e">
        <f t="shared" ref="ER638:ER662" si="26">ER610*(CH610/$CH$635)</f>
        <v>#VALUE!</v>
      </c>
      <c r="ES638" s="2548"/>
      <c r="ET638" s="2548"/>
      <c r="EU638" s="2548"/>
      <c r="EV638" s="2548"/>
      <c r="EW638" s="2548" t="e">
        <f t="shared" ref="EW638:EW662" si="27">EW610*(CM610/$CM$635)</f>
        <v>#VALUE!</v>
      </c>
      <c r="EX638" s="2548"/>
      <c r="EY638" s="2548"/>
      <c r="EZ638" s="2548"/>
      <c r="FA638" s="2548"/>
    </row>
    <row r="639" spans="1:157" ht="12.75" customHeight="1">
      <c r="B639" s="84" t="s">
        <v>124</v>
      </c>
      <c r="C639" s="2051" t="s">
        <v>2536</v>
      </c>
      <c r="D639" s="2171"/>
      <c r="E639" s="2171"/>
      <c r="F639" s="2171"/>
      <c r="G639" s="2171"/>
      <c r="H639" s="2171"/>
      <c r="I639" s="2171"/>
      <c r="J639" s="2171"/>
      <c r="K639" s="2171"/>
      <c r="L639" s="2171"/>
      <c r="M639" s="2171"/>
      <c r="N639" s="2415"/>
      <c r="O639" s="2251"/>
      <c r="P639" s="2252"/>
      <c r="Q639" s="2253"/>
      <c r="R639" s="2153"/>
      <c r="S639" s="2058"/>
      <c r="T639" s="2059"/>
      <c r="U639" s="2411"/>
      <c r="V639" s="2412"/>
      <c r="W639" s="2413"/>
      <c r="X639" s="2300" t="s">
        <v>1383</v>
      </c>
      <c r="Y639" s="2549"/>
      <c r="Z639" s="2549"/>
      <c r="AA639" s="2549"/>
      <c r="AB639" s="2550"/>
      <c r="AC639" s="2126"/>
      <c r="AD639" s="2127"/>
      <c r="AE639" s="2128"/>
      <c r="AF639" s="2260"/>
      <c r="AG639" s="2261"/>
      <c r="AH639" s="2261"/>
      <c r="AI639" s="2261"/>
      <c r="AJ639" s="2262"/>
      <c r="AK639" s="2370"/>
      <c r="AL639" s="2371"/>
      <c r="AM639" s="2371"/>
      <c r="AN639" s="2372"/>
      <c r="AO639" s="2129">
        <v>132746</v>
      </c>
      <c r="AP639" s="2129"/>
      <c r="AQ639" s="2129"/>
      <c r="AR639" s="2129"/>
      <c r="AS639" s="2129"/>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8">
        <f t="shared" si="22"/>
        <v>503.11111111111114</v>
      </c>
      <c r="DY639" s="2548"/>
      <c r="DZ639" s="2548"/>
      <c r="EA639" s="2548"/>
      <c r="EB639" s="2548"/>
      <c r="EC639" s="2548" t="e">
        <f t="shared" si="23"/>
        <v>#VALUE!</v>
      </c>
      <c r="ED639" s="2548"/>
      <c r="EE639" s="2548"/>
      <c r="EF639" s="2548"/>
      <c r="EG639" s="2548"/>
      <c r="EH639" s="2548" t="e">
        <f t="shared" si="24"/>
        <v>#VALUE!</v>
      </c>
      <c r="EI639" s="2548"/>
      <c r="EJ639" s="2548"/>
      <c r="EK639" s="2548"/>
      <c r="EL639" s="2548"/>
      <c r="EM639" s="2548" t="e">
        <f t="shared" si="25"/>
        <v>#VALUE!</v>
      </c>
      <c r="EN639" s="2548"/>
      <c r="EO639" s="2548"/>
      <c r="EP639" s="2548"/>
      <c r="EQ639" s="2548"/>
      <c r="ER639" s="2548" t="e">
        <f t="shared" si="26"/>
        <v>#VALUE!</v>
      </c>
      <c r="ES639" s="2548"/>
      <c r="ET639" s="2548"/>
      <c r="EU639" s="2548"/>
      <c r="EV639" s="2548"/>
      <c r="EW639" s="2548" t="e">
        <f t="shared" si="27"/>
        <v>#VALUE!</v>
      </c>
      <c r="EX639" s="2548"/>
      <c r="EY639" s="2548"/>
      <c r="EZ639" s="2548"/>
      <c r="FA639" s="2548"/>
    </row>
    <row r="640" spans="1:157" ht="12.5">
      <c r="B640" s="84" t="s">
        <v>615</v>
      </c>
      <c r="C640" s="2051" t="s">
        <v>2527</v>
      </c>
      <c r="D640" s="2171"/>
      <c r="E640" s="2171"/>
      <c r="F640" s="2171"/>
      <c r="G640" s="2171"/>
      <c r="H640" s="2171"/>
      <c r="I640" s="2171"/>
      <c r="J640" s="2171"/>
      <c r="K640" s="2171"/>
      <c r="L640" s="2171"/>
      <c r="M640" s="2171"/>
      <c r="N640" s="2415"/>
      <c r="O640" s="2251"/>
      <c r="P640" s="2252"/>
      <c r="Q640" s="2253"/>
      <c r="R640" s="2153"/>
      <c r="S640" s="2058"/>
      <c r="T640" s="2059"/>
      <c r="U640" s="2411"/>
      <c r="V640" s="2412"/>
      <c r="W640" s="2413"/>
      <c r="X640" s="2300" t="s">
        <v>1383</v>
      </c>
      <c r="Y640" s="2549"/>
      <c r="Z640" s="2549"/>
      <c r="AA640" s="2549"/>
      <c r="AB640" s="2550"/>
      <c r="AC640" s="2126"/>
      <c r="AD640" s="2127"/>
      <c r="AE640" s="2128"/>
      <c r="AF640" s="2260"/>
      <c r="AG640" s="2261"/>
      <c r="AH640" s="2261"/>
      <c r="AI640" s="2261"/>
      <c r="AJ640" s="2262"/>
      <c r="AK640" s="2370"/>
      <c r="AL640" s="2371"/>
      <c r="AM640" s="2371"/>
      <c r="AN640" s="2372"/>
      <c r="AO640" s="2129">
        <v>1800000</v>
      </c>
      <c r="AP640" s="2129"/>
      <c r="AQ640" s="2129"/>
      <c r="AR640" s="2129"/>
      <c r="AS640" s="2129"/>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4">
        <f>IF(J772="SRO/Studio",O772,0)</f>
        <v>0</v>
      </c>
      <c r="BO640" s="2015"/>
      <c r="BP640" s="2015"/>
      <c r="BQ640" s="2015"/>
      <c r="BR640" s="2016"/>
      <c r="BS640" s="2013">
        <f>IF(J772="1 Bedroom",O772,0)</f>
        <v>0</v>
      </c>
      <c r="BT640" s="2013"/>
      <c r="BU640" s="2013"/>
      <c r="BV640" s="2013"/>
      <c r="BW640" s="2013"/>
      <c r="BX640" s="2013">
        <f>IF(J772="2 Bedrooms",O772,0)</f>
        <v>1</v>
      </c>
      <c r="BY640" s="2013"/>
      <c r="BZ640" s="2013"/>
      <c r="CA640" s="2013"/>
      <c r="CB640" s="2013"/>
      <c r="CC640" s="2013">
        <f>IF(J772="3 Bedrooms",O772,0)</f>
        <v>0</v>
      </c>
      <c r="CD640" s="2013"/>
      <c r="CE640" s="2013"/>
      <c r="CF640" s="2013"/>
      <c r="CG640" s="2013"/>
      <c r="CH640" s="2013">
        <f>IF(J772="4 Bedrooms",O772,0)</f>
        <v>0</v>
      </c>
      <c r="CI640" s="2013"/>
      <c r="CJ640" s="2013"/>
      <c r="CK640" s="2013"/>
      <c r="CL640" s="2013"/>
      <c r="CM640" s="2013">
        <f>IF(J772="5 Bedrooms",O772,0)</f>
        <v>0</v>
      </c>
      <c r="CN640" s="2013"/>
      <c r="CO640" s="2013"/>
      <c r="CP640" s="2013"/>
      <c r="CQ640" s="2013"/>
      <c r="CR640" s="265"/>
      <c r="CS640" s="58"/>
      <c r="CT640" s="58"/>
      <c r="CU640" s="58"/>
      <c r="CV640" s="58"/>
      <c r="CW640" s="58"/>
      <c r="CX640" s="58"/>
      <c r="CY640" s="58"/>
      <c r="CZ640" s="58"/>
      <c r="DA640" s="58"/>
      <c r="DB640" s="58"/>
      <c r="DC640" s="58"/>
      <c r="DD640" s="58"/>
      <c r="DE640" s="58"/>
      <c r="DF640" s="58"/>
      <c r="DX640" s="2548">
        <f t="shared" si="22"/>
        <v>892.8888888888888</v>
      </c>
      <c r="DY640" s="2548"/>
      <c r="DZ640" s="2548"/>
      <c r="EA640" s="2548"/>
      <c r="EB640" s="2548"/>
      <c r="EC640" s="2548" t="e">
        <f t="shared" si="23"/>
        <v>#VALUE!</v>
      </c>
      <c r="ED640" s="2548"/>
      <c r="EE640" s="2548"/>
      <c r="EF640" s="2548"/>
      <c r="EG640" s="2548"/>
      <c r="EH640" s="2548" t="e">
        <f t="shared" si="24"/>
        <v>#VALUE!</v>
      </c>
      <c r="EI640" s="2548"/>
      <c r="EJ640" s="2548"/>
      <c r="EK640" s="2548"/>
      <c r="EL640" s="2548"/>
      <c r="EM640" s="2548" t="e">
        <f t="shared" si="25"/>
        <v>#VALUE!</v>
      </c>
      <c r="EN640" s="2548"/>
      <c r="EO640" s="2548"/>
      <c r="EP640" s="2548"/>
      <c r="EQ640" s="2548"/>
      <c r="ER640" s="2548" t="e">
        <f t="shared" si="26"/>
        <v>#VALUE!</v>
      </c>
      <c r="ES640" s="2548"/>
      <c r="ET640" s="2548"/>
      <c r="EU640" s="2548"/>
      <c r="EV640" s="2548"/>
      <c r="EW640" s="2548" t="e">
        <f t="shared" si="27"/>
        <v>#VALUE!</v>
      </c>
      <c r="EX640" s="2548"/>
      <c r="EY640" s="2548"/>
      <c r="EZ640" s="2548"/>
      <c r="FA640" s="2548"/>
    </row>
    <row r="641" spans="1:157" ht="12.5">
      <c r="B641" s="84" t="s">
        <v>820</v>
      </c>
      <c r="C641" s="2171"/>
      <c r="D641" s="2171"/>
      <c r="E641" s="2171"/>
      <c r="F641" s="2171"/>
      <c r="G641" s="2171"/>
      <c r="H641" s="2171"/>
      <c r="I641" s="2171"/>
      <c r="J641" s="2171"/>
      <c r="K641" s="2171"/>
      <c r="L641" s="2171"/>
      <c r="M641" s="2171"/>
      <c r="N641" s="2415"/>
      <c r="O641" s="2251"/>
      <c r="P641" s="2252"/>
      <c r="Q641" s="2253"/>
      <c r="R641" s="2153"/>
      <c r="S641" s="2058"/>
      <c r="T641" s="2059"/>
      <c r="U641" s="2411"/>
      <c r="V641" s="2412"/>
      <c r="W641" s="2413"/>
      <c r="X641" s="2300" t="s">
        <v>1383</v>
      </c>
      <c r="Y641" s="2549"/>
      <c r="Z641" s="2549"/>
      <c r="AA641" s="2549"/>
      <c r="AB641" s="2550"/>
      <c r="AC641" s="2126"/>
      <c r="AD641" s="2127"/>
      <c r="AE641" s="2128"/>
      <c r="AF641" s="2260"/>
      <c r="AG641" s="2261"/>
      <c r="AH641" s="2261"/>
      <c r="AI641" s="2261"/>
      <c r="AJ641" s="2262"/>
      <c r="AK641" s="2370"/>
      <c r="AL641" s="2371"/>
      <c r="AM641" s="2371"/>
      <c r="AN641" s="2372"/>
      <c r="AO641" s="2129"/>
      <c r="AP641" s="2129"/>
      <c r="AQ641" s="2129"/>
      <c r="AR641" s="2129"/>
      <c r="AS641" s="212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4">
        <f>IF(J773="SRO/Studio",O773,0)</f>
        <v>0</v>
      </c>
      <c r="BO641" s="2015"/>
      <c r="BP641" s="2015"/>
      <c r="BQ641" s="2015"/>
      <c r="BR641" s="2016"/>
      <c r="BS641" s="2013">
        <f>IF(J773="1 Bedroom",O773,0)</f>
        <v>0</v>
      </c>
      <c r="BT641" s="2013"/>
      <c r="BU641" s="2013"/>
      <c r="BV641" s="2013"/>
      <c r="BW641" s="2013"/>
      <c r="BX641" s="2013">
        <f>IF(J773="2 Bedrooms",O773,0)</f>
        <v>0</v>
      </c>
      <c r="BY641" s="2013"/>
      <c r="BZ641" s="2013"/>
      <c r="CA641" s="2013"/>
      <c r="CB641" s="2013"/>
      <c r="CC641" s="2013">
        <f>IF(J773="3 Bedrooms",O773,0)</f>
        <v>0</v>
      </c>
      <c r="CD641" s="2013"/>
      <c r="CE641" s="2013"/>
      <c r="CF641" s="2013"/>
      <c r="CG641" s="2013"/>
      <c r="CH641" s="2013">
        <f>IF(J773="4 Bedrooms",O773,0)</f>
        <v>0</v>
      </c>
      <c r="CI641" s="2013"/>
      <c r="CJ641" s="2013"/>
      <c r="CK641" s="2013"/>
      <c r="CL641" s="2013"/>
      <c r="CM641" s="2013">
        <f>IF(J773="5 Bedrooms",O773,0)</f>
        <v>0</v>
      </c>
      <c r="CN641" s="2013"/>
      <c r="CO641" s="2013"/>
      <c r="CP641" s="2013"/>
      <c r="CQ641" s="2013"/>
      <c r="CR641" s="265"/>
      <c r="CS641" s="58"/>
      <c r="CT641" s="58"/>
      <c r="CU641" s="58"/>
      <c r="CV641" s="58"/>
      <c r="CW641" s="58"/>
      <c r="CX641" s="58"/>
      <c r="CY641" s="58"/>
      <c r="CZ641" s="58"/>
      <c r="DA641" s="58"/>
      <c r="DB641" s="58"/>
      <c r="DC641" s="58"/>
      <c r="DD641" s="58"/>
      <c r="DE641" s="58"/>
      <c r="DF641" s="58"/>
      <c r="DX641" s="2548" t="e">
        <f t="shared" si="22"/>
        <v>#VALUE!</v>
      </c>
      <c r="DY641" s="2548"/>
      <c r="DZ641" s="2548"/>
      <c r="EA641" s="2548"/>
      <c r="EB641" s="2548"/>
      <c r="EC641" s="2548">
        <f t="shared" si="23"/>
        <v>78.529411764705884</v>
      </c>
      <c r="ED641" s="2548"/>
      <c r="EE641" s="2548"/>
      <c r="EF641" s="2548"/>
      <c r="EG641" s="2548"/>
      <c r="EH641" s="2548" t="e">
        <f t="shared" si="24"/>
        <v>#VALUE!</v>
      </c>
      <c r="EI641" s="2548"/>
      <c r="EJ641" s="2548"/>
      <c r="EK641" s="2548"/>
      <c r="EL641" s="2548"/>
      <c r="EM641" s="2548" t="e">
        <f t="shared" si="25"/>
        <v>#VALUE!</v>
      </c>
      <c r="EN641" s="2548"/>
      <c r="EO641" s="2548"/>
      <c r="EP641" s="2548"/>
      <c r="EQ641" s="2548"/>
      <c r="ER641" s="2548" t="e">
        <f t="shared" si="26"/>
        <v>#VALUE!</v>
      </c>
      <c r="ES641" s="2548"/>
      <c r="ET641" s="2548"/>
      <c r="EU641" s="2548"/>
      <c r="EV641" s="2548"/>
      <c r="EW641" s="2548" t="e">
        <f t="shared" si="27"/>
        <v>#VALUE!</v>
      </c>
      <c r="EX641" s="2548"/>
      <c r="EY641" s="2548"/>
      <c r="EZ641" s="2548"/>
      <c r="FA641" s="2548"/>
    </row>
    <row r="642" spans="1:157" ht="12.5">
      <c r="B642" s="84" t="s">
        <v>618</v>
      </c>
      <c r="C642" s="2171"/>
      <c r="D642" s="2171"/>
      <c r="E642" s="2171"/>
      <c r="F642" s="2171"/>
      <c r="G642" s="2171"/>
      <c r="H642" s="2171"/>
      <c r="I642" s="2171"/>
      <c r="J642" s="2171"/>
      <c r="K642" s="2171"/>
      <c r="L642" s="2171"/>
      <c r="M642" s="2171"/>
      <c r="N642" s="2415"/>
      <c r="O642" s="2251"/>
      <c r="P642" s="2252"/>
      <c r="Q642" s="2253"/>
      <c r="R642" s="2153"/>
      <c r="S642" s="2058"/>
      <c r="T642" s="2059"/>
      <c r="U642" s="2411"/>
      <c r="V642" s="2412"/>
      <c r="W642" s="2413"/>
      <c r="X642" s="2300" t="s">
        <v>1383</v>
      </c>
      <c r="Y642" s="2549"/>
      <c r="Z642" s="2549"/>
      <c r="AA642" s="2549"/>
      <c r="AB642" s="2550"/>
      <c r="AC642" s="2126"/>
      <c r="AD642" s="2127"/>
      <c r="AE642" s="2128"/>
      <c r="AF642" s="2260"/>
      <c r="AG642" s="2261"/>
      <c r="AH642" s="2261"/>
      <c r="AI642" s="2261"/>
      <c r="AJ642" s="2262"/>
      <c r="AK642" s="2370"/>
      <c r="AL642" s="2371"/>
      <c r="AM642" s="2371"/>
      <c r="AN642" s="2372"/>
      <c r="AO642" s="2129"/>
      <c r="AP642" s="2129"/>
      <c r="AQ642" s="2129"/>
      <c r="AR642" s="2129"/>
      <c r="AS642" s="212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4">
        <f>IF(J774="SRO/Studio",O774,0)</f>
        <v>0</v>
      </c>
      <c r="BO642" s="2015"/>
      <c r="BP642" s="2015"/>
      <c r="BQ642" s="2015"/>
      <c r="BR642" s="2016"/>
      <c r="BS642" s="2013">
        <f>IF(J774="1 Bedroom",O774,0)</f>
        <v>0</v>
      </c>
      <c r="BT642" s="2013"/>
      <c r="BU642" s="2013"/>
      <c r="BV642" s="2013"/>
      <c r="BW642" s="2013"/>
      <c r="BX642" s="2013">
        <f>IF(J774="2 Bedrooms",O774,0)</f>
        <v>0</v>
      </c>
      <c r="BY642" s="2013"/>
      <c r="BZ642" s="2013"/>
      <c r="CA642" s="2013"/>
      <c r="CB642" s="2013"/>
      <c r="CC642" s="2013">
        <f>IF(J774="3 Bedrooms",O774,0)</f>
        <v>0</v>
      </c>
      <c r="CD642" s="2013"/>
      <c r="CE642" s="2013"/>
      <c r="CF642" s="2013"/>
      <c r="CG642" s="2013"/>
      <c r="CH642" s="2013">
        <f>IF(J774="4 Bedrooms",O774,0)</f>
        <v>0</v>
      </c>
      <c r="CI642" s="2013"/>
      <c r="CJ642" s="2013"/>
      <c r="CK642" s="2013"/>
      <c r="CL642" s="2013"/>
      <c r="CM642" s="2013">
        <f>IF(J774="5 Bedrooms",O774,0)</f>
        <v>0</v>
      </c>
      <c r="CN642" s="2013"/>
      <c r="CO642" s="2013"/>
      <c r="CP642" s="2013"/>
      <c r="CQ642" s="2013"/>
      <c r="CR642" s="1805"/>
      <c r="CV642" s="58"/>
      <c r="CW642" s="58"/>
      <c r="CX642" s="58"/>
      <c r="CY642" s="58"/>
      <c r="CZ642" s="58"/>
      <c r="DA642" s="58"/>
      <c r="DB642" s="58"/>
      <c r="DC642" s="58"/>
      <c r="DD642" s="58"/>
      <c r="DE642" s="58"/>
      <c r="DF642" s="58"/>
      <c r="DX642" s="2548" t="e">
        <f t="shared" si="22"/>
        <v>#VALUE!</v>
      </c>
      <c r="DY642" s="2548"/>
      <c r="DZ642" s="2548"/>
      <c r="EA642" s="2548"/>
      <c r="EB642" s="2548"/>
      <c r="EC642" s="2548">
        <f t="shared" si="23"/>
        <v>755.5</v>
      </c>
      <c r="ED642" s="2548"/>
      <c r="EE642" s="2548"/>
      <c r="EF642" s="2548"/>
      <c r="EG642" s="2548"/>
      <c r="EH642" s="2548" t="e">
        <f t="shared" si="24"/>
        <v>#VALUE!</v>
      </c>
      <c r="EI642" s="2548"/>
      <c r="EJ642" s="2548"/>
      <c r="EK642" s="2548"/>
      <c r="EL642" s="2548"/>
      <c r="EM642" s="2548" t="e">
        <f t="shared" si="25"/>
        <v>#VALUE!</v>
      </c>
      <c r="EN642" s="2548"/>
      <c r="EO642" s="2548"/>
      <c r="EP642" s="2548"/>
      <c r="EQ642" s="2548"/>
      <c r="ER642" s="2548" t="e">
        <f t="shared" si="26"/>
        <v>#VALUE!</v>
      </c>
      <c r="ES642" s="2548"/>
      <c r="ET642" s="2548"/>
      <c r="EU642" s="2548"/>
      <c r="EV642" s="2548"/>
      <c r="EW642" s="2548" t="e">
        <f t="shared" si="27"/>
        <v>#VALUE!</v>
      </c>
      <c r="EX642" s="2548"/>
      <c r="EY642" s="2548"/>
      <c r="EZ642" s="2548"/>
      <c r="FA642" s="2548"/>
    </row>
    <row r="643" spans="1:157" ht="12.5">
      <c r="B643" s="84" t="s">
        <v>486</v>
      </c>
      <c r="C643" s="2171"/>
      <c r="D643" s="2171"/>
      <c r="E643" s="2171"/>
      <c r="F643" s="2171"/>
      <c r="G643" s="2171"/>
      <c r="H643" s="2171"/>
      <c r="I643" s="2171"/>
      <c r="J643" s="2171"/>
      <c r="K643" s="2171"/>
      <c r="L643" s="2171"/>
      <c r="M643" s="2171"/>
      <c r="N643" s="2415"/>
      <c r="O643" s="2251"/>
      <c r="P643" s="2252"/>
      <c r="Q643" s="2253"/>
      <c r="R643" s="2153"/>
      <c r="S643" s="2058"/>
      <c r="T643" s="2059"/>
      <c r="U643" s="2411"/>
      <c r="V643" s="2412"/>
      <c r="W643" s="2413"/>
      <c r="X643" s="2300" t="s">
        <v>1383</v>
      </c>
      <c r="Y643" s="2549"/>
      <c r="Z643" s="2549"/>
      <c r="AA643" s="2549"/>
      <c r="AB643" s="2550"/>
      <c r="AC643" s="2126"/>
      <c r="AD643" s="2127"/>
      <c r="AE643" s="2128"/>
      <c r="AF643" s="2260"/>
      <c r="AG643" s="2261"/>
      <c r="AH643" s="2261"/>
      <c r="AI643" s="2261"/>
      <c r="AJ643" s="2262"/>
      <c r="AK643" s="2370"/>
      <c r="AL643" s="2371"/>
      <c r="AM643" s="2371"/>
      <c r="AN643" s="2372"/>
      <c r="AO643" s="2129"/>
      <c r="AP643" s="2129"/>
      <c r="AQ643" s="2129"/>
      <c r="AR643" s="2129"/>
      <c r="AS643" s="212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4">
        <f>IF(J775="SRO/Studio",O775,0)</f>
        <v>0</v>
      </c>
      <c r="BO643" s="2015"/>
      <c r="BP643" s="2015"/>
      <c r="BQ643" s="2015"/>
      <c r="BR643" s="2016"/>
      <c r="BS643" s="2013">
        <f>IF(J775="1 Bedroom",O775,0)</f>
        <v>0</v>
      </c>
      <c r="BT643" s="2013"/>
      <c r="BU643" s="2013"/>
      <c r="BV643" s="2013"/>
      <c r="BW643" s="2013"/>
      <c r="BX643" s="2013">
        <f>IF(J775="2 Bedrooms",O775,0)</f>
        <v>0</v>
      </c>
      <c r="BY643" s="2013"/>
      <c r="BZ643" s="2013"/>
      <c r="CA643" s="2013"/>
      <c r="CB643" s="2013"/>
      <c r="CC643" s="2013">
        <f>IF(J775="3 Bedrooms",O775,0)</f>
        <v>0</v>
      </c>
      <c r="CD643" s="2013"/>
      <c r="CE643" s="2013"/>
      <c r="CF643" s="2013"/>
      <c r="CG643" s="2013"/>
      <c r="CH643" s="2013">
        <f>IF(J775="4 Bedrooms",O775,0)</f>
        <v>0</v>
      </c>
      <c r="CI643" s="2013"/>
      <c r="CJ643" s="2013"/>
      <c r="CK643" s="2013"/>
      <c r="CL643" s="2013"/>
      <c r="CM643" s="2013">
        <f>IF(J775="5 Bedrooms",O775,0)</f>
        <v>0</v>
      </c>
      <c r="CN643" s="2013"/>
      <c r="CO643" s="2013"/>
      <c r="CP643" s="2013"/>
      <c r="CQ643" s="2013"/>
      <c r="CV643" s="58"/>
      <c r="CW643" s="58"/>
      <c r="CX643" s="58"/>
      <c r="CY643" s="58"/>
      <c r="CZ643" s="58"/>
      <c r="DA643" s="58"/>
      <c r="DB643" s="58"/>
      <c r="DC643" s="58"/>
      <c r="DD643" s="58"/>
      <c r="DE643" s="58"/>
      <c r="DF643" s="58"/>
      <c r="DX643" s="2548" t="e">
        <f t="shared" si="22"/>
        <v>#VALUE!</v>
      </c>
      <c r="DY643" s="2548"/>
      <c r="DZ643" s="2548"/>
      <c r="EA643" s="2548"/>
      <c r="EB643" s="2548"/>
      <c r="EC643" s="2548">
        <f t="shared" si="23"/>
        <v>878.29411764705878</v>
      </c>
      <c r="ED643" s="2548"/>
      <c r="EE643" s="2548"/>
      <c r="EF643" s="2548"/>
      <c r="EG643" s="2548"/>
      <c r="EH643" s="2548" t="e">
        <f t="shared" si="24"/>
        <v>#VALUE!</v>
      </c>
      <c r="EI643" s="2548"/>
      <c r="EJ643" s="2548"/>
      <c r="EK643" s="2548"/>
      <c r="EL643" s="2548"/>
      <c r="EM643" s="2548" t="e">
        <f t="shared" si="25"/>
        <v>#VALUE!</v>
      </c>
      <c r="EN643" s="2548"/>
      <c r="EO643" s="2548"/>
      <c r="EP643" s="2548"/>
      <c r="EQ643" s="2548"/>
      <c r="ER643" s="2548" t="e">
        <f t="shared" si="26"/>
        <v>#VALUE!</v>
      </c>
      <c r="ES643" s="2548"/>
      <c r="ET643" s="2548"/>
      <c r="EU643" s="2548"/>
      <c r="EV643" s="2548"/>
      <c r="EW643" s="2548" t="e">
        <f t="shared" si="27"/>
        <v>#VALUE!</v>
      </c>
      <c r="EX643" s="2548"/>
      <c r="EY643" s="2548"/>
      <c r="EZ643" s="2548"/>
      <c r="FA643" s="2548"/>
    </row>
    <row r="644" spans="1:157" ht="13">
      <c r="B644" s="84" t="s">
        <v>487</v>
      </c>
      <c r="C644" s="2171"/>
      <c r="D644" s="2171"/>
      <c r="E644" s="2171"/>
      <c r="F644" s="2171"/>
      <c r="G644" s="2171"/>
      <c r="H644" s="2171"/>
      <c r="I644" s="2171"/>
      <c r="J644" s="2171"/>
      <c r="K644" s="2171"/>
      <c r="L644" s="2171"/>
      <c r="M644" s="2171"/>
      <c r="N644" s="2415"/>
      <c r="O644" s="2251"/>
      <c r="P644" s="2252"/>
      <c r="Q644" s="2253"/>
      <c r="R644" s="2153"/>
      <c r="S644" s="2058"/>
      <c r="T644" s="2059"/>
      <c r="U644" s="2411"/>
      <c r="V644" s="2412"/>
      <c r="W644" s="2413"/>
      <c r="X644" s="2300" t="s">
        <v>1383</v>
      </c>
      <c r="Y644" s="2549"/>
      <c r="Z644" s="2549"/>
      <c r="AA644" s="2549"/>
      <c r="AB644" s="2550"/>
      <c r="AC644" s="2126"/>
      <c r="AD644" s="2127"/>
      <c r="AE644" s="2128"/>
      <c r="AF644" s="2260"/>
      <c r="AG644" s="2261"/>
      <c r="AH644" s="2261"/>
      <c r="AI644" s="2261"/>
      <c r="AJ644" s="2262"/>
      <c r="AK644" s="2370"/>
      <c r="AL644" s="2371"/>
      <c r="AM644" s="2371"/>
      <c r="AN644" s="2372"/>
      <c r="AO644" s="2129"/>
      <c r="AP644" s="2129"/>
      <c r="AQ644" s="2129"/>
      <c r="AR644" s="2129"/>
      <c r="AS644" s="212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7">
        <f>SUM(BN640:BR643)</f>
        <v>0</v>
      </c>
      <c r="BO644" s="2008"/>
      <c r="BP644" s="2008"/>
      <c r="BQ644" s="2008"/>
      <c r="BR644" s="2009"/>
      <c r="BS644" s="2010">
        <f>SUM(BS640:BW643)</f>
        <v>0</v>
      </c>
      <c r="BT644" s="2011"/>
      <c r="BU644" s="2011"/>
      <c r="BV644" s="2011"/>
      <c r="BW644" s="2012"/>
      <c r="BX644" s="2010">
        <f>SUM(BX640:CB643)</f>
        <v>1</v>
      </c>
      <c r="BY644" s="2011"/>
      <c r="BZ644" s="2011"/>
      <c r="CA644" s="2011"/>
      <c r="CB644" s="2012"/>
      <c r="CC644" s="2010">
        <f>SUM(CC640:CG643)</f>
        <v>0</v>
      </c>
      <c r="CD644" s="2011"/>
      <c r="CE644" s="2011"/>
      <c r="CF644" s="2011"/>
      <c r="CG644" s="2012"/>
      <c r="CH644" s="2010">
        <f>SUM(CH640:CL643)</f>
        <v>0</v>
      </c>
      <c r="CI644" s="2011"/>
      <c r="CJ644" s="2011"/>
      <c r="CK644" s="2011"/>
      <c r="CL644" s="2012"/>
      <c r="CM644" s="2010">
        <f>SUM(CM640:CQ643)</f>
        <v>0</v>
      </c>
      <c r="CN644" s="2011"/>
      <c r="CO644" s="2011"/>
      <c r="CP644" s="2011"/>
      <c r="CQ644" s="2012"/>
      <c r="CS644" s="1470">
        <f>BN644+BS644+BX644+CC644+CH644+CM644</f>
        <v>1</v>
      </c>
      <c r="CT644" s="134" t="s">
        <v>2387</v>
      </c>
      <c r="CU644" s="58"/>
      <c r="CV644" s="58"/>
      <c r="CW644" s="58"/>
      <c r="CX644" s="58"/>
      <c r="CY644" s="58"/>
      <c r="CZ644" s="58"/>
      <c r="DA644" s="58"/>
      <c r="DB644" s="58"/>
      <c r="DC644" s="58"/>
      <c r="DD644" s="58"/>
      <c r="DE644" s="58"/>
      <c r="DF644" s="58"/>
      <c r="DX644" s="2548" t="e">
        <f t="shared" si="22"/>
        <v>#VALUE!</v>
      </c>
      <c r="DY644" s="2548"/>
      <c r="DZ644" s="2548"/>
      <c r="EA644" s="2548"/>
      <c r="EB644" s="2548"/>
      <c r="EC644" s="2548" t="e">
        <f t="shared" si="23"/>
        <v>#VALUE!</v>
      </c>
      <c r="ED644" s="2548"/>
      <c r="EE644" s="2548"/>
      <c r="EF644" s="2548"/>
      <c r="EG644" s="2548"/>
      <c r="EH644" s="2548">
        <f t="shared" si="24"/>
        <v>138.52173913043478</v>
      </c>
      <c r="EI644" s="2548"/>
      <c r="EJ644" s="2548"/>
      <c r="EK644" s="2548"/>
      <c r="EL644" s="2548"/>
      <c r="EM644" s="2548" t="e">
        <f t="shared" si="25"/>
        <v>#VALUE!</v>
      </c>
      <c r="EN644" s="2548"/>
      <c r="EO644" s="2548"/>
      <c r="EP644" s="2548"/>
      <c r="EQ644" s="2548"/>
      <c r="ER644" s="2548" t="e">
        <f t="shared" si="26"/>
        <v>#VALUE!</v>
      </c>
      <c r="ES644" s="2548"/>
      <c r="ET644" s="2548"/>
      <c r="EU644" s="2548"/>
      <c r="EV644" s="2548"/>
      <c r="EW644" s="2548" t="e">
        <f t="shared" si="27"/>
        <v>#VALUE!</v>
      </c>
      <c r="EX644" s="2548"/>
      <c r="EY644" s="2548"/>
      <c r="EZ644" s="2548"/>
      <c r="FA644" s="2548"/>
    </row>
    <row r="645" spans="1:157" ht="13">
      <c r="B645" s="84" t="s">
        <v>493</v>
      </c>
      <c r="C645" s="2171"/>
      <c r="D645" s="2171"/>
      <c r="E645" s="2171"/>
      <c r="F645" s="2171"/>
      <c r="G645" s="2171"/>
      <c r="H645" s="2171"/>
      <c r="I645" s="2171"/>
      <c r="J645" s="2171"/>
      <c r="K645" s="2171"/>
      <c r="L645" s="2171"/>
      <c r="M645" s="2171"/>
      <c r="N645" s="2415"/>
      <c r="O645" s="2251"/>
      <c r="P645" s="2252"/>
      <c r="Q645" s="2253"/>
      <c r="R645" s="2153"/>
      <c r="S645" s="2058"/>
      <c r="T645" s="2059"/>
      <c r="U645" s="2411"/>
      <c r="V645" s="2412"/>
      <c r="W645" s="2413"/>
      <c r="X645" s="2300" t="s">
        <v>1383</v>
      </c>
      <c r="Y645" s="2549"/>
      <c r="Z645" s="2549"/>
      <c r="AA645" s="2549"/>
      <c r="AB645" s="2550"/>
      <c r="AC645" s="2126"/>
      <c r="AD645" s="2127"/>
      <c r="AE645" s="2128"/>
      <c r="AF645" s="2260"/>
      <c r="AG645" s="2261"/>
      <c r="AH645" s="2261"/>
      <c r="AI645" s="2261"/>
      <c r="AJ645" s="2262"/>
      <c r="AK645" s="2370"/>
      <c r="AL645" s="2371"/>
      <c r="AM645" s="2371"/>
      <c r="AN645" s="2372"/>
      <c r="AO645" s="2129"/>
      <c r="AP645" s="2129"/>
      <c r="AQ645" s="2129"/>
      <c r="AR645" s="2129"/>
      <c r="AS645" s="212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2389</v>
      </c>
      <c r="CU645" s="58"/>
      <c r="CV645" s="58"/>
      <c r="CW645" s="58"/>
      <c r="CX645" s="58"/>
      <c r="CY645" s="58"/>
      <c r="CZ645" s="58"/>
      <c r="DA645" s="58"/>
      <c r="DB645" s="58"/>
      <c r="DC645" s="58"/>
      <c r="DD645" s="58"/>
      <c r="DE645" s="58"/>
      <c r="DF645" s="58"/>
      <c r="DX645" s="2548" t="e">
        <f t="shared" si="22"/>
        <v>#VALUE!</v>
      </c>
      <c r="DY645" s="2548"/>
      <c r="DZ645" s="2548"/>
      <c r="EA645" s="2548"/>
      <c r="EB645" s="2548"/>
      <c r="EC645" s="2548" t="e">
        <f t="shared" si="23"/>
        <v>#VALUE!</v>
      </c>
      <c r="ED645" s="2548"/>
      <c r="EE645" s="2548"/>
      <c r="EF645" s="2548"/>
      <c r="EG645" s="2548"/>
      <c r="EH645" s="2548">
        <f t="shared" si="24"/>
        <v>628.86956521739125</v>
      </c>
      <c r="EI645" s="2548"/>
      <c r="EJ645" s="2548"/>
      <c r="EK645" s="2548"/>
      <c r="EL645" s="2548"/>
      <c r="EM645" s="2548" t="e">
        <f t="shared" si="25"/>
        <v>#VALUE!</v>
      </c>
      <c r="EN645" s="2548"/>
      <c r="EO645" s="2548"/>
      <c r="EP645" s="2548"/>
      <c r="EQ645" s="2548"/>
      <c r="ER645" s="2548" t="e">
        <f t="shared" si="26"/>
        <v>#VALUE!</v>
      </c>
      <c r="ES645" s="2548"/>
      <c r="ET645" s="2548"/>
      <c r="EU645" s="2548"/>
      <c r="EV645" s="2548"/>
      <c r="EW645" s="2548" t="e">
        <f t="shared" si="27"/>
        <v>#VALUE!</v>
      </c>
      <c r="EX645" s="2548"/>
      <c r="EY645" s="2548"/>
      <c r="EZ645" s="2548"/>
      <c r="FA645" s="2548"/>
    </row>
    <row r="646" spans="1:157" ht="12.5">
      <c r="B646" s="84" t="s">
        <v>680</v>
      </c>
      <c r="C646" s="2171"/>
      <c r="D646" s="2171"/>
      <c r="E646" s="2171"/>
      <c r="F646" s="2171"/>
      <c r="G646" s="2171"/>
      <c r="H646" s="2171"/>
      <c r="I646" s="2171"/>
      <c r="J646" s="2171"/>
      <c r="K646" s="2171"/>
      <c r="L646" s="2171"/>
      <c r="M646" s="2171"/>
      <c r="N646" s="2415"/>
      <c r="O646" s="2251"/>
      <c r="P646" s="2252"/>
      <c r="Q646" s="2253"/>
      <c r="R646" s="2153"/>
      <c r="S646" s="2058"/>
      <c r="T646" s="2059"/>
      <c r="U646" s="2411"/>
      <c r="V646" s="2412"/>
      <c r="W646" s="2413"/>
      <c r="X646" s="2300" t="s">
        <v>1383</v>
      </c>
      <c r="Y646" s="2549"/>
      <c r="Z646" s="2549"/>
      <c r="AA646" s="2549"/>
      <c r="AB646" s="2550"/>
      <c r="AC646" s="2126"/>
      <c r="AD646" s="2127"/>
      <c r="AE646" s="2128"/>
      <c r="AF646" s="2260"/>
      <c r="AG646" s="2261"/>
      <c r="AH646" s="2261"/>
      <c r="AI646" s="2261"/>
      <c r="AJ646" s="2262"/>
      <c r="AK646" s="2370"/>
      <c r="AL646" s="2371"/>
      <c r="AM646" s="2371"/>
      <c r="AN646" s="2372"/>
      <c r="AO646" s="2129"/>
      <c r="AP646" s="2129"/>
      <c r="AQ646" s="2129"/>
      <c r="AR646" s="2129"/>
      <c r="AS646" s="212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8" t="e">
        <f t="shared" si="22"/>
        <v>#VALUE!</v>
      </c>
      <c r="DY646" s="2548"/>
      <c r="DZ646" s="2548"/>
      <c r="EA646" s="2548"/>
      <c r="EB646" s="2548"/>
      <c r="EC646" s="2548" t="e">
        <f t="shared" si="23"/>
        <v>#VALUE!</v>
      </c>
      <c r="ED646" s="2548"/>
      <c r="EE646" s="2548"/>
      <c r="EF646" s="2548"/>
      <c r="EG646" s="2548"/>
      <c r="EH646" s="2548">
        <f t="shared" si="24"/>
        <v>1332.5217391304348</v>
      </c>
      <c r="EI646" s="2548"/>
      <c r="EJ646" s="2548"/>
      <c r="EK646" s="2548"/>
      <c r="EL646" s="2548"/>
      <c r="EM646" s="2548" t="e">
        <f t="shared" si="25"/>
        <v>#VALUE!</v>
      </c>
      <c r="EN646" s="2548"/>
      <c r="EO646" s="2548"/>
      <c r="EP646" s="2548"/>
      <c r="EQ646" s="2548"/>
      <c r="ER646" s="2548" t="e">
        <f t="shared" si="26"/>
        <v>#VALUE!</v>
      </c>
      <c r="ES646" s="2548"/>
      <c r="ET646" s="2548"/>
      <c r="EU646" s="2548"/>
      <c r="EV646" s="2548"/>
      <c r="EW646" s="2548" t="e">
        <f t="shared" si="27"/>
        <v>#VALUE!</v>
      </c>
      <c r="EX646" s="2548"/>
      <c r="EY646" s="2548"/>
      <c r="EZ646" s="2548"/>
      <c r="FA646" s="2548"/>
    </row>
    <row r="647" spans="1:157" ht="12.5">
      <c r="B647" s="84" t="s">
        <v>372</v>
      </c>
      <c r="C647" s="2171"/>
      <c r="D647" s="2171"/>
      <c r="E647" s="2171"/>
      <c r="F647" s="2171"/>
      <c r="G647" s="2171"/>
      <c r="H647" s="2171"/>
      <c r="I647" s="2171"/>
      <c r="J647" s="2171"/>
      <c r="K647" s="2171"/>
      <c r="L647" s="2171"/>
      <c r="M647" s="2171"/>
      <c r="N647" s="2415"/>
      <c r="O647" s="2251"/>
      <c r="P647" s="2252"/>
      <c r="Q647" s="2253"/>
      <c r="R647" s="2153"/>
      <c r="S647" s="2058"/>
      <c r="T647" s="2059"/>
      <c r="U647" s="2411"/>
      <c r="V647" s="2412"/>
      <c r="W647" s="2413"/>
      <c r="X647" s="2300" t="s">
        <v>1383</v>
      </c>
      <c r="Y647" s="2549"/>
      <c r="Z647" s="2549"/>
      <c r="AA647" s="2549"/>
      <c r="AB647" s="2550"/>
      <c r="AC647" s="2126"/>
      <c r="AD647" s="2127"/>
      <c r="AE647" s="2128"/>
      <c r="AF647" s="2260"/>
      <c r="AG647" s="2261"/>
      <c r="AH647" s="2261"/>
      <c r="AI647" s="2261"/>
      <c r="AJ647" s="2262"/>
      <c r="AK647" s="2370"/>
      <c r="AL647" s="2371"/>
      <c r="AM647" s="2371"/>
      <c r="AN647" s="2372"/>
      <c r="AO647" s="2129"/>
      <c r="AP647" s="2129"/>
      <c r="AQ647" s="2129"/>
      <c r="AR647" s="2129"/>
      <c r="AS647" s="212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8" t="e">
        <f t="shared" si="22"/>
        <v>#VALUE!</v>
      </c>
      <c r="DY647" s="2548"/>
      <c r="DZ647" s="2548"/>
      <c r="EA647" s="2548"/>
      <c r="EB647" s="2548"/>
      <c r="EC647" s="2548" t="e">
        <f t="shared" si="23"/>
        <v>#VALUE!</v>
      </c>
      <c r="ED647" s="2548"/>
      <c r="EE647" s="2548"/>
      <c r="EF647" s="2548"/>
      <c r="EG647" s="2548"/>
      <c r="EH647" s="2548" t="e">
        <f t="shared" si="24"/>
        <v>#VALUE!</v>
      </c>
      <c r="EI647" s="2548"/>
      <c r="EJ647" s="2548"/>
      <c r="EK647" s="2548"/>
      <c r="EL647" s="2548"/>
      <c r="EM647" s="2548">
        <f t="shared" si="25"/>
        <v>2082</v>
      </c>
      <c r="EN647" s="2548"/>
      <c r="EO647" s="2548"/>
      <c r="EP647" s="2548"/>
      <c r="EQ647" s="2548"/>
      <c r="ER647" s="2548" t="e">
        <f t="shared" si="26"/>
        <v>#VALUE!</v>
      </c>
      <c r="ES647" s="2548"/>
      <c r="ET647" s="2548"/>
      <c r="EU647" s="2548"/>
      <c r="EV647" s="2548"/>
      <c r="EW647" s="2548" t="e">
        <f t="shared" si="27"/>
        <v>#VALUE!</v>
      </c>
      <c r="EX647" s="2548"/>
      <c r="EY647" s="2548"/>
      <c r="EZ647" s="2548"/>
      <c r="FA647" s="2548"/>
    </row>
    <row r="648" spans="1:157" ht="12.5">
      <c r="B648" s="84" t="s">
        <v>373</v>
      </c>
      <c r="C648" s="2171"/>
      <c r="D648" s="2171"/>
      <c r="E648" s="2171"/>
      <c r="F648" s="2171"/>
      <c r="G648" s="2171"/>
      <c r="H648" s="2171"/>
      <c r="I648" s="2171"/>
      <c r="J648" s="2171"/>
      <c r="K648" s="2171"/>
      <c r="L648" s="2171"/>
      <c r="M648" s="2171"/>
      <c r="N648" s="2415"/>
      <c r="O648" s="2251"/>
      <c r="P648" s="2252"/>
      <c r="Q648" s="2253"/>
      <c r="R648" s="2153"/>
      <c r="S648" s="2058"/>
      <c r="T648" s="2059"/>
      <c r="U648" s="2411"/>
      <c r="V648" s="2412"/>
      <c r="W648" s="2413"/>
      <c r="X648" s="2300" t="s">
        <v>1383</v>
      </c>
      <c r="Y648" s="2549"/>
      <c r="Z648" s="2549"/>
      <c r="AA648" s="2549"/>
      <c r="AB648" s="2550"/>
      <c r="AC648" s="2126"/>
      <c r="AD648" s="2127"/>
      <c r="AE648" s="2128"/>
      <c r="AF648" s="2260"/>
      <c r="AG648" s="2261"/>
      <c r="AH648" s="2261"/>
      <c r="AI648" s="2261"/>
      <c r="AJ648" s="2262"/>
      <c r="AK648" s="2370"/>
      <c r="AL648" s="2371"/>
      <c r="AM648" s="2371"/>
      <c r="AN648" s="2372"/>
      <c r="AO648" s="2129"/>
      <c r="AP648" s="2129"/>
      <c r="AQ648" s="2129"/>
      <c r="AR648" s="2129"/>
      <c r="AS648" s="212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4">
        <f t="shared" ref="BN648:BN657" si="28">IF(J786="SRO/Studio",O786,0)</f>
        <v>0</v>
      </c>
      <c r="BO648" s="2015"/>
      <c r="BP648" s="2015"/>
      <c r="BQ648" s="2015"/>
      <c r="BR648" s="2016"/>
      <c r="BS648" s="2013">
        <f t="shared" ref="BS648:BS657" si="29">IF(J786="1 Bedroom",O786,0)</f>
        <v>0</v>
      </c>
      <c r="BT648" s="2013"/>
      <c r="BU648" s="2013"/>
      <c r="BV648" s="2013"/>
      <c r="BW648" s="2013"/>
      <c r="BX648" s="2013">
        <f t="shared" ref="BX648:BX657" si="30">IF(J786="2 Bedrooms",O786,0)</f>
        <v>0</v>
      </c>
      <c r="BY648" s="2013"/>
      <c r="BZ648" s="2013"/>
      <c r="CA648" s="2013"/>
      <c r="CB648" s="2013"/>
      <c r="CC648" s="2013">
        <f t="shared" ref="CC648:CC657" si="31">IF(J786="3 Bedrooms",O786,0)</f>
        <v>0</v>
      </c>
      <c r="CD648" s="2013"/>
      <c r="CE648" s="2013"/>
      <c r="CF648" s="2013"/>
      <c r="CG648" s="2013"/>
      <c r="CH648" s="2013">
        <f t="shared" ref="CH648:CH657" si="32">IF(J786="4 Bedrooms",O786,0)</f>
        <v>0</v>
      </c>
      <c r="CI648" s="2013"/>
      <c r="CJ648" s="2013"/>
      <c r="CK648" s="2013"/>
      <c r="CL648" s="2013"/>
      <c r="CM648" s="2013">
        <f t="shared" ref="CM648:CM657" si="33">IF(J786="5 Bedrooms",O786,0)</f>
        <v>0</v>
      </c>
      <c r="CN648" s="2013"/>
      <c r="CO648" s="2013"/>
      <c r="CP648" s="2013"/>
      <c r="CQ648" s="2013"/>
      <c r="CR648" s="265"/>
      <c r="CS648" s="2014">
        <f>IF(AND(BN648&gt;=1,AH786&gt;=0.1,AH786&lt;=1),O786,0)</f>
        <v>0</v>
      </c>
      <c r="CT648" s="2015"/>
      <c r="CU648" s="2015"/>
      <c r="CV648" s="2015"/>
      <c r="CW648" s="2016"/>
      <c r="CX648" s="2014">
        <f>IF(AND(BS648&gt;=1,AH786&gt;=0.1,AH786&lt;=1),O786,0)</f>
        <v>0</v>
      </c>
      <c r="CY648" s="2015"/>
      <c r="CZ648" s="2015"/>
      <c r="DA648" s="2015"/>
      <c r="DB648" s="2016"/>
      <c r="DC648" s="2014">
        <f>IF(AND(BX648&gt;=1,AH786&gt;=0.1,AH786&lt;=1),O786,0)</f>
        <v>0</v>
      </c>
      <c r="DD648" s="2015"/>
      <c r="DE648" s="2015"/>
      <c r="DF648" s="2015"/>
      <c r="DG648" s="2016"/>
      <c r="DH648" s="2014">
        <f>IF(AND(CC648&gt;=1,AH786&gt;=0.1,AH786&lt;=1),O786,0)</f>
        <v>0</v>
      </c>
      <c r="DI648" s="2015"/>
      <c r="DJ648" s="2015"/>
      <c r="DK648" s="2015"/>
      <c r="DL648" s="2016"/>
      <c r="DM648" s="2014">
        <f>IF(AND(CH648&gt;=1,AH786&gt;=0.1,AH786&lt;=1),O786,0)</f>
        <v>0</v>
      </c>
      <c r="DN648" s="2015"/>
      <c r="DO648" s="2015"/>
      <c r="DP648" s="2015"/>
      <c r="DQ648" s="2016"/>
      <c r="DR648" s="2014">
        <f>IF(AND(CM648&gt;=1,AH786&gt;=0.1,AH786&lt;=1),O786,0)</f>
        <v>0</v>
      </c>
      <c r="DS648" s="2015"/>
      <c r="DT648" s="2015"/>
      <c r="DU648" s="2015"/>
      <c r="DV648" s="2016"/>
      <c r="DX648" s="2548" t="e">
        <f t="shared" si="22"/>
        <v>#VALUE!</v>
      </c>
      <c r="DY648" s="2548"/>
      <c r="DZ648" s="2548"/>
      <c r="EA648" s="2548"/>
      <c r="EB648" s="2548"/>
      <c r="EC648" s="2548" t="e">
        <f t="shared" si="23"/>
        <v>#VALUE!</v>
      </c>
      <c r="ED648" s="2548"/>
      <c r="EE648" s="2548"/>
      <c r="EF648" s="2548"/>
      <c r="EG648" s="2548"/>
      <c r="EH648" s="2548" t="e">
        <f t="shared" si="24"/>
        <v>#VALUE!</v>
      </c>
      <c r="EI648" s="2548"/>
      <c r="EJ648" s="2548"/>
      <c r="EK648" s="2548"/>
      <c r="EL648" s="2548"/>
      <c r="EM648" s="2548" t="e">
        <f t="shared" si="25"/>
        <v>#VALUE!</v>
      </c>
      <c r="EN648" s="2548"/>
      <c r="EO648" s="2548"/>
      <c r="EP648" s="2548"/>
      <c r="EQ648" s="2548"/>
      <c r="ER648" s="2548" t="e">
        <f t="shared" si="26"/>
        <v>#VALUE!</v>
      </c>
      <c r="ES648" s="2548"/>
      <c r="ET648" s="2548"/>
      <c r="EU648" s="2548"/>
      <c r="EV648" s="2548"/>
      <c r="EW648" s="2548" t="e">
        <f t="shared" si="27"/>
        <v>#VALUE!</v>
      </c>
      <c r="EX648" s="2548"/>
      <c r="EY648" s="2548"/>
      <c r="EZ648" s="2548"/>
      <c r="FA648" s="2548"/>
    </row>
    <row r="649" spans="1:157" ht="13">
      <c r="B649" s="2154" t="s">
        <v>133</v>
      </c>
      <c r="C649" s="2155"/>
      <c r="D649" s="2155"/>
      <c r="E649" s="2155"/>
      <c r="F649" s="2155"/>
      <c r="G649" s="2155"/>
      <c r="H649" s="2155"/>
      <c r="I649" s="2155"/>
      <c r="J649" s="2155"/>
      <c r="K649" s="2155"/>
      <c r="L649" s="2155"/>
      <c r="M649" s="2155"/>
      <c r="N649" s="2155"/>
      <c r="O649" s="2155"/>
      <c r="P649" s="2155"/>
      <c r="Q649" s="2155"/>
      <c r="R649" s="2155"/>
      <c r="S649" s="2155"/>
      <c r="T649" s="2155"/>
      <c r="U649" s="2155"/>
      <c r="V649" s="2155"/>
      <c r="W649" s="2155"/>
      <c r="X649" s="2155"/>
      <c r="Y649" s="2155"/>
      <c r="Z649" s="2155"/>
      <c r="AA649" s="2155"/>
      <c r="AB649" s="2155"/>
      <c r="AC649" s="2155"/>
      <c r="AD649" s="2155"/>
      <c r="AE649" s="2155"/>
      <c r="AF649" s="2155"/>
      <c r="AG649" s="2155"/>
      <c r="AH649" s="2155"/>
      <c r="AI649" s="2155"/>
      <c r="AJ649" s="2155"/>
      <c r="AK649" s="2155"/>
      <c r="AL649" s="2155"/>
      <c r="AM649" s="2155"/>
      <c r="AN649" s="2157"/>
      <c r="AO649" s="2131">
        <f>SUM(AO637:AR648)</f>
        <v>41122746</v>
      </c>
      <c r="AP649" s="2132"/>
      <c r="AQ649" s="2132"/>
      <c r="AR649" s="2132"/>
      <c r="AS649" s="2133"/>
      <c r="AZ649" s="58"/>
      <c r="BA649" s="58"/>
      <c r="BB649" s="58"/>
      <c r="BC649" s="58"/>
      <c r="BD649" s="58"/>
      <c r="BE649" s="58"/>
      <c r="BF649" s="58"/>
      <c r="BG649" s="58"/>
      <c r="BH649" s="58"/>
      <c r="BI649" s="58"/>
      <c r="BJ649" s="58"/>
      <c r="BK649" s="58"/>
      <c r="BL649" s="58"/>
      <c r="BM649" s="58"/>
      <c r="BN649" s="2014">
        <f t="shared" si="28"/>
        <v>0</v>
      </c>
      <c r="BO649" s="2015"/>
      <c r="BP649" s="2015"/>
      <c r="BQ649" s="2015"/>
      <c r="BR649" s="2016"/>
      <c r="BS649" s="2013">
        <f t="shared" si="29"/>
        <v>0</v>
      </c>
      <c r="BT649" s="2013"/>
      <c r="BU649" s="2013"/>
      <c r="BV649" s="2013"/>
      <c r="BW649" s="2013"/>
      <c r="BX649" s="2013">
        <f t="shared" si="30"/>
        <v>0</v>
      </c>
      <c r="BY649" s="2013"/>
      <c r="BZ649" s="2013"/>
      <c r="CA649" s="2013"/>
      <c r="CB649" s="2013"/>
      <c r="CC649" s="2013">
        <f t="shared" si="31"/>
        <v>0</v>
      </c>
      <c r="CD649" s="2013"/>
      <c r="CE649" s="2013"/>
      <c r="CF649" s="2013"/>
      <c r="CG649" s="2013"/>
      <c r="CH649" s="2013">
        <f t="shared" si="32"/>
        <v>0</v>
      </c>
      <c r="CI649" s="2013"/>
      <c r="CJ649" s="2013"/>
      <c r="CK649" s="2013"/>
      <c r="CL649" s="2013"/>
      <c r="CM649" s="2013">
        <f t="shared" si="33"/>
        <v>0</v>
      </c>
      <c r="CN649" s="2013"/>
      <c r="CO649" s="2013"/>
      <c r="CP649" s="2013"/>
      <c r="CQ649" s="2013"/>
      <c r="CR649" s="265"/>
      <c r="CS649" s="2014">
        <f t="shared" ref="CS649:CS657" si="34">IF(AND(BN649&gt;=1,AH787&gt;=0.1,AH787&lt;=1),O787,0)</f>
        <v>0</v>
      </c>
      <c r="CT649" s="2015"/>
      <c r="CU649" s="2015"/>
      <c r="CV649" s="2015"/>
      <c r="CW649" s="2016"/>
      <c r="CX649" s="2014">
        <f t="shared" ref="CX649:CX657" si="35">IF(AND(BS649&gt;=1,AH787&gt;=0.1,AH787&lt;=1),O787,0)</f>
        <v>0</v>
      </c>
      <c r="CY649" s="2015"/>
      <c r="CZ649" s="2015"/>
      <c r="DA649" s="2015"/>
      <c r="DB649" s="2016"/>
      <c r="DC649" s="2014">
        <f t="shared" ref="DC649:DC657" si="36">IF(AND(BX649&gt;=1,AH787&gt;=0.1,AH787&lt;=1),O787,0)</f>
        <v>0</v>
      </c>
      <c r="DD649" s="2015"/>
      <c r="DE649" s="2015"/>
      <c r="DF649" s="2015"/>
      <c r="DG649" s="2016"/>
      <c r="DH649" s="2014">
        <f t="shared" ref="DH649:DH657" si="37">IF(AND(CC649&gt;=1,AH787&gt;=0.1,AH787&lt;=1),O787,0)</f>
        <v>0</v>
      </c>
      <c r="DI649" s="2015"/>
      <c r="DJ649" s="2015"/>
      <c r="DK649" s="2015"/>
      <c r="DL649" s="2016"/>
      <c r="DM649" s="2014">
        <f t="shared" ref="DM649:DM657" si="38">IF(AND(CH649&gt;=1,AH787&gt;=0.1,AH787&lt;=1),O787,0)</f>
        <v>0</v>
      </c>
      <c r="DN649" s="2015"/>
      <c r="DO649" s="2015"/>
      <c r="DP649" s="2015"/>
      <c r="DQ649" s="2016"/>
      <c r="DR649" s="2014">
        <f t="shared" ref="DR649:DR657" si="39">IF(AND(CM649&gt;=1,AH787&gt;=0.1,AH787&lt;=1),O787,0)</f>
        <v>0</v>
      </c>
      <c r="DS649" s="2015"/>
      <c r="DT649" s="2015"/>
      <c r="DU649" s="2015"/>
      <c r="DV649" s="2016"/>
      <c r="DX649" s="2548" t="e">
        <f t="shared" si="22"/>
        <v>#VALUE!</v>
      </c>
      <c r="DY649" s="2548"/>
      <c r="DZ649" s="2548"/>
      <c r="EA649" s="2548"/>
      <c r="EB649" s="2548"/>
      <c r="EC649" s="2548" t="e">
        <f t="shared" si="23"/>
        <v>#VALUE!</v>
      </c>
      <c r="ED649" s="2548"/>
      <c r="EE649" s="2548"/>
      <c r="EF649" s="2548"/>
      <c r="EG649" s="2548"/>
      <c r="EH649" s="2548" t="e">
        <f t="shared" si="24"/>
        <v>#VALUE!</v>
      </c>
      <c r="EI649" s="2548"/>
      <c r="EJ649" s="2548"/>
      <c r="EK649" s="2548"/>
      <c r="EL649" s="2548"/>
      <c r="EM649" s="2548" t="e">
        <f t="shared" si="25"/>
        <v>#VALUE!</v>
      </c>
      <c r="EN649" s="2548"/>
      <c r="EO649" s="2548"/>
      <c r="EP649" s="2548"/>
      <c r="EQ649" s="2548"/>
      <c r="ER649" s="2548" t="e">
        <f t="shared" si="26"/>
        <v>#VALUE!</v>
      </c>
      <c r="ES649" s="2548"/>
      <c r="ET649" s="2548"/>
      <c r="EU649" s="2548"/>
      <c r="EV649" s="2548"/>
      <c r="EW649" s="2548" t="e">
        <f t="shared" si="27"/>
        <v>#VALUE!</v>
      </c>
      <c r="EX649" s="2548"/>
      <c r="EY649" s="2548"/>
      <c r="EZ649" s="2548"/>
      <c r="FA649" s="2548"/>
    </row>
    <row r="650" spans="1:157" ht="12.75" customHeight="1">
      <c r="B650" s="2154" t="s">
        <v>273</v>
      </c>
      <c r="C650" s="2155"/>
      <c r="D650" s="2155"/>
      <c r="E650" s="2155"/>
      <c r="F650" s="2155"/>
      <c r="G650" s="2155"/>
      <c r="H650" s="2155"/>
      <c r="I650" s="2155"/>
      <c r="J650" s="2155"/>
      <c r="K650" s="2155"/>
      <c r="L650" s="2155"/>
      <c r="M650" s="2155"/>
      <c r="N650" s="2155"/>
      <c r="O650" s="2155"/>
      <c r="P650" s="2155"/>
      <c r="Q650" s="2155"/>
      <c r="R650" s="2155"/>
      <c r="S650" s="2155"/>
      <c r="T650" s="2155"/>
      <c r="U650" s="2155"/>
      <c r="V650" s="2155"/>
      <c r="W650" s="2155"/>
      <c r="X650" s="2155"/>
      <c r="Y650" s="2155"/>
      <c r="Z650" s="2155"/>
      <c r="AA650" s="2155"/>
      <c r="AB650" s="2155"/>
      <c r="AC650" s="2155"/>
      <c r="AD650" s="2155"/>
      <c r="AE650" s="2155"/>
      <c r="AF650" s="2155"/>
      <c r="AG650" s="2155"/>
      <c r="AH650" s="2155"/>
      <c r="AI650" s="2155"/>
      <c r="AJ650" s="2155"/>
      <c r="AK650" s="2155"/>
      <c r="AL650" s="2155"/>
      <c r="AM650" s="2155"/>
      <c r="AN650" s="2157"/>
      <c r="AO650" s="2149">
        <v>29452483</v>
      </c>
      <c r="AP650" s="2121"/>
      <c r="AQ650" s="2121"/>
      <c r="AR650" s="2121"/>
      <c r="AS650" s="2122"/>
      <c r="AZ650" s="61"/>
      <c r="BA650" s="61"/>
      <c r="BB650" s="61"/>
      <c r="BC650" s="61"/>
      <c r="BD650" s="61"/>
      <c r="BE650" s="61"/>
      <c r="BF650" s="61"/>
      <c r="BG650" s="61"/>
      <c r="BH650" s="61"/>
      <c r="BI650" s="61"/>
      <c r="BJ650" s="61"/>
      <c r="BK650" s="61"/>
      <c r="BL650" s="61"/>
      <c r="BM650" s="61"/>
      <c r="BN650" s="2014">
        <f t="shared" si="28"/>
        <v>0</v>
      </c>
      <c r="BO650" s="2015"/>
      <c r="BP650" s="2015"/>
      <c r="BQ650" s="2015"/>
      <c r="BR650" s="2016"/>
      <c r="BS650" s="2013">
        <f t="shared" si="29"/>
        <v>0</v>
      </c>
      <c r="BT650" s="2013"/>
      <c r="BU650" s="2013"/>
      <c r="BV650" s="2013"/>
      <c r="BW650" s="2013"/>
      <c r="BX650" s="2013">
        <f t="shared" si="30"/>
        <v>0</v>
      </c>
      <c r="BY650" s="2013"/>
      <c r="BZ650" s="2013"/>
      <c r="CA650" s="2013"/>
      <c r="CB650" s="2013"/>
      <c r="CC650" s="2013">
        <f t="shared" si="31"/>
        <v>0</v>
      </c>
      <c r="CD650" s="2013"/>
      <c r="CE650" s="2013"/>
      <c r="CF650" s="2013"/>
      <c r="CG650" s="2013"/>
      <c r="CH650" s="2013">
        <f t="shared" si="32"/>
        <v>0</v>
      </c>
      <c r="CI650" s="2013"/>
      <c r="CJ650" s="2013"/>
      <c r="CK650" s="2013"/>
      <c r="CL650" s="2013"/>
      <c r="CM650" s="2013">
        <f t="shared" si="33"/>
        <v>0</v>
      </c>
      <c r="CN650" s="2013"/>
      <c r="CO650" s="2013"/>
      <c r="CP650" s="2013"/>
      <c r="CQ650" s="2013"/>
      <c r="CR650" s="265"/>
      <c r="CS650" s="2014">
        <f t="shared" si="34"/>
        <v>0</v>
      </c>
      <c r="CT650" s="2015"/>
      <c r="CU650" s="2015"/>
      <c r="CV650" s="2015"/>
      <c r="CW650" s="2016"/>
      <c r="CX650" s="2014">
        <f t="shared" si="35"/>
        <v>0</v>
      </c>
      <c r="CY650" s="2015"/>
      <c r="CZ650" s="2015"/>
      <c r="DA650" s="2015"/>
      <c r="DB650" s="2016"/>
      <c r="DC650" s="2014">
        <f t="shared" si="36"/>
        <v>0</v>
      </c>
      <c r="DD650" s="2015"/>
      <c r="DE650" s="2015"/>
      <c r="DF650" s="2015"/>
      <c r="DG650" s="2016"/>
      <c r="DH650" s="2014">
        <f t="shared" si="37"/>
        <v>0</v>
      </c>
      <c r="DI650" s="2015"/>
      <c r="DJ650" s="2015"/>
      <c r="DK650" s="2015"/>
      <c r="DL650" s="2016"/>
      <c r="DM650" s="2014">
        <f t="shared" si="38"/>
        <v>0</v>
      </c>
      <c r="DN650" s="2015"/>
      <c r="DO650" s="2015"/>
      <c r="DP650" s="2015"/>
      <c r="DQ650" s="2016"/>
      <c r="DR650" s="2014">
        <f t="shared" si="39"/>
        <v>0</v>
      </c>
      <c r="DS650" s="2015"/>
      <c r="DT650" s="2015"/>
      <c r="DU650" s="2015"/>
      <c r="DV650" s="2016"/>
      <c r="DX650" s="2548" t="e">
        <f t="shared" si="22"/>
        <v>#VALUE!</v>
      </c>
      <c r="DY650" s="2548"/>
      <c r="DZ650" s="2548"/>
      <c r="EA650" s="2548"/>
      <c r="EB650" s="2548"/>
      <c r="EC650" s="2548" t="e">
        <f t="shared" si="23"/>
        <v>#VALUE!</v>
      </c>
      <c r="ED650" s="2548"/>
      <c r="EE650" s="2548"/>
      <c r="EF650" s="2548"/>
      <c r="EG650" s="2548"/>
      <c r="EH650" s="2548" t="e">
        <f t="shared" si="24"/>
        <v>#VALUE!</v>
      </c>
      <c r="EI650" s="2548"/>
      <c r="EJ650" s="2548"/>
      <c r="EK650" s="2548"/>
      <c r="EL650" s="2548"/>
      <c r="EM650" s="2548" t="e">
        <f t="shared" si="25"/>
        <v>#VALUE!</v>
      </c>
      <c r="EN650" s="2548"/>
      <c r="EO650" s="2548"/>
      <c r="EP650" s="2548"/>
      <c r="EQ650" s="2548"/>
      <c r="ER650" s="2548" t="e">
        <f t="shared" si="26"/>
        <v>#VALUE!</v>
      </c>
      <c r="ES650" s="2548"/>
      <c r="ET650" s="2548"/>
      <c r="EU650" s="2548"/>
      <c r="EV650" s="2548"/>
      <c r="EW650" s="2548" t="e">
        <f t="shared" si="27"/>
        <v>#VALUE!</v>
      </c>
      <c r="EX650" s="2548"/>
      <c r="EY650" s="2548"/>
      <c r="EZ650" s="2548"/>
      <c r="FA650" s="2548"/>
    </row>
    <row r="651" spans="1:157" ht="12.75" customHeight="1">
      <c r="B651" s="2254" t="s">
        <v>274</v>
      </c>
      <c r="C651" s="2156"/>
      <c r="D651" s="2156"/>
      <c r="E651" s="2156"/>
      <c r="F651" s="2156"/>
      <c r="G651" s="2156"/>
      <c r="H651" s="2156"/>
      <c r="I651" s="2156"/>
      <c r="J651" s="2156"/>
      <c r="K651" s="2156"/>
      <c r="L651" s="2156"/>
      <c r="M651" s="2156"/>
      <c r="N651" s="2156"/>
      <c r="O651" s="2156"/>
      <c r="P651" s="2156"/>
      <c r="Q651" s="2156"/>
      <c r="R651" s="2156"/>
      <c r="S651" s="2156"/>
      <c r="T651" s="2156"/>
      <c r="U651" s="2156"/>
      <c r="V651" s="2156"/>
      <c r="W651" s="2156"/>
      <c r="X651" s="2156"/>
      <c r="Y651" s="2156"/>
      <c r="Z651" s="2156"/>
      <c r="AA651" s="2156"/>
      <c r="AB651" s="2156"/>
      <c r="AC651" s="2156"/>
      <c r="AD651" s="2156"/>
      <c r="AE651" s="2156"/>
      <c r="AF651" s="2156"/>
      <c r="AG651" s="2156"/>
      <c r="AH651" s="2156"/>
      <c r="AI651" s="2156"/>
      <c r="AJ651" s="2156"/>
      <c r="AK651" s="2156"/>
      <c r="AL651" s="2156"/>
      <c r="AM651" s="2156"/>
      <c r="AN651" s="2255"/>
      <c r="AO651" s="2131">
        <f>AO649+AO650</f>
        <v>70575229</v>
      </c>
      <c r="AP651" s="2132"/>
      <c r="AQ651" s="2132"/>
      <c r="AR651" s="2132"/>
      <c r="AS651" s="2133"/>
      <c r="AZ651" s="61"/>
      <c r="BA651" s="61"/>
      <c r="BB651" s="61"/>
      <c r="BC651" s="61"/>
      <c r="BD651" s="61"/>
      <c r="BE651" s="61"/>
      <c r="BF651" s="61"/>
      <c r="BG651" s="61"/>
      <c r="BH651" s="61"/>
      <c r="BI651" s="61"/>
      <c r="BJ651" s="61"/>
      <c r="BK651" s="61"/>
      <c r="BL651" s="61"/>
      <c r="BM651" s="61"/>
      <c r="BN651" s="2014">
        <f t="shared" si="28"/>
        <v>0</v>
      </c>
      <c r="BO651" s="2015"/>
      <c r="BP651" s="2015"/>
      <c r="BQ651" s="2015"/>
      <c r="BR651" s="2016"/>
      <c r="BS651" s="2013">
        <f t="shared" si="29"/>
        <v>0</v>
      </c>
      <c r="BT651" s="2013"/>
      <c r="BU651" s="2013"/>
      <c r="BV651" s="2013"/>
      <c r="BW651" s="2013"/>
      <c r="BX651" s="2013">
        <f t="shared" si="30"/>
        <v>0</v>
      </c>
      <c r="BY651" s="2013"/>
      <c r="BZ651" s="2013"/>
      <c r="CA651" s="2013"/>
      <c r="CB651" s="2013"/>
      <c r="CC651" s="2013">
        <f t="shared" si="31"/>
        <v>0</v>
      </c>
      <c r="CD651" s="2013"/>
      <c r="CE651" s="2013"/>
      <c r="CF651" s="2013"/>
      <c r="CG651" s="2013"/>
      <c r="CH651" s="2013">
        <f t="shared" si="32"/>
        <v>0</v>
      </c>
      <c r="CI651" s="2013"/>
      <c r="CJ651" s="2013"/>
      <c r="CK651" s="2013"/>
      <c r="CL651" s="2013"/>
      <c r="CM651" s="2013">
        <f t="shared" si="33"/>
        <v>0</v>
      </c>
      <c r="CN651" s="2013"/>
      <c r="CO651" s="2013"/>
      <c r="CP651" s="2013"/>
      <c r="CQ651" s="2013"/>
      <c r="CR651" s="265"/>
      <c r="CS651" s="2014">
        <f t="shared" si="34"/>
        <v>0</v>
      </c>
      <c r="CT651" s="2015"/>
      <c r="CU651" s="2015"/>
      <c r="CV651" s="2015"/>
      <c r="CW651" s="2016"/>
      <c r="CX651" s="2014">
        <f t="shared" si="35"/>
        <v>0</v>
      </c>
      <c r="CY651" s="2015"/>
      <c r="CZ651" s="2015"/>
      <c r="DA651" s="2015"/>
      <c r="DB651" s="2016"/>
      <c r="DC651" s="2014">
        <f t="shared" si="36"/>
        <v>0</v>
      </c>
      <c r="DD651" s="2015"/>
      <c r="DE651" s="2015"/>
      <c r="DF651" s="2015"/>
      <c r="DG651" s="2016"/>
      <c r="DH651" s="2014">
        <f t="shared" si="37"/>
        <v>0</v>
      </c>
      <c r="DI651" s="2015"/>
      <c r="DJ651" s="2015"/>
      <c r="DK651" s="2015"/>
      <c r="DL651" s="2016"/>
      <c r="DM651" s="2014">
        <f t="shared" si="38"/>
        <v>0</v>
      </c>
      <c r="DN651" s="2015"/>
      <c r="DO651" s="2015"/>
      <c r="DP651" s="2015"/>
      <c r="DQ651" s="2016"/>
      <c r="DR651" s="2014">
        <f t="shared" si="39"/>
        <v>0</v>
      </c>
      <c r="DS651" s="2015"/>
      <c r="DT651" s="2015"/>
      <c r="DU651" s="2015"/>
      <c r="DV651" s="2016"/>
      <c r="DX651" s="2548" t="e">
        <f t="shared" si="22"/>
        <v>#VALUE!</v>
      </c>
      <c r="DY651" s="2548"/>
      <c r="DZ651" s="2548"/>
      <c r="EA651" s="2548"/>
      <c r="EB651" s="2548"/>
      <c r="EC651" s="2548" t="e">
        <f t="shared" si="23"/>
        <v>#VALUE!</v>
      </c>
      <c r="ED651" s="2548"/>
      <c r="EE651" s="2548"/>
      <c r="EF651" s="2548"/>
      <c r="EG651" s="2548"/>
      <c r="EH651" s="2548" t="e">
        <f t="shared" si="24"/>
        <v>#VALUE!</v>
      </c>
      <c r="EI651" s="2548"/>
      <c r="EJ651" s="2548"/>
      <c r="EK651" s="2548"/>
      <c r="EL651" s="2548"/>
      <c r="EM651" s="2548" t="e">
        <f t="shared" si="25"/>
        <v>#VALUE!</v>
      </c>
      <c r="EN651" s="2548"/>
      <c r="EO651" s="2548"/>
      <c r="EP651" s="2548"/>
      <c r="EQ651" s="2548"/>
      <c r="ER651" s="2548" t="e">
        <f t="shared" si="26"/>
        <v>#VALUE!</v>
      </c>
      <c r="ES651" s="2548"/>
      <c r="ET651" s="2548"/>
      <c r="EU651" s="2548"/>
      <c r="EV651" s="2548"/>
      <c r="EW651" s="2548" t="e">
        <f t="shared" si="27"/>
        <v>#VALUE!</v>
      </c>
      <c r="EX651" s="2548"/>
      <c r="EY651" s="2548"/>
      <c r="EZ651" s="2548"/>
      <c r="FA651" s="2548"/>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4">
        <f t="shared" si="28"/>
        <v>0</v>
      </c>
      <c r="BO652" s="2015"/>
      <c r="BP652" s="2015"/>
      <c r="BQ652" s="2015"/>
      <c r="BR652" s="2016"/>
      <c r="BS652" s="2013">
        <f t="shared" si="29"/>
        <v>0</v>
      </c>
      <c r="BT652" s="2013"/>
      <c r="BU652" s="2013"/>
      <c r="BV652" s="2013"/>
      <c r="BW652" s="2013"/>
      <c r="BX652" s="2013">
        <f t="shared" si="30"/>
        <v>0</v>
      </c>
      <c r="BY652" s="2013"/>
      <c r="BZ652" s="2013"/>
      <c r="CA652" s="2013"/>
      <c r="CB652" s="2013"/>
      <c r="CC652" s="2013">
        <f t="shared" si="31"/>
        <v>0</v>
      </c>
      <c r="CD652" s="2013"/>
      <c r="CE652" s="2013"/>
      <c r="CF652" s="2013"/>
      <c r="CG652" s="2013"/>
      <c r="CH652" s="2013">
        <f t="shared" si="32"/>
        <v>0</v>
      </c>
      <c r="CI652" s="2013"/>
      <c r="CJ652" s="2013"/>
      <c r="CK652" s="2013"/>
      <c r="CL652" s="2013"/>
      <c r="CM652" s="2013">
        <f t="shared" si="33"/>
        <v>0</v>
      </c>
      <c r="CN652" s="2013"/>
      <c r="CO652" s="2013"/>
      <c r="CP652" s="2013"/>
      <c r="CQ652" s="2013"/>
      <c r="CR652" s="265"/>
      <c r="CS652" s="2014">
        <f t="shared" si="34"/>
        <v>0</v>
      </c>
      <c r="CT652" s="2015"/>
      <c r="CU652" s="2015"/>
      <c r="CV652" s="2015"/>
      <c r="CW652" s="2016"/>
      <c r="CX652" s="2014">
        <f t="shared" si="35"/>
        <v>0</v>
      </c>
      <c r="CY652" s="2015"/>
      <c r="CZ652" s="2015"/>
      <c r="DA652" s="2015"/>
      <c r="DB652" s="2016"/>
      <c r="DC652" s="2014">
        <f t="shared" si="36"/>
        <v>0</v>
      </c>
      <c r="DD652" s="2015"/>
      <c r="DE652" s="2015"/>
      <c r="DF652" s="2015"/>
      <c r="DG652" s="2016"/>
      <c r="DH652" s="2014">
        <f t="shared" si="37"/>
        <v>0</v>
      </c>
      <c r="DI652" s="2015"/>
      <c r="DJ652" s="2015"/>
      <c r="DK652" s="2015"/>
      <c r="DL652" s="2016"/>
      <c r="DM652" s="2014">
        <f t="shared" si="38"/>
        <v>0</v>
      </c>
      <c r="DN652" s="2015"/>
      <c r="DO652" s="2015"/>
      <c r="DP652" s="2015"/>
      <c r="DQ652" s="2016"/>
      <c r="DR652" s="2014">
        <f t="shared" si="39"/>
        <v>0</v>
      </c>
      <c r="DS652" s="2015"/>
      <c r="DT652" s="2015"/>
      <c r="DU652" s="2015"/>
      <c r="DV652" s="2016"/>
      <c r="DX652" s="2548" t="e">
        <f t="shared" si="22"/>
        <v>#VALUE!</v>
      </c>
      <c r="DY652" s="2548"/>
      <c r="DZ652" s="2548"/>
      <c r="EA652" s="2548"/>
      <c r="EB652" s="2548"/>
      <c r="EC652" s="2548" t="e">
        <f t="shared" si="23"/>
        <v>#VALUE!</v>
      </c>
      <c r="ED652" s="2548"/>
      <c r="EE652" s="2548"/>
      <c r="EF652" s="2548"/>
      <c r="EG652" s="2548"/>
      <c r="EH652" s="2548" t="e">
        <f t="shared" si="24"/>
        <v>#VALUE!</v>
      </c>
      <c r="EI652" s="2548"/>
      <c r="EJ652" s="2548"/>
      <c r="EK652" s="2548"/>
      <c r="EL652" s="2548"/>
      <c r="EM652" s="2548" t="e">
        <f t="shared" si="25"/>
        <v>#VALUE!</v>
      </c>
      <c r="EN652" s="2548"/>
      <c r="EO652" s="2548"/>
      <c r="EP652" s="2548"/>
      <c r="EQ652" s="2548"/>
      <c r="ER652" s="2548" t="e">
        <f t="shared" si="26"/>
        <v>#VALUE!</v>
      </c>
      <c r="ES652" s="2548"/>
      <c r="ET652" s="2548"/>
      <c r="EU652" s="2548"/>
      <c r="EV652" s="2548"/>
      <c r="EW652" s="2548" t="e">
        <f t="shared" si="27"/>
        <v>#VALUE!</v>
      </c>
      <c r="EX652" s="2548"/>
      <c r="EY652" s="2548"/>
      <c r="EZ652" s="2548"/>
      <c r="FA652" s="2548"/>
    </row>
    <row r="653" spans="1:157" ht="12.5">
      <c r="A653" s="87" t="s">
        <v>117</v>
      </c>
      <c r="B653" s="12" t="s">
        <v>495</v>
      </c>
      <c r="G653" s="2160" t="str">
        <f>C637</f>
        <v>Citibank, N.A. - Tax Exempt Bonds</v>
      </c>
      <c r="H653" s="2160"/>
      <c r="I653" s="2160"/>
      <c r="J653" s="2160"/>
      <c r="K653" s="2160"/>
      <c r="L653" s="2160"/>
      <c r="M653" s="2160"/>
      <c r="N653" s="2160"/>
      <c r="O653" s="2160"/>
      <c r="P653" s="2160"/>
      <c r="Q653" s="2160"/>
      <c r="R653" s="2160"/>
      <c r="S653" s="14"/>
      <c r="T653" s="87" t="s">
        <v>118</v>
      </c>
      <c r="U653" s="12" t="s">
        <v>495</v>
      </c>
      <c r="Z653" s="2160" t="str">
        <f>C638</f>
        <v>City of Santa Clara</v>
      </c>
      <c r="AA653" s="2160"/>
      <c r="AB653" s="2160"/>
      <c r="AC653" s="2160"/>
      <c r="AD653" s="2160"/>
      <c r="AE653" s="2160"/>
      <c r="AF653" s="2160"/>
      <c r="AG653" s="2160"/>
      <c r="AH653" s="2160"/>
      <c r="AI653" s="2160"/>
      <c r="AJ653" s="2160"/>
      <c r="AK653" s="2160"/>
      <c r="AZ653" s="61"/>
      <c r="BA653" s="61"/>
      <c r="BB653" s="61"/>
      <c r="BC653" s="61"/>
      <c r="BD653" s="61"/>
      <c r="BE653" s="61"/>
      <c r="BF653" s="61"/>
      <c r="BG653" s="61"/>
      <c r="BH653" s="61"/>
      <c r="BI653" s="61"/>
      <c r="BJ653" s="61"/>
      <c r="BK653" s="61"/>
      <c r="BL653" s="61"/>
      <c r="BM653" s="61"/>
      <c r="BN653" s="2014">
        <f t="shared" si="28"/>
        <v>0</v>
      </c>
      <c r="BO653" s="2015"/>
      <c r="BP653" s="2015"/>
      <c r="BQ653" s="2015"/>
      <c r="BR653" s="2016"/>
      <c r="BS653" s="2013">
        <f t="shared" si="29"/>
        <v>0</v>
      </c>
      <c r="BT653" s="2013"/>
      <c r="BU653" s="2013"/>
      <c r="BV653" s="2013"/>
      <c r="BW653" s="2013"/>
      <c r="BX653" s="2013">
        <f t="shared" si="30"/>
        <v>0</v>
      </c>
      <c r="BY653" s="2013"/>
      <c r="BZ653" s="2013"/>
      <c r="CA653" s="2013"/>
      <c r="CB653" s="2013"/>
      <c r="CC653" s="2013">
        <f t="shared" si="31"/>
        <v>0</v>
      </c>
      <c r="CD653" s="2013"/>
      <c r="CE653" s="2013"/>
      <c r="CF653" s="2013"/>
      <c r="CG653" s="2013"/>
      <c r="CH653" s="2013">
        <f t="shared" si="32"/>
        <v>0</v>
      </c>
      <c r="CI653" s="2013"/>
      <c r="CJ653" s="2013"/>
      <c r="CK653" s="2013"/>
      <c r="CL653" s="2013"/>
      <c r="CM653" s="2013">
        <f t="shared" si="33"/>
        <v>0</v>
      </c>
      <c r="CN653" s="2013"/>
      <c r="CO653" s="2013"/>
      <c r="CP653" s="2013"/>
      <c r="CQ653" s="2013"/>
      <c r="CR653" s="265"/>
      <c r="CS653" s="2014">
        <f t="shared" si="34"/>
        <v>0</v>
      </c>
      <c r="CT653" s="2015"/>
      <c r="CU653" s="2015"/>
      <c r="CV653" s="2015"/>
      <c r="CW653" s="2016"/>
      <c r="CX653" s="2014">
        <f t="shared" si="35"/>
        <v>0</v>
      </c>
      <c r="CY653" s="2015"/>
      <c r="CZ653" s="2015"/>
      <c r="DA653" s="2015"/>
      <c r="DB653" s="2016"/>
      <c r="DC653" s="2014">
        <f t="shared" si="36"/>
        <v>0</v>
      </c>
      <c r="DD653" s="2015"/>
      <c r="DE653" s="2015"/>
      <c r="DF653" s="2015"/>
      <c r="DG653" s="2016"/>
      <c r="DH653" s="2014">
        <f t="shared" si="37"/>
        <v>0</v>
      </c>
      <c r="DI653" s="2015"/>
      <c r="DJ653" s="2015"/>
      <c r="DK653" s="2015"/>
      <c r="DL653" s="2016"/>
      <c r="DM653" s="2014">
        <f t="shared" si="38"/>
        <v>0</v>
      </c>
      <c r="DN653" s="2015"/>
      <c r="DO653" s="2015"/>
      <c r="DP653" s="2015"/>
      <c r="DQ653" s="2016"/>
      <c r="DR653" s="2014">
        <f t="shared" si="39"/>
        <v>0</v>
      </c>
      <c r="DS653" s="2015"/>
      <c r="DT653" s="2015"/>
      <c r="DU653" s="2015"/>
      <c r="DV653" s="2016"/>
      <c r="DX653" s="2548" t="e">
        <f t="shared" si="22"/>
        <v>#VALUE!</v>
      </c>
      <c r="DY653" s="2548"/>
      <c r="DZ653" s="2548"/>
      <c r="EA653" s="2548"/>
      <c r="EB653" s="2548"/>
      <c r="EC653" s="2548" t="e">
        <f t="shared" si="23"/>
        <v>#VALUE!</v>
      </c>
      <c r="ED653" s="2548"/>
      <c r="EE653" s="2548"/>
      <c r="EF653" s="2548"/>
      <c r="EG653" s="2548"/>
      <c r="EH653" s="2548" t="e">
        <f t="shared" si="24"/>
        <v>#VALUE!</v>
      </c>
      <c r="EI653" s="2548"/>
      <c r="EJ653" s="2548"/>
      <c r="EK653" s="2548"/>
      <c r="EL653" s="2548"/>
      <c r="EM653" s="2548" t="e">
        <f t="shared" si="25"/>
        <v>#VALUE!</v>
      </c>
      <c r="EN653" s="2548"/>
      <c r="EO653" s="2548"/>
      <c r="EP653" s="2548"/>
      <c r="EQ653" s="2548"/>
      <c r="ER653" s="2548" t="e">
        <f t="shared" si="26"/>
        <v>#VALUE!</v>
      </c>
      <c r="ES653" s="2548"/>
      <c r="ET653" s="2548"/>
      <c r="EU653" s="2548"/>
      <c r="EV653" s="2548"/>
      <c r="EW653" s="2548" t="e">
        <f t="shared" si="27"/>
        <v>#VALUE!</v>
      </c>
      <c r="EX653" s="2548"/>
      <c r="EY653" s="2548"/>
      <c r="EZ653" s="2548"/>
      <c r="FA653" s="2548"/>
    </row>
    <row r="654" spans="1:157" ht="12.5">
      <c r="A654" s="35"/>
      <c r="B654" s="12" t="s">
        <v>90</v>
      </c>
      <c r="G654" s="2038" t="s">
        <v>2558</v>
      </c>
      <c r="H654" s="2038"/>
      <c r="I654" s="2038"/>
      <c r="J654" s="2038"/>
      <c r="K654" s="2038"/>
      <c r="L654" s="2038"/>
      <c r="M654" s="2038"/>
      <c r="N654" s="2038"/>
      <c r="O654" s="2038"/>
      <c r="P654" s="2038"/>
      <c r="Q654" s="2038"/>
      <c r="R654" s="2038"/>
      <c r="S654" s="14"/>
      <c r="T654" s="35"/>
      <c r="U654" s="12" t="s">
        <v>90</v>
      </c>
      <c r="Z654" s="2050" t="s">
        <v>2612</v>
      </c>
      <c r="AA654" s="2038"/>
      <c r="AB654" s="2038"/>
      <c r="AC654" s="2038"/>
      <c r="AD654" s="2038"/>
      <c r="AE654" s="2038"/>
      <c r="AF654" s="2038"/>
      <c r="AG654" s="2038"/>
      <c r="AH654" s="2038"/>
      <c r="AI654" s="2038"/>
      <c r="AJ654" s="2038"/>
      <c r="AK654" s="2038"/>
      <c r="AZ654" s="61"/>
      <c r="BA654" s="61"/>
      <c r="BB654" s="61"/>
      <c r="BC654" s="61"/>
      <c r="BD654" s="61"/>
      <c r="BE654" s="61"/>
      <c r="BF654" s="61"/>
      <c r="BG654" s="61"/>
      <c r="BH654" s="61"/>
      <c r="BI654" s="61"/>
      <c r="BJ654" s="61"/>
      <c r="BK654" s="61"/>
      <c r="BL654" s="61"/>
      <c r="BM654" s="61"/>
      <c r="BN654" s="2014">
        <f t="shared" si="28"/>
        <v>0</v>
      </c>
      <c r="BO654" s="2015"/>
      <c r="BP654" s="2015"/>
      <c r="BQ654" s="2015"/>
      <c r="BR654" s="2016"/>
      <c r="BS654" s="2013">
        <f t="shared" si="29"/>
        <v>0</v>
      </c>
      <c r="BT654" s="2013"/>
      <c r="BU654" s="2013"/>
      <c r="BV654" s="2013"/>
      <c r="BW654" s="2013"/>
      <c r="BX654" s="2013">
        <f t="shared" si="30"/>
        <v>0</v>
      </c>
      <c r="BY654" s="2013"/>
      <c r="BZ654" s="2013"/>
      <c r="CA654" s="2013"/>
      <c r="CB654" s="2013"/>
      <c r="CC654" s="2013">
        <f t="shared" si="31"/>
        <v>0</v>
      </c>
      <c r="CD654" s="2013"/>
      <c r="CE654" s="2013"/>
      <c r="CF654" s="2013"/>
      <c r="CG654" s="2013"/>
      <c r="CH654" s="2013">
        <f t="shared" si="32"/>
        <v>0</v>
      </c>
      <c r="CI654" s="2013"/>
      <c r="CJ654" s="2013"/>
      <c r="CK654" s="2013"/>
      <c r="CL654" s="2013"/>
      <c r="CM654" s="2013">
        <f t="shared" si="33"/>
        <v>0</v>
      </c>
      <c r="CN654" s="2013"/>
      <c r="CO654" s="2013"/>
      <c r="CP654" s="2013"/>
      <c r="CQ654" s="2013"/>
      <c r="CR654" s="265"/>
      <c r="CS654" s="2014">
        <f t="shared" si="34"/>
        <v>0</v>
      </c>
      <c r="CT654" s="2015"/>
      <c r="CU654" s="2015"/>
      <c r="CV654" s="2015"/>
      <c r="CW654" s="2016"/>
      <c r="CX654" s="2014">
        <f t="shared" si="35"/>
        <v>0</v>
      </c>
      <c r="CY654" s="2015"/>
      <c r="CZ654" s="2015"/>
      <c r="DA654" s="2015"/>
      <c r="DB654" s="2016"/>
      <c r="DC654" s="2014">
        <f t="shared" si="36"/>
        <v>0</v>
      </c>
      <c r="DD654" s="2015"/>
      <c r="DE654" s="2015"/>
      <c r="DF654" s="2015"/>
      <c r="DG654" s="2016"/>
      <c r="DH654" s="2014">
        <f t="shared" si="37"/>
        <v>0</v>
      </c>
      <c r="DI654" s="2015"/>
      <c r="DJ654" s="2015"/>
      <c r="DK654" s="2015"/>
      <c r="DL654" s="2016"/>
      <c r="DM654" s="2014">
        <f t="shared" si="38"/>
        <v>0</v>
      </c>
      <c r="DN654" s="2015"/>
      <c r="DO654" s="2015"/>
      <c r="DP654" s="2015"/>
      <c r="DQ654" s="2016"/>
      <c r="DR654" s="2014">
        <f t="shared" si="39"/>
        <v>0</v>
      </c>
      <c r="DS654" s="2015"/>
      <c r="DT654" s="2015"/>
      <c r="DU654" s="2015"/>
      <c r="DV654" s="2016"/>
      <c r="DX654" s="2548" t="e">
        <f t="shared" si="22"/>
        <v>#VALUE!</v>
      </c>
      <c r="DY654" s="2548"/>
      <c r="DZ654" s="2548"/>
      <c r="EA654" s="2548"/>
      <c r="EB654" s="2548"/>
      <c r="EC654" s="2548" t="e">
        <f t="shared" si="23"/>
        <v>#VALUE!</v>
      </c>
      <c r="ED654" s="2548"/>
      <c r="EE654" s="2548"/>
      <c r="EF654" s="2548"/>
      <c r="EG654" s="2548"/>
      <c r="EH654" s="2548" t="e">
        <f t="shared" si="24"/>
        <v>#VALUE!</v>
      </c>
      <c r="EI654" s="2548"/>
      <c r="EJ654" s="2548"/>
      <c r="EK654" s="2548"/>
      <c r="EL654" s="2548"/>
      <c r="EM654" s="2548" t="e">
        <f t="shared" si="25"/>
        <v>#VALUE!</v>
      </c>
      <c r="EN654" s="2548"/>
      <c r="EO654" s="2548"/>
      <c r="EP654" s="2548"/>
      <c r="EQ654" s="2548"/>
      <c r="ER654" s="2548" t="e">
        <f t="shared" si="26"/>
        <v>#VALUE!</v>
      </c>
      <c r="ES654" s="2548"/>
      <c r="ET654" s="2548"/>
      <c r="EU654" s="2548"/>
      <c r="EV654" s="2548"/>
      <c r="EW654" s="2548" t="e">
        <f t="shared" si="27"/>
        <v>#VALUE!</v>
      </c>
      <c r="EX654" s="2548"/>
      <c r="EY654" s="2548"/>
      <c r="EZ654" s="2548"/>
      <c r="FA654" s="2548"/>
    </row>
    <row r="655" spans="1:157" ht="12.5">
      <c r="A655" s="35"/>
      <c r="B655" s="12" t="s">
        <v>614</v>
      </c>
      <c r="G655" s="2038" t="s">
        <v>2559</v>
      </c>
      <c r="H655" s="2038"/>
      <c r="I655" s="2038"/>
      <c r="J655" s="2038"/>
      <c r="K655" s="2038"/>
      <c r="L655" s="2038"/>
      <c r="M655" s="2038"/>
      <c r="N655" s="2038"/>
      <c r="O655" s="2038"/>
      <c r="P655" s="2038"/>
      <c r="Q655" s="2038"/>
      <c r="R655" s="2038"/>
      <c r="S655" s="88"/>
      <c r="T655" s="35"/>
      <c r="U655" s="12" t="s">
        <v>614</v>
      </c>
      <c r="Z655" s="2051" t="s">
        <v>198</v>
      </c>
      <c r="AA655" s="2052"/>
      <c r="AB655" s="2052"/>
      <c r="AC655" s="2052"/>
      <c r="AD655" s="2052"/>
      <c r="AE655" s="2052"/>
      <c r="AF655" s="2052"/>
      <c r="AG655" s="2052"/>
      <c r="AH655" s="2052"/>
      <c r="AI655" s="2052"/>
      <c r="AJ655" s="2052"/>
      <c r="AK655" s="2052"/>
      <c r="AZ655" s="61"/>
      <c r="BA655" s="61"/>
      <c r="BB655" s="61"/>
      <c r="BC655" s="61"/>
      <c r="BD655" s="61"/>
      <c r="BE655" s="61"/>
      <c r="BF655" s="61"/>
      <c r="BG655" s="61"/>
      <c r="BH655" s="61"/>
      <c r="BI655" s="61"/>
      <c r="BJ655" s="61"/>
      <c r="BK655" s="61"/>
      <c r="BL655" s="61"/>
      <c r="BM655" s="61"/>
      <c r="BN655" s="2014">
        <f t="shared" si="28"/>
        <v>0</v>
      </c>
      <c r="BO655" s="2015"/>
      <c r="BP655" s="2015"/>
      <c r="BQ655" s="2015"/>
      <c r="BR655" s="2016"/>
      <c r="BS655" s="2013">
        <f t="shared" si="29"/>
        <v>0</v>
      </c>
      <c r="BT655" s="2013"/>
      <c r="BU655" s="2013"/>
      <c r="BV655" s="2013"/>
      <c r="BW655" s="2013"/>
      <c r="BX655" s="2013">
        <f t="shared" si="30"/>
        <v>0</v>
      </c>
      <c r="BY655" s="2013"/>
      <c r="BZ655" s="2013"/>
      <c r="CA655" s="2013"/>
      <c r="CB655" s="2013"/>
      <c r="CC655" s="2013">
        <f t="shared" si="31"/>
        <v>0</v>
      </c>
      <c r="CD655" s="2013"/>
      <c r="CE655" s="2013"/>
      <c r="CF655" s="2013"/>
      <c r="CG655" s="2013"/>
      <c r="CH655" s="2013">
        <f t="shared" si="32"/>
        <v>0</v>
      </c>
      <c r="CI655" s="2013"/>
      <c r="CJ655" s="2013"/>
      <c r="CK655" s="2013"/>
      <c r="CL655" s="2013"/>
      <c r="CM655" s="2013">
        <f t="shared" si="33"/>
        <v>0</v>
      </c>
      <c r="CN655" s="2013"/>
      <c r="CO655" s="2013"/>
      <c r="CP655" s="2013"/>
      <c r="CQ655" s="2013"/>
      <c r="CR655" s="265"/>
      <c r="CS655" s="2014">
        <f t="shared" si="34"/>
        <v>0</v>
      </c>
      <c r="CT655" s="2015"/>
      <c r="CU655" s="2015"/>
      <c r="CV655" s="2015"/>
      <c r="CW655" s="2016"/>
      <c r="CX655" s="2014">
        <f t="shared" si="35"/>
        <v>0</v>
      </c>
      <c r="CY655" s="2015"/>
      <c r="CZ655" s="2015"/>
      <c r="DA655" s="2015"/>
      <c r="DB655" s="2016"/>
      <c r="DC655" s="2014">
        <f t="shared" si="36"/>
        <v>0</v>
      </c>
      <c r="DD655" s="2015"/>
      <c r="DE655" s="2015"/>
      <c r="DF655" s="2015"/>
      <c r="DG655" s="2016"/>
      <c r="DH655" s="2014">
        <f t="shared" si="37"/>
        <v>0</v>
      </c>
      <c r="DI655" s="2015"/>
      <c r="DJ655" s="2015"/>
      <c r="DK655" s="2015"/>
      <c r="DL655" s="2016"/>
      <c r="DM655" s="2014">
        <f t="shared" si="38"/>
        <v>0</v>
      </c>
      <c r="DN655" s="2015"/>
      <c r="DO655" s="2015"/>
      <c r="DP655" s="2015"/>
      <c r="DQ655" s="2016"/>
      <c r="DR655" s="2014">
        <f t="shared" si="39"/>
        <v>0</v>
      </c>
      <c r="DS655" s="2015"/>
      <c r="DT655" s="2015"/>
      <c r="DU655" s="2015"/>
      <c r="DV655" s="2016"/>
      <c r="DX655" s="2548" t="e">
        <f t="shared" si="22"/>
        <v>#VALUE!</v>
      </c>
      <c r="DY655" s="2548"/>
      <c r="DZ655" s="2548"/>
      <c r="EA655" s="2548"/>
      <c r="EB655" s="2548"/>
      <c r="EC655" s="2548" t="e">
        <f t="shared" si="23"/>
        <v>#VALUE!</v>
      </c>
      <c r="ED655" s="2548"/>
      <c r="EE655" s="2548"/>
      <c r="EF655" s="2548"/>
      <c r="EG655" s="2548"/>
      <c r="EH655" s="2548" t="e">
        <f t="shared" si="24"/>
        <v>#VALUE!</v>
      </c>
      <c r="EI655" s="2548"/>
      <c r="EJ655" s="2548"/>
      <c r="EK655" s="2548"/>
      <c r="EL655" s="2548"/>
      <c r="EM655" s="2548" t="e">
        <f t="shared" si="25"/>
        <v>#VALUE!</v>
      </c>
      <c r="EN655" s="2548"/>
      <c r="EO655" s="2548"/>
      <c r="EP655" s="2548"/>
      <c r="EQ655" s="2548"/>
      <c r="ER655" s="2548" t="e">
        <f t="shared" si="26"/>
        <v>#VALUE!</v>
      </c>
      <c r="ES655" s="2548"/>
      <c r="ET655" s="2548"/>
      <c r="EU655" s="2548"/>
      <c r="EV655" s="2548"/>
      <c r="EW655" s="2548" t="e">
        <f t="shared" si="27"/>
        <v>#VALUE!</v>
      </c>
      <c r="EX655" s="2548"/>
      <c r="EY655" s="2548"/>
      <c r="EZ655" s="2548"/>
      <c r="FA655" s="2548"/>
    </row>
    <row r="656" spans="1:157" ht="12.5">
      <c r="A656" s="35"/>
      <c r="B656" s="12" t="s">
        <v>17</v>
      </c>
      <c r="G656" s="2038" t="s">
        <v>2560</v>
      </c>
      <c r="H656" s="2038"/>
      <c r="I656" s="2038"/>
      <c r="J656" s="2038"/>
      <c r="K656" s="2038"/>
      <c r="L656" s="2038"/>
      <c r="M656" s="2038"/>
      <c r="N656" s="2038"/>
      <c r="O656" s="2038"/>
      <c r="P656" s="2038"/>
      <c r="Q656" s="2038"/>
      <c r="R656" s="2038"/>
      <c r="S656" s="14"/>
      <c r="T656" s="35"/>
      <c r="U656" s="12" t="s">
        <v>17</v>
      </c>
      <c r="Z656" s="2051" t="s">
        <v>2613</v>
      </c>
      <c r="AA656" s="2052"/>
      <c r="AB656" s="2052"/>
      <c r="AC656" s="2052"/>
      <c r="AD656" s="2052"/>
      <c r="AE656" s="2052"/>
      <c r="AF656" s="2052"/>
      <c r="AG656" s="2052"/>
      <c r="AH656" s="2052"/>
      <c r="AI656" s="2052"/>
      <c r="AJ656" s="2052"/>
      <c r="AK656" s="2052"/>
      <c r="AZ656" s="61"/>
      <c r="BA656" s="61"/>
      <c r="BB656" s="61"/>
      <c r="BC656" s="61"/>
      <c r="BD656" s="61"/>
      <c r="BE656" s="61"/>
      <c r="BF656" s="61"/>
      <c r="BG656" s="61"/>
      <c r="BH656" s="61"/>
      <c r="BI656" s="61"/>
      <c r="BJ656" s="61"/>
      <c r="BK656" s="61"/>
      <c r="BL656" s="61"/>
      <c r="BM656" s="61"/>
      <c r="BN656" s="2014">
        <f t="shared" si="28"/>
        <v>0</v>
      </c>
      <c r="BO656" s="2015"/>
      <c r="BP656" s="2015"/>
      <c r="BQ656" s="2015"/>
      <c r="BR656" s="2016"/>
      <c r="BS656" s="2013">
        <f t="shared" si="29"/>
        <v>0</v>
      </c>
      <c r="BT656" s="2013"/>
      <c r="BU656" s="2013"/>
      <c r="BV656" s="2013"/>
      <c r="BW656" s="2013"/>
      <c r="BX656" s="2013">
        <f t="shared" si="30"/>
        <v>0</v>
      </c>
      <c r="BY656" s="2013"/>
      <c r="BZ656" s="2013"/>
      <c r="CA656" s="2013"/>
      <c r="CB656" s="2013"/>
      <c r="CC656" s="2013">
        <f t="shared" si="31"/>
        <v>0</v>
      </c>
      <c r="CD656" s="2013"/>
      <c r="CE656" s="2013"/>
      <c r="CF656" s="2013"/>
      <c r="CG656" s="2013"/>
      <c r="CH656" s="2013">
        <f t="shared" si="32"/>
        <v>0</v>
      </c>
      <c r="CI656" s="2013"/>
      <c r="CJ656" s="2013"/>
      <c r="CK656" s="2013"/>
      <c r="CL656" s="2013"/>
      <c r="CM656" s="2013">
        <f t="shared" si="33"/>
        <v>0</v>
      </c>
      <c r="CN656" s="2013"/>
      <c r="CO656" s="2013"/>
      <c r="CP656" s="2013"/>
      <c r="CQ656" s="2013"/>
      <c r="CR656" s="265"/>
      <c r="CS656" s="2014">
        <f t="shared" si="34"/>
        <v>0</v>
      </c>
      <c r="CT656" s="2015"/>
      <c r="CU656" s="2015"/>
      <c r="CV656" s="2015"/>
      <c r="CW656" s="2016"/>
      <c r="CX656" s="2014">
        <f t="shared" si="35"/>
        <v>0</v>
      </c>
      <c r="CY656" s="2015"/>
      <c r="CZ656" s="2015"/>
      <c r="DA656" s="2015"/>
      <c r="DB656" s="2016"/>
      <c r="DC656" s="2014">
        <f t="shared" si="36"/>
        <v>0</v>
      </c>
      <c r="DD656" s="2015"/>
      <c r="DE656" s="2015"/>
      <c r="DF656" s="2015"/>
      <c r="DG656" s="2016"/>
      <c r="DH656" s="2014">
        <f t="shared" si="37"/>
        <v>0</v>
      </c>
      <c r="DI656" s="2015"/>
      <c r="DJ656" s="2015"/>
      <c r="DK656" s="2015"/>
      <c r="DL656" s="2016"/>
      <c r="DM656" s="2014">
        <f t="shared" si="38"/>
        <v>0</v>
      </c>
      <c r="DN656" s="2015"/>
      <c r="DO656" s="2015"/>
      <c r="DP656" s="2015"/>
      <c r="DQ656" s="2016"/>
      <c r="DR656" s="2014">
        <f t="shared" si="39"/>
        <v>0</v>
      </c>
      <c r="DS656" s="2015"/>
      <c r="DT656" s="2015"/>
      <c r="DU656" s="2015"/>
      <c r="DV656" s="2016"/>
      <c r="DX656" s="2548" t="e">
        <f t="shared" si="22"/>
        <v>#VALUE!</v>
      </c>
      <c r="DY656" s="2548"/>
      <c r="DZ656" s="2548"/>
      <c r="EA656" s="2548"/>
      <c r="EB656" s="2548"/>
      <c r="EC656" s="2548" t="e">
        <f t="shared" si="23"/>
        <v>#VALUE!</v>
      </c>
      <c r="ED656" s="2548"/>
      <c r="EE656" s="2548"/>
      <c r="EF656" s="2548"/>
      <c r="EG656" s="2548"/>
      <c r="EH656" s="2548" t="e">
        <f t="shared" si="24"/>
        <v>#VALUE!</v>
      </c>
      <c r="EI656" s="2548"/>
      <c r="EJ656" s="2548"/>
      <c r="EK656" s="2548"/>
      <c r="EL656" s="2548"/>
      <c r="EM656" s="2548" t="e">
        <f t="shared" si="25"/>
        <v>#VALUE!</v>
      </c>
      <c r="EN656" s="2548"/>
      <c r="EO656" s="2548"/>
      <c r="EP656" s="2548"/>
      <c r="EQ656" s="2548"/>
      <c r="ER656" s="2548" t="e">
        <f t="shared" si="26"/>
        <v>#VALUE!</v>
      </c>
      <c r="ES656" s="2548"/>
      <c r="ET656" s="2548"/>
      <c r="EU656" s="2548"/>
      <c r="EV656" s="2548"/>
      <c r="EW656" s="2548" t="e">
        <f t="shared" si="27"/>
        <v>#VALUE!</v>
      </c>
      <c r="EX656" s="2548"/>
      <c r="EY656" s="2548"/>
      <c r="EZ656" s="2548"/>
      <c r="FA656" s="2548"/>
    </row>
    <row r="657" spans="1:157" ht="12.5">
      <c r="A657" s="35"/>
      <c r="B657" s="12" t="s">
        <v>325</v>
      </c>
      <c r="G657" s="2159">
        <v>8055570933</v>
      </c>
      <c r="H657" s="2159"/>
      <c r="I657" s="2159"/>
      <c r="J657" s="2159"/>
      <c r="K657" s="2159"/>
      <c r="L657" s="2159"/>
      <c r="O657" s="137" t="s">
        <v>212</v>
      </c>
      <c r="P657" s="2171"/>
      <c r="Q657" s="2171"/>
      <c r="R657" s="2171"/>
      <c r="S657" s="16"/>
      <c r="T657" s="35"/>
      <c r="U657" s="12" t="s">
        <v>325</v>
      </c>
      <c r="Z657" s="2092">
        <v>4086152297</v>
      </c>
      <c r="AA657" s="2092"/>
      <c r="AB657" s="2092"/>
      <c r="AC657" s="2092"/>
      <c r="AD657" s="2092"/>
      <c r="AE657" s="2092"/>
      <c r="AH657" s="137" t="s">
        <v>212</v>
      </c>
      <c r="AI657" s="2171"/>
      <c r="AJ657" s="2171"/>
      <c r="AK657" s="2171"/>
      <c r="AZ657" s="61"/>
      <c r="BA657" s="61"/>
      <c r="BB657" s="61"/>
      <c r="BC657" s="61"/>
      <c r="BD657" s="61"/>
      <c r="BE657" s="61"/>
      <c r="BF657" s="61"/>
      <c r="BG657" s="61"/>
      <c r="BH657" s="61"/>
      <c r="BI657" s="61"/>
      <c r="BJ657" s="61"/>
      <c r="BK657" s="61"/>
      <c r="BL657" s="61"/>
      <c r="BM657" s="61"/>
      <c r="BN657" s="2014">
        <f t="shared" si="28"/>
        <v>0</v>
      </c>
      <c r="BO657" s="2015"/>
      <c r="BP657" s="2015"/>
      <c r="BQ657" s="2015"/>
      <c r="BR657" s="2016"/>
      <c r="BS657" s="2013">
        <f t="shared" si="29"/>
        <v>0</v>
      </c>
      <c r="BT657" s="2013"/>
      <c r="BU657" s="2013"/>
      <c r="BV657" s="2013"/>
      <c r="BW657" s="2013"/>
      <c r="BX657" s="2013">
        <f t="shared" si="30"/>
        <v>0</v>
      </c>
      <c r="BY657" s="2013"/>
      <c r="BZ657" s="2013"/>
      <c r="CA657" s="2013"/>
      <c r="CB657" s="2013"/>
      <c r="CC657" s="2013">
        <f t="shared" si="31"/>
        <v>0</v>
      </c>
      <c r="CD657" s="2013"/>
      <c r="CE657" s="2013"/>
      <c r="CF657" s="2013"/>
      <c r="CG657" s="2013"/>
      <c r="CH657" s="2013">
        <f t="shared" si="32"/>
        <v>0</v>
      </c>
      <c r="CI657" s="2013"/>
      <c r="CJ657" s="2013"/>
      <c r="CK657" s="2013"/>
      <c r="CL657" s="2013"/>
      <c r="CM657" s="2013">
        <f t="shared" si="33"/>
        <v>0</v>
      </c>
      <c r="CN657" s="2013"/>
      <c r="CO657" s="2013"/>
      <c r="CP657" s="2013"/>
      <c r="CQ657" s="2013"/>
      <c r="CR657" s="265"/>
      <c r="CS657" s="2014">
        <f t="shared" si="34"/>
        <v>0</v>
      </c>
      <c r="CT657" s="2015"/>
      <c r="CU657" s="2015"/>
      <c r="CV657" s="2015"/>
      <c r="CW657" s="2016"/>
      <c r="CX657" s="2014">
        <f t="shared" si="35"/>
        <v>0</v>
      </c>
      <c r="CY657" s="2015"/>
      <c r="CZ657" s="2015"/>
      <c r="DA657" s="2015"/>
      <c r="DB657" s="2016"/>
      <c r="DC657" s="2014">
        <f t="shared" si="36"/>
        <v>0</v>
      </c>
      <c r="DD657" s="2015"/>
      <c r="DE657" s="2015"/>
      <c r="DF657" s="2015"/>
      <c r="DG657" s="2016"/>
      <c r="DH657" s="2014">
        <f t="shared" si="37"/>
        <v>0</v>
      </c>
      <c r="DI657" s="2015"/>
      <c r="DJ657" s="2015"/>
      <c r="DK657" s="2015"/>
      <c r="DL657" s="2016"/>
      <c r="DM657" s="2014">
        <f t="shared" si="38"/>
        <v>0</v>
      </c>
      <c r="DN657" s="2015"/>
      <c r="DO657" s="2015"/>
      <c r="DP657" s="2015"/>
      <c r="DQ657" s="2016"/>
      <c r="DR657" s="2014">
        <f t="shared" si="39"/>
        <v>0</v>
      </c>
      <c r="DS657" s="2015"/>
      <c r="DT657" s="2015"/>
      <c r="DU657" s="2015"/>
      <c r="DV657" s="2016"/>
      <c r="DX657" s="2548" t="e">
        <f t="shared" si="22"/>
        <v>#VALUE!</v>
      </c>
      <c r="DY657" s="2548"/>
      <c r="DZ657" s="2548"/>
      <c r="EA657" s="2548"/>
      <c r="EB657" s="2548"/>
      <c r="EC657" s="2548" t="e">
        <f t="shared" si="23"/>
        <v>#VALUE!</v>
      </c>
      <c r="ED657" s="2548"/>
      <c r="EE657" s="2548"/>
      <c r="EF657" s="2548"/>
      <c r="EG657" s="2548"/>
      <c r="EH657" s="2548" t="e">
        <f t="shared" si="24"/>
        <v>#VALUE!</v>
      </c>
      <c r="EI657" s="2548"/>
      <c r="EJ657" s="2548"/>
      <c r="EK657" s="2548"/>
      <c r="EL657" s="2548"/>
      <c r="EM657" s="2548" t="e">
        <f t="shared" si="25"/>
        <v>#VALUE!</v>
      </c>
      <c r="EN657" s="2548"/>
      <c r="EO657" s="2548"/>
      <c r="EP657" s="2548"/>
      <c r="EQ657" s="2548"/>
      <c r="ER657" s="2548" t="e">
        <f t="shared" si="26"/>
        <v>#VALUE!</v>
      </c>
      <c r="ES657" s="2548"/>
      <c r="ET657" s="2548"/>
      <c r="EU657" s="2548"/>
      <c r="EV657" s="2548"/>
      <c r="EW657" s="2548" t="e">
        <f t="shared" si="27"/>
        <v>#VALUE!</v>
      </c>
      <c r="EX657" s="2548"/>
      <c r="EY657" s="2548"/>
      <c r="EZ657" s="2548"/>
      <c r="FA657" s="2548"/>
    </row>
    <row r="658" spans="1:157" ht="12.5">
      <c r="A658" s="35"/>
      <c r="B658" s="12" t="s">
        <v>18</v>
      </c>
      <c r="H658" s="2038" t="s">
        <v>2565</v>
      </c>
      <c r="I658" s="2038"/>
      <c r="J658" s="2038"/>
      <c r="K658" s="2038"/>
      <c r="L658" s="2038"/>
      <c r="M658" s="2038"/>
      <c r="N658" s="2038"/>
      <c r="O658" s="2038"/>
      <c r="P658" s="2038"/>
      <c r="Q658" s="2038"/>
      <c r="R658" s="2038"/>
      <c r="S658" s="14"/>
      <c r="T658" s="35"/>
      <c r="U658" s="12" t="s">
        <v>18</v>
      </c>
      <c r="AA658" s="2050" t="s">
        <v>1904</v>
      </c>
      <c r="AB658" s="2038"/>
      <c r="AC658" s="2038"/>
      <c r="AD658" s="2038"/>
      <c r="AE658" s="2038"/>
      <c r="AF658" s="2038"/>
      <c r="AG658" s="2038"/>
      <c r="AH658" s="2038"/>
      <c r="AI658" s="2038"/>
      <c r="AJ658" s="2038"/>
      <c r="AK658" s="2038"/>
      <c r="AZ658" s="61"/>
      <c r="BA658" s="61"/>
      <c r="BB658" s="61"/>
      <c r="BC658" s="61"/>
      <c r="BD658" s="61"/>
      <c r="BE658" s="61"/>
      <c r="BF658" s="61"/>
      <c r="BG658" s="61"/>
      <c r="BH658" s="61"/>
      <c r="BI658" s="61"/>
      <c r="BJ658" s="61"/>
      <c r="BK658" s="61"/>
      <c r="BL658" s="61"/>
      <c r="BM658" s="61"/>
      <c r="BN658" s="2007">
        <f>SUM(BN648:BR657)</f>
        <v>0</v>
      </c>
      <c r="BO658" s="2008"/>
      <c r="BP658" s="2008"/>
      <c r="BQ658" s="2008"/>
      <c r="BR658" s="2009"/>
      <c r="BS658" s="2010">
        <f>SUM(BS648:BW657)</f>
        <v>0</v>
      </c>
      <c r="BT658" s="2011"/>
      <c r="BU658" s="2011"/>
      <c r="BV658" s="2011"/>
      <c r="BW658" s="2012"/>
      <c r="BX658" s="2010">
        <f>SUM(BX648:CB657)</f>
        <v>0</v>
      </c>
      <c r="BY658" s="2011"/>
      <c r="BZ658" s="2011"/>
      <c r="CA658" s="2011"/>
      <c r="CB658" s="2012"/>
      <c r="CC658" s="2010">
        <f>SUM(CC648:CG657)</f>
        <v>0</v>
      </c>
      <c r="CD658" s="2011"/>
      <c r="CE658" s="2011"/>
      <c r="CF658" s="2011"/>
      <c r="CG658" s="2012"/>
      <c r="CH658" s="2010">
        <f>SUM(CH648:CL657)</f>
        <v>0</v>
      </c>
      <c r="CI658" s="2011"/>
      <c r="CJ658" s="2011"/>
      <c r="CK658" s="2011"/>
      <c r="CL658" s="2012"/>
      <c r="CM658" s="2010">
        <f>SUM(CM648:CQ657)</f>
        <v>0</v>
      </c>
      <c r="CN658" s="2011"/>
      <c r="CO658" s="2011"/>
      <c r="CP658" s="2011"/>
      <c r="CQ658" s="2012"/>
      <c r="CR658" s="1805"/>
      <c r="CS658" s="2568">
        <f>SUM(CS648:CW657)</f>
        <v>0</v>
      </c>
      <c r="CT658" s="2568"/>
      <c r="CU658" s="2568"/>
      <c r="CV658" s="2568"/>
      <c r="CW658" s="2568"/>
      <c r="CX658" s="2568">
        <f>SUM(CX648:DB657)</f>
        <v>0</v>
      </c>
      <c r="CY658" s="2568"/>
      <c r="CZ658" s="2568"/>
      <c r="DA658" s="2568"/>
      <c r="DB658" s="2568"/>
      <c r="DC658" s="2568">
        <f>SUM(DC648:DG657)</f>
        <v>0</v>
      </c>
      <c r="DD658" s="2568"/>
      <c r="DE658" s="2568"/>
      <c r="DF658" s="2568"/>
      <c r="DG658" s="2568"/>
      <c r="DH658" s="2568">
        <f>SUM(DH648:DL657)</f>
        <v>0</v>
      </c>
      <c r="DI658" s="2568"/>
      <c r="DJ658" s="2568"/>
      <c r="DK658" s="2568"/>
      <c r="DL658" s="2568"/>
      <c r="DM658" s="2568">
        <f>SUM(DM648:DQ657)</f>
        <v>0</v>
      </c>
      <c r="DN658" s="2568"/>
      <c r="DO658" s="2568"/>
      <c r="DP658" s="2568"/>
      <c r="DQ658" s="2568"/>
      <c r="DR658" s="2568">
        <f>SUM(DR648:DV657)</f>
        <v>0</v>
      </c>
      <c r="DS658" s="2568"/>
      <c r="DT658" s="2568"/>
      <c r="DU658" s="2568"/>
      <c r="DV658" s="2568"/>
      <c r="DX658" s="2548" t="e">
        <f t="shared" si="22"/>
        <v>#VALUE!</v>
      </c>
      <c r="DY658" s="2548"/>
      <c r="DZ658" s="2548"/>
      <c r="EA658" s="2548"/>
      <c r="EB658" s="2548"/>
      <c r="EC658" s="2548" t="e">
        <f t="shared" si="23"/>
        <v>#VALUE!</v>
      </c>
      <c r="ED658" s="2548"/>
      <c r="EE658" s="2548"/>
      <c r="EF658" s="2548"/>
      <c r="EG658" s="2548"/>
      <c r="EH658" s="2548" t="e">
        <f t="shared" si="24"/>
        <v>#VALUE!</v>
      </c>
      <c r="EI658" s="2548"/>
      <c r="EJ658" s="2548"/>
      <c r="EK658" s="2548"/>
      <c r="EL658" s="2548"/>
      <c r="EM658" s="2548" t="e">
        <f t="shared" si="25"/>
        <v>#VALUE!</v>
      </c>
      <c r="EN658" s="2548"/>
      <c r="EO658" s="2548"/>
      <c r="EP658" s="2548"/>
      <c r="EQ658" s="2548"/>
      <c r="ER658" s="2548" t="e">
        <f t="shared" si="26"/>
        <v>#VALUE!</v>
      </c>
      <c r="ES658" s="2548"/>
      <c r="ET658" s="2548"/>
      <c r="EU658" s="2548"/>
      <c r="EV658" s="2548"/>
      <c r="EW658" s="2548" t="e">
        <f t="shared" si="27"/>
        <v>#VALUE!</v>
      </c>
      <c r="EX658" s="2548"/>
      <c r="EY658" s="2548"/>
      <c r="EZ658" s="2548"/>
      <c r="FA658" s="2548"/>
    </row>
    <row r="659" spans="1:157" ht="12.5">
      <c r="A659" s="35"/>
      <c r="B659" s="12" t="s">
        <v>20</v>
      </c>
      <c r="N659" s="2037" t="s">
        <v>577</v>
      </c>
      <c r="O659" s="2037"/>
      <c r="T659" s="35"/>
      <c r="U659" s="12" t="s">
        <v>20</v>
      </c>
      <c r="AG659" s="2037" t="s">
        <v>705</v>
      </c>
      <c r="AH659" s="2037"/>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8" t="e">
        <f t="shared" si="22"/>
        <v>#VALUE!</v>
      </c>
      <c r="DY659" s="2548"/>
      <c r="DZ659" s="2548"/>
      <c r="EA659" s="2548"/>
      <c r="EB659" s="2548"/>
      <c r="EC659" s="2548" t="e">
        <f t="shared" si="23"/>
        <v>#VALUE!</v>
      </c>
      <c r="ED659" s="2548"/>
      <c r="EE659" s="2548"/>
      <c r="EF659" s="2548"/>
      <c r="EG659" s="2548"/>
      <c r="EH659" s="2548" t="e">
        <f t="shared" si="24"/>
        <v>#VALUE!</v>
      </c>
      <c r="EI659" s="2548"/>
      <c r="EJ659" s="2548"/>
      <c r="EK659" s="2548"/>
      <c r="EL659" s="2548"/>
      <c r="EM659" s="2548" t="e">
        <f t="shared" si="25"/>
        <v>#VALUE!</v>
      </c>
      <c r="EN659" s="2548"/>
      <c r="EO659" s="2548"/>
      <c r="EP659" s="2548"/>
      <c r="EQ659" s="2548"/>
      <c r="ER659" s="2548" t="e">
        <f t="shared" si="26"/>
        <v>#VALUE!</v>
      </c>
      <c r="ES659" s="2548"/>
      <c r="ET659" s="2548"/>
      <c r="EU659" s="2548"/>
      <c r="EV659" s="2548"/>
      <c r="EW659" s="2548" t="e">
        <f t="shared" si="27"/>
        <v>#VALUE!</v>
      </c>
      <c r="EX659" s="2548"/>
      <c r="EY659" s="2548"/>
      <c r="EZ659" s="2548"/>
      <c r="FA659" s="2548"/>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548">
        <f>SUM(CS658:DV658)</f>
        <v>0</v>
      </c>
      <c r="DS660" s="2548"/>
      <c r="DT660" s="2548"/>
      <c r="DU660" s="2548"/>
      <c r="DV660" s="2548"/>
      <c r="DX660" s="2548" t="e">
        <f t="shared" si="22"/>
        <v>#VALUE!</v>
      </c>
      <c r="DY660" s="2548"/>
      <c r="DZ660" s="2548"/>
      <c r="EA660" s="2548"/>
      <c r="EB660" s="2548"/>
      <c r="EC660" s="2548" t="e">
        <f t="shared" si="23"/>
        <v>#VALUE!</v>
      </c>
      <c r="ED660" s="2548"/>
      <c r="EE660" s="2548"/>
      <c r="EF660" s="2548"/>
      <c r="EG660" s="2548"/>
      <c r="EH660" s="2548" t="e">
        <f t="shared" si="24"/>
        <v>#VALUE!</v>
      </c>
      <c r="EI660" s="2548"/>
      <c r="EJ660" s="2548"/>
      <c r="EK660" s="2548"/>
      <c r="EL660" s="2548"/>
      <c r="EM660" s="2548" t="e">
        <f t="shared" si="25"/>
        <v>#VALUE!</v>
      </c>
      <c r="EN660" s="2548"/>
      <c r="EO660" s="2548"/>
      <c r="EP660" s="2548"/>
      <c r="EQ660" s="2548"/>
      <c r="ER660" s="2548" t="e">
        <f t="shared" si="26"/>
        <v>#VALUE!</v>
      </c>
      <c r="ES660" s="2548"/>
      <c r="ET660" s="2548"/>
      <c r="EU660" s="2548"/>
      <c r="EV660" s="2548"/>
      <c r="EW660" s="2548" t="e">
        <f t="shared" si="27"/>
        <v>#VALUE!</v>
      </c>
      <c r="EX660" s="2548"/>
      <c r="EY660" s="2548"/>
      <c r="EZ660" s="2548"/>
      <c r="FA660" s="2548"/>
    </row>
    <row r="661" spans="1:157" ht="13">
      <c r="A661" s="87" t="s">
        <v>124</v>
      </c>
      <c r="B661" s="12" t="s">
        <v>495</v>
      </c>
      <c r="G661" s="2160" t="str">
        <f>C639</f>
        <v>NOI during Construction</v>
      </c>
      <c r="H661" s="2160"/>
      <c r="I661" s="2160"/>
      <c r="J661" s="2160"/>
      <c r="K661" s="2160"/>
      <c r="L661" s="2160"/>
      <c r="M661" s="2160"/>
      <c r="N661" s="2160"/>
      <c r="O661" s="2160"/>
      <c r="P661" s="2160"/>
      <c r="Q661" s="2160"/>
      <c r="R661" s="2160"/>
      <c r="T661" s="87" t="s">
        <v>615</v>
      </c>
      <c r="U661" s="12" t="s">
        <v>495</v>
      </c>
      <c r="Z661" s="2160" t="str">
        <f>C640</f>
        <v>Commerical Space Sale</v>
      </c>
      <c r="AA661" s="2160"/>
      <c r="AB661" s="2160"/>
      <c r="AC661" s="2160"/>
      <c r="AD661" s="2160"/>
      <c r="AE661" s="2160"/>
      <c r="AF661" s="2160"/>
      <c r="AG661" s="2160"/>
      <c r="AH661" s="2160"/>
      <c r="AI661" s="2160"/>
      <c r="AJ661" s="2160"/>
      <c r="AK661" s="2160"/>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48" t="e">
        <f t="shared" si="22"/>
        <v>#VALUE!</v>
      </c>
      <c r="DY661" s="2548"/>
      <c r="DZ661" s="2548"/>
      <c r="EA661" s="2548"/>
      <c r="EB661" s="2548"/>
      <c r="EC661" s="2548" t="e">
        <f t="shared" si="23"/>
        <v>#VALUE!</v>
      </c>
      <c r="ED661" s="2548"/>
      <c r="EE661" s="2548"/>
      <c r="EF661" s="2548"/>
      <c r="EG661" s="2548"/>
      <c r="EH661" s="2548" t="e">
        <f t="shared" si="24"/>
        <v>#VALUE!</v>
      </c>
      <c r="EI661" s="2548"/>
      <c r="EJ661" s="2548"/>
      <c r="EK661" s="2548"/>
      <c r="EL661" s="2548"/>
      <c r="EM661" s="2548" t="e">
        <f t="shared" si="25"/>
        <v>#VALUE!</v>
      </c>
      <c r="EN661" s="2548"/>
      <c r="EO661" s="2548"/>
      <c r="EP661" s="2548"/>
      <c r="EQ661" s="2548"/>
      <c r="ER661" s="2548" t="e">
        <f t="shared" si="26"/>
        <v>#VALUE!</v>
      </c>
      <c r="ES661" s="2548"/>
      <c r="ET661" s="2548"/>
      <c r="EU661" s="2548"/>
      <c r="EV661" s="2548"/>
      <c r="EW661" s="2548" t="e">
        <f t="shared" si="27"/>
        <v>#VALUE!</v>
      </c>
      <c r="EX661" s="2548"/>
      <c r="EY661" s="2548"/>
      <c r="EZ661" s="2548"/>
      <c r="FA661" s="2548"/>
    </row>
    <row r="662" spans="1:157" ht="12.5">
      <c r="A662" s="35"/>
      <c r="B662" s="12" t="s">
        <v>90</v>
      </c>
      <c r="G662" s="2038" t="s">
        <v>2562</v>
      </c>
      <c r="H662" s="2038"/>
      <c r="I662" s="2038"/>
      <c r="J662" s="2038"/>
      <c r="K662" s="2038"/>
      <c r="L662" s="2038"/>
      <c r="M662" s="2038"/>
      <c r="N662" s="2038"/>
      <c r="O662" s="2038"/>
      <c r="P662" s="2038"/>
      <c r="Q662" s="2038"/>
      <c r="R662" s="2038"/>
      <c r="T662" s="35"/>
      <c r="U662" s="12" t="s">
        <v>90</v>
      </c>
      <c r="Z662" s="2050" t="s">
        <v>2562</v>
      </c>
      <c r="AA662" s="2038"/>
      <c r="AB662" s="2038"/>
      <c r="AC662" s="2038"/>
      <c r="AD662" s="2038"/>
      <c r="AE662" s="2038"/>
      <c r="AF662" s="2038"/>
      <c r="AG662" s="2038"/>
      <c r="AH662" s="2038"/>
      <c r="AI662" s="2038"/>
      <c r="AJ662" s="2038"/>
      <c r="AK662" s="203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8" t="e">
        <f t="shared" si="22"/>
        <v>#VALUE!</v>
      </c>
      <c r="DY662" s="2548"/>
      <c r="DZ662" s="2548"/>
      <c r="EA662" s="2548"/>
      <c r="EB662" s="2548"/>
      <c r="EC662" s="2548" t="e">
        <f t="shared" si="23"/>
        <v>#VALUE!</v>
      </c>
      <c r="ED662" s="2548"/>
      <c r="EE662" s="2548"/>
      <c r="EF662" s="2548"/>
      <c r="EG662" s="2548"/>
      <c r="EH662" s="2548" t="e">
        <f t="shared" si="24"/>
        <v>#VALUE!</v>
      </c>
      <c r="EI662" s="2548"/>
      <c r="EJ662" s="2548"/>
      <c r="EK662" s="2548"/>
      <c r="EL662" s="2548"/>
      <c r="EM662" s="2548" t="e">
        <f t="shared" si="25"/>
        <v>#VALUE!</v>
      </c>
      <c r="EN662" s="2548"/>
      <c r="EO662" s="2548"/>
      <c r="EP662" s="2548"/>
      <c r="EQ662" s="2548"/>
      <c r="ER662" s="2548" t="e">
        <f t="shared" si="26"/>
        <v>#VALUE!</v>
      </c>
      <c r="ES662" s="2548"/>
      <c r="ET662" s="2548"/>
      <c r="EU662" s="2548"/>
      <c r="EV662" s="2548"/>
      <c r="EW662" s="2548" t="e">
        <f t="shared" si="27"/>
        <v>#VALUE!</v>
      </c>
      <c r="EX662" s="2548"/>
      <c r="EY662" s="2548"/>
      <c r="EZ662" s="2548"/>
      <c r="FA662" s="2548"/>
    </row>
    <row r="663" spans="1:157" ht="13">
      <c r="A663" s="35"/>
      <c r="B663" s="12" t="s">
        <v>614</v>
      </c>
      <c r="G663" s="2052" t="s">
        <v>2563</v>
      </c>
      <c r="H663" s="2052"/>
      <c r="I663" s="2052"/>
      <c r="J663" s="2052"/>
      <c r="K663" s="2052"/>
      <c r="L663" s="2052"/>
      <c r="M663" s="2052"/>
      <c r="N663" s="2052"/>
      <c r="O663" s="2052"/>
      <c r="P663" s="2052"/>
      <c r="Q663" s="2052"/>
      <c r="R663" s="2052"/>
      <c r="T663" s="35"/>
      <c r="U663" s="12" t="s">
        <v>614</v>
      </c>
      <c r="Z663" s="2051" t="s">
        <v>2563</v>
      </c>
      <c r="AA663" s="2052"/>
      <c r="AB663" s="2052"/>
      <c r="AC663" s="2052"/>
      <c r="AD663" s="2052"/>
      <c r="AE663" s="2052"/>
      <c r="AF663" s="2052"/>
      <c r="AG663" s="2052"/>
      <c r="AH663" s="2052"/>
      <c r="AI663" s="2052"/>
      <c r="AJ663" s="2052"/>
      <c r="AK663" s="2052"/>
      <c r="AZ663" s="61"/>
      <c r="BA663" s="61"/>
      <c r="BB663" s="61"/>
      <c r="BC663" s="61"/>
      <c r="BD663" s="61"/>
      <c r="BE663" s="61"/>
      <c r="BF663" s="61"/>
      <c r="BG663" s="61"/>
      <c r="BH663" s="61"/>
      <c r="BI663" s="61"/>
      <c r="BJ663" s="61"/>
      <c r="BK663" s="61"/>
      <c r="BL663" s="61"/>
      <c r="BM663" s="61"/>
      <c r="BN663" s="2010">
        <f>BN635+BN644+BN658</f>
        <v>90</v>
      </c>
      <c r="BO663" s="2011"/>
      <c r="BP663" s="2011"/>
      <c r="BQ663" s="2011"/>
      <c r="BR663" s="2012"/>
      <c r="BS663" s="2010">
        <f>BS635+BS644+BS658</f>
        <v>34</v>
      </c>
      <c r="BT663" s="2011"/>
      <c r="BU663" s="2011"/>
      <c r="BV663" s="2011"/>
      <c r="BW663" s="2012"/>
      <c r="BX663" s="2010">
        <f>BX635+BX644+BX658</f>
        <v>24</v>
      </c>
      <c r="BY663" s="2011"/>
      <c r="BZ663" s="2011"/>
      <c r="CA663" s="2011"/>
      <c r="CB663" s="2012"/>
      <c r="CC663" s="2010">
        <f>CC635+CC644+CC658</f>
        <v>3</v>
      </c>
      <c r="CD663" s="2011"/>
      <c r="CE663" s="2011"/>
      <c r="CF663" s="2011"/>
      <c r="CG663" s="2012"/>
      <c r="CH663" s="2010">
        <f>CH635+CH644+CH658</f>
        <v>0</v>
      </c>
      <c r="CI663" s="2011"/>
      <c r="CJ663" s="2011"/>
      <c r="CK663" s="2011"/>
      <c r="CL663" s="2012"/>
      <c r="CM663" s="2172">
        <f>CM658+CM644+CM635</f>
        <v>0</v>
      </c>
      <c r="CN663" s="2178"/>
      <c r="CO663" s="2178"/>
      <c r="CP663" s="2178"/>
      <c r="CQ663" s="2173"/>
      <c r="CR663" s="177"/>
      <c r="CS663" s="1470">
        <f>CS637+CS661</f>
        <v>179</v>
      </c>
      <c r="CT663" s="134" t="s">
        <v>2391</v>
      </c>
      <c r="CU663" s="58"/>
      <c r="CV663" s="58"/>
      <c r="CW663" s="58"/>
      <c r="CX663" s="58"/>
      <c r="CY663" s="58"/>
      <c r="CZ663" s="58"/>
      <c r="DA663" s="58"/>
      <c r="DB663" s="58"/>
      <c r="DC663" s="58"/>
      <c r="DD663" s="58"/>
      <c r="DE663" s="58"/>
      <c r="DF663" s="58"/>
      <c r="DX663" s="2548">
        <f>SUMIF(DX638:EB662,"&gt;0")</f>
        <v>1479.5</v>
      </c>
      <c r="DY663" s="2548"/>
      <c r="DZ663" s="2548"/>
      <c r="EA663" s="2548"/>
      <c r="EB663" s="2548"/>
      <c r="EC663" s="2548">
        <f>SUMIF(EC638:EG662,"&gt;0")</f>
        <v>1712.3235294117646</v>
      </c>
      <c r="ED663" s="2548"/>
      <c r="EE663" s="2548"/>
      <c r="EF663" s="2548"/>
      <c r="EG663" s="2548"/>
      <c r="EH663" s="2548">
        <f>SUMIF(EH638:EL662,"&gt;0")</f>
        <v>2099.913043478261</v>
      </c>
      <c r="EI663" s="2548"/>
      <c r="EJ663" s="2548"/>
      <c r="EK663" s="2548"/>
      <c r="EL663" s="2548"/>
      <c r="EM663" s="2548">
        <f>SUMIF(EM638:EQ662,"&gt;0")</f>
        <v>2082</v>
      </c>
      <c r="EN663" s="2548"/>
      <c r="EO663" s="2548"/>
      <c r="EP663" s="2548"/>
      <c r="EQ663" s="2548"/>
      <c r="ER663" s="2548">
        <f>SUMIF(ER638:EV662,"&gt;0")</f>
        <v>0</v>
      </c>
      <c r="ES663" s="2548"/>
      <c r="ET663" s="2548"/>
      <c r="EU663" s="2548"/>
      <c r="EV663" s="2548"/>
      <c r="EW663" s="2548">
        <f>SUMIF(EW638:FA662,"&gt;0")</f>
        <v>0</v>
      </c>
      <c r="EX663" s="2548"/>
      <c r="EY663" s="2548"/>
      <c r="EZ663" s="2548"/>
      <c r="FA663" s="2548"/>
    </row>
    <row r="664" spans="1:157" ht="12.5">
      <c r="A664" s="35"/>
      <c r="B664" s="12" t="s">
        <v>17</v>
      </c>
      <c r="G664" s="2051" t="s">
        <v>2564</v>
      </c>
      <c r="H664" s="2052"/>
      <c r="I664" s="2052"/>
      <c r="J664" s="2052"/>
      <c r="K664" s="2052"/>
      <c r="L664" s="2052"/>
      <c r="M664" s="2052"/>
      <c r="N664" s="2052"/>
      <c r="O664" s="2052"/>
      <c r="P664" s="2052"/>
      <c r="Q664" s="2052"/>
      <c r="R664" s="2052"/>
      <c r="T664" s="35"/>
      <c r="U664" s="12" t="s">
        <v>17</v>
      </c>
      <c r="Z664" s="2051" t="s">
        <v>2564</v>
      </c>
      <c r="AA664" s="2052"/>
      <c r="AB664" s="2052"/>
      <c r="AC664" s="2052"/>
      <c r="AD664" s="2052"/>
      <c r="AE664" s="2052"/>
      <c r="AF664" s="2052"/>
      <c r="AG664" s="2052"/>
      <c r="AH664" s="2052"/>
      <c r="AI664" s="2052"/>
      <c r="AJ664" s="2052"/>
      <c r="AK664" s="205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92">
        <v>9167736060</v>
      </c>
      <c r="H665" s="2092"/>
      <c r="I665" s="2092"/>
      <c r="J665" s="2092"/>
      <c r="K665" s="2092"/>
      <c r="L665" s="2092"/>
      <c r="O665" s="137" t="s">
        <v>212</v>
      </c>
      <c r="P665" s="2171"/>
      <c r="Q665" s="2171"/>
      <c r="R665" s="2171"/>
      <c r="T665" s="35"/>
      <c r="U665" s="12" t="s">
        <v>325</v>
      </c>
      <c r="Z665" s="2092">
        <v>9167736060</v>
      </c>
      <c r="AA665" s="2092"/>
      <c r="AB665" s="2092"/>
      <c r="AC665" s="2092"/>
      <c r="AD665" s="2092"/>
      <c r="AE665" s="2092"/>
      <c r="AH665" s="137" t="s">
        <v>212</v>
      </c>
      <c r="AI665" s="2171"/>
      <c r="AJ665" s="2171"/>
      <c r="AK665" s="217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0" t="s">
        <v>2636</v>
      </c>
      <c r="I666" s="2038"/>
      <c r="J666" s="2038"/>
      <c r="K666" s="2038"/>
      <c r="L666" s="2038"/>
      <c r="M666" s="2038"/>
      <c r="N666" s="2038"/>
      <c r="O666" s="2038"/>
      <c r="P666" s="2038"/>
      <c r="Q666" s="2038"/>
      <c r="R666" s="2038"/>
      <c r="T666" s="35"/>
      <c r="U666" s="12" t="s">
        <v>18</v>
      </c>
      <c r="AA666" s="2050" t="s">
        <v>2635</v>
      </c>
      <c r="AB666" s="2038"/>
      <c r="AC666" s="2038"/>
      <c r="AD666" s="2038"/>
      <c r="AE666" s="2038"/>
      <c r="AF666" s="2038"/>
      <c r="AG666" s="2038"/>
      <c r="AH666" s="2038"/>
      <c r="AI666" s="2038"/>
      <c r="AJ666" s="2038"/>
      <c r="AK666" s="2038"/>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37" t="s">
        <v>577</v>
      </c>
      <c r="O667" s="2037"/>
      <c r="T667" s="35"/>
      <c r="U667" s="12" t="s">
        <v>20</v>
      </c>
      <c r="AG667" s="2037" t="s">
        <v>577</v>
      </c>
      <c r="AH667" s="2037"/>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160">
        <f>C641</f>
        <v>0</v>
      </c>
      <c r="H669" s="2160"/>
      <c r="I669" s="2160"/>
      <c r="J669" s="2160"/>
      <c r="K669" s="2160"/>
      <c r="L669" s="2160"/>
      <c r="M669" s="2160"/>
      <c r="N669" s="2160"/>
      <c r="O669" s="2160"/>
      <c r="P669" s="2160"/>
      <c r="Q669" s="2160"/>
      <c r="R669" s="2160"/>
      <c r="T669" s="87" t="s">
        <v>618</v>
      </c>
      <c r="U669" s="12" t="s">
        <v>495</v>
      </c>
      <c r="Z669" s="2160">
        <f>C642</f>
        <v>0</v>
      </c>
      <c r="AA669" s="2160"/>
      <c r="AB669" s="2160"/>
      <c r="AC669" s="2160"/>
      <c r="AD669" s="2160"/>
      <c r="AE669" s="2160"/>
      <c r="AF669" s="2160"/>
      <c r="AG669" s="2160"/>
      <c r="AH669" s="2160"/>
      <c r="AI669" s="2160"/>
      <c r="AJ669" s="2160"/>
      <c r="AK669" s="2160"/>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38"/>
      <c r="H670" s="2038"/>
      <c r="I670" s="2038"/>
      <c r="J670" s="2038"/>
      <c r="K670" s="2038"/>
      <c r="L670" s="2038"/>
      <c r="M670" s="2038"/>
      <c r="N670" s="2038"/>
      <c r="O670" s="2038"/>
      <c r="P670" s="2038"/>
      <c r="Q670" s="2038"/>
      <c r="R670" s="2038"/>
      <c r="T670" s="35"/>
      <c r="U670" s="12" t="s">
        <v>90</v>
      </c>
      <c r="Z670" s="2038"/>
      <c r="AA670" s="2038"/>
      <c r="AB670" s="2038"/>
      <c r="AC670" s="2038"/>
      <c r="AD670" s="2038"/>
      <c r="AE670" s="2038"/>
      <c r="AF670" s="2038"/>
      <c r="AG670" s="2038"/>
      <c r="AH670" s="2038"/>
      <c r="AI670" s="2038"/>
      <c r="AJ670" s="2038"/>
      <c r="AK670" s="2038"/>
      <c r="AZ670" s="58"/>
      <c r="BA670" s="446">
        <f t="shared" ref="BA670:BA694" si="40">IF($G728=0,"N/A",VLOOKUP($T$189,TC_Rent,(MATCH($B728,bedrooms,FALSE))))</f>
        <v>2900</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614</v>
      </c>
      <c r="G671" s="2038"/>
      <c r="H671" s="2038"/>
      <c r="I671" s="2038"/>
      <c r="J671" s="2038"/>
      <c r="K671" s="2038"/>
      <c r="L671" s="2038"/>
      <c r="M671" s="2038"/>
      <c r="N671" s="2038"/>
      <c r="O671" s="2038"/>
      <c r="P671" s="2038"/>
      <c r="Q671" s="2038"/>
      <c r="R671" s="2038"/>
      <c r="T671" s="35"/>
      <c r="U671" s="12" t="s">
        <v>614</v>
      </c>
      <c r="Z671" s="2052"/>
      <c r="AA671" s="2052"/>
      <c r="AB671" s="2052"/>
      <c r="AC671" s="2052"/>
      <c r="AD671" s="2052"/>
      <c r="AE671" s="2052"/>
      <c r="AF671" s="2052"/>
      <c r="AG671" s="2052"/>
      <c r="AH671" s="2052"/>
      <c r="AI671" s="2052"/>
      <c r="AJ671" s="2052"/>
      <c r="AK671" s="2052"/>
      <c r="AZ671" s="58"/>
      <c r="BA671" s="446">
        <f t="shared" si="40"/>
        <v>2900</v>
      </c>
      <c r="BB671" s="58"/>
      <c r="BC671" s="58"/>
      <c r="BD671" s="58"/>
      <c r="BE671" s="58"/>
      <c r="BF671" s="382"/>
      <c r="BG671" s="456">
        <f t="shared" ref="BG671:BG695" si="41">G728</f>
        <v>9</v>
      </c>
      <c r="BH671" s="460">
        <f>BG671/$BG$696</f>
        <v>0.06</v>
      </c>
      <c r="BI671" s="461">
        <f t="shared" ref="BI671:BI695" si="42">IF(BH671=0," ",BH671*AH728)</f>
        <v>1.7999999999999999E-2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38"/>
      <c r="H672" s="2038"/>
      <c r="I672" s="2038"/>
      <c r="J672" s="2038"/>
      <c r="K672" s="2038"/>
      <c r="L672" s="2038"/>
      <c r="M672" s="2038"/>
      <c r="N672" s="2038"/>
      <c r="O672" s="2038"/>
      <c r="P672" s="2038"/>
      <c r="Q672" s="2038"/>
      <c r="R672" s="2038"/>
      <c r="T672" s="35"/>
      <c r="U672" s="12" t="s">
        <v>17</v>
      </c>
      <c r="Z672" s="2052"/>
      <c r="AA672" s="2052"/>
      <c r="AB672" s="2052"/>
      <c r="AC672" s="2052"/>
      <c r="AD672" s="2052"/>
      <c r="AE672" s="2052"/>
      <c r="AF672" s="2052"/>
      <c r="AG672" s="2052"/>
      <c r="AH672" s="2052"/>
      <c r="AI672" s="2052"/>
      <c r="AJ672" s="2052"/>
      <c r="AK672" s="2052"/>
      <c r="AZ672" s="58"/>
      <c r="BA672" s="446">
        <f t="shared" si="40"/>
        <v>2900</v>
      </c>
      <c r="BB672" s="58"/>
      <c r="BC672" s="58"/>
      <c r="BD672" s="58"/>
      <c r="BE672" s="58"/>
      <c r="BF672" s="382"/>
      <c r="BG672" s="457">
        <f t="shared" si="41"/>
        <v>32</v>
      </c>
      <c r="BH672" s="460">
        <f t="shared" ref="BH672:BH695" si="43">BG672/$BG$696</f>
        <v>0.21333333333333335</v>
      </c>
      <c r="BI672" s="461">
        <f t="shared" si="42"/>
        <v>0.10666666666666667</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92"/>
      <c r="H673" s="2092"/>
      <c r="I673" s="2092"/>
      <c r="J673" s="2092"/>
      <c r="K673" s="2092"/>
      <c r="L673" s="2092"/>
      <c r="O673" s="137" t="s">
        <v>212</v>
      </c>
      <c r="P673" s="2171"/>
      <c r="Q673" s="2171"/>
      <c r="R673" s="2171"/>
      <c r="T673" s="35"/>
      <c r="U673" s="12" t="s">
        <v>325</v>
      </c>
      <c r="Z673" s="2092"/>
      <c r="AA673" s="2092"/>
      <c r="AB673" s="2092"/>
      <c r="AC673" s="2092"/>
      <c r="AD673" s="2092"/>
      <c r="AE673" s="2092"/>
      <c r="AH673" s="137" t="s">
        <v>212</v>
      </c>
      <c r="AI673" s="2171"/>
      <c r="AJ673" s="2171"/>
      <c r="AK673" s="2171"/>
      <c r="AZ673" s="58"/>
      <c r="BA673" s="446">
        <f t="shared" si="40"/>
        <v>3106</v>
      </c>
      <c r="BB673" s="58"/>
      <c r="BC673" s="58"/>
      <c r="BD673" s="58"/>
      <c r="BE673" s="58"/>
      <c r="BF673" s="382"/>
      <c r="BG673" s="457">
        <f t="shared" si="41"/>
        <v>49</v>
      </c>
      <c r="BH673" s="460">
        <f t="shared" si="43"/>
        <v>0.32666666666666666</v>
      </c>
      <c r="BI673" s="461">
        <f t="shared" si="42"/>
        <v>0.22866666666666666</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38"/>
      <c r="I674" s="2038"/>
      <c r="J674" s="2038"/>
      <c r="K674" s="2038"/>
      <c r="L674" s="2038"/>
      <c r="M674" s="2038"/>
      <c r="N674" s="2038"/>
      <c r="O674" s="2038"/>
      <c r="P674" s="2038"/>
      <c r="Q674" s="2038"/>
      <c r="R674" s="2038"/>
      <c r="T674" s="35"/>
      <c r="U674" s="12" t="s">
        <v>18</v>
      </c>
      <c r="AA674" s="2038"/>
      <c r="AB674" s="2038"/>
      <c r="AC674" s="2038"/>
      <c r="AD674" s="2038"/>
      <c r="AE674" s="2038"/>
      <c r="AF674" s="2038"/>
      <c r="AG674" s="2038"/>
      <c r="AH674" s="2038"/>
      <c r="AI674" s="2038"/>
      <c r="AJ674" s="2038"/>
      <c r="AK674" s="2038"/>
      <c r="AZ674" s="58"/>
      <c r="BA674" s="446">
        <f t="shared" si="40"/>
        <v>3106</v>
      </c>
      <c r="BB674" s="58"/>
      <c r="BC674" s="58"/>
      <c r="BD674" s="58"/>
      <c r="BE674" s="58"/>
      <c r="BF674" s="382"/>
      <c r="BG674" s="457">
        <f t="shared" si="41"/>
        <v>3</v>
      </c>
      <c r="BH674" s="460">
        <f t="shared" si="43"/>
        <v>0.02</v>
      </c>
      <c r="BI674" s="461">
        <f t="shared" si="42"/>
        <v>6.0000000000000001E-3</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7" t="s">
        <v>705</v>
      </c>
      <c r="O675" s="2037"/>
      <c r="T675" s="35"/>
      <c r="U675" s="12" t="s">
        <v>20</v>
      </c>
      <c r="AG675" s="2037" t="s">
        <v>705</v>
      </c>
      <c r="AH675" s="2037"/>
      <c r="AZ675" s="58"/>
      <c r="BA675" s="446">
        <f t="shared" si="40"/>
        <v>3106</v>
      </c>
      <c r="BB675" s="58"/>
      <c r="BC675" s="58"/>
      <c r="BD675" s="58"/>
      <c r="BE675" s="58"/>
      <c r="BF675" s="382"/>
      <c r="BG675" s="457">
        <f t="shared" si="41"/>
        <v>17</v>
      </c>
      <c r="BH675" s="460">
        <f t="shared" si="43"/>
        <v>0.11333333333333333</v>
      </c>
      <c r="BI675" s="461">
        <f t="shared" si="42"/>
        <v>5.6666666666666664E-2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0"/>
        <v>3730</v>
      </c>
      <c r="BB676" s="58"/>
      <c r="BC676" s="58"/>
      <c r="BD676" s="58"/>
      <c r="BE676" s="58"/>
      <c r="BF676" s="382"/>
      <c r="BG676" s="457">
        <f t="shared" si="41"/>
        <v>14</v>
      </c>
      <c r="BH676" s="460">
        <f t="shared" si="43"/>
        <v>9.3333333333333338E-2</v>
      </c>
      <c r="BI676" s="461">
        <f t="shared" si="42"/>
        <v>6.5333333333333327E-2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486</v>
      </c>
      <c r="B677" s="12" t="s">
        <v>495</v>
      </c>
      <c r="G677" s="2160">
        <f>C643</f>
        <v>0</v>
      </c>
      <c r="H677" s="2160"/>
      <c r="I677" s="2160"/>
      <c r="J677" s="2160"/>
      <c r="K677" s="2160"/>
      <c r="L677" s="2160"/>
      <c r="M677" s="2160"/>
      <c r="N677" s="2160"/>
      <c r="O677" s="2160"/>
      <c r="P677" s="2160"/>
      <c r="Q677" s="2160"/>
      <c r="R677" s="2160"/>
      <c r="T677" s="87" t="s">
        <v>487</v>
      </c>
      <c r="U677" s="12" t="s">
        <v>495</v>
      </c>
      <c r="Z677" s="2160">
        <f>C644</f>
        <v>0</v>
      </c>
      <c r="AA677" s="2160"/>
      <c r="AB677" s="2160"/>
      <c r="AC677" s="2160"/>
      <c r="AD677" s="2160"/>
      <c r="AE677" s="2160"/>
      <c r="AF677" s="2160"/>
      <c r="AG677" s="2160"/>
      <c r="AH677" s="2160"/>
      <c r="AI677" s="2160"/>
      <c r="AJ677" s="2160"/>
      <c r="AK677" s="2160"/>
      <c r="AZ677" s="58"/>
      <c r="BA677" s="446">
        <f t="shared" si="40"/>
        <v>3730</v>
      </c>
      <c r="BB677" s="58"/>
      <c r="BC677" s="58"/>
      <c r="BD677" s="58"/>
      <c r="BE677" s="58"/>
      <c r="BF677" s="382"/>
      <c r="BG677" s="457">
        <f t="shared" si="41"/>
        <v>3</v>
      </c>
      <c r="BH677" s="460">
        <f t="shared" si="43"/>
        <v>0.02</v>
      </c>
      <c r="BI677" s="461">
        <f t="shared" si="42"/>
        <v>6.0000000000000001E-3</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38"/>
      <c r="H678" s="2038"/>
      <c r="I678" s="2038"/>
      <c r="J678" s="2038"/>
      <c r="K678" s="2038"/>
      <c r="L678" s="2038"/>
      <c r="M678" s="2038"/>
      <c r="N678" s="2038"/>
      <c r="O678" s="2038"/>
      <c r="P678" s="2038"/>
      <c r="Q678" s="2038"/>
      <c r="R678" s="2038"/>
      <c r="T678" s="35"/>
      <c r="U678" s="12" t="s">
        <v>90</v>
      </c>
      <c r="Z678" s="2038"/>
      <c r="AA678" s="2038"/>
      <c r="AB678" s="2038"/>
      <c r="AC678" s="2038"/>
      <c r="AD678" s="2038"/>
      <c r="AE678" s="2038"/>
      <c r="AF678" s="2038"/>
      <c r="AG678" s="2038"/>
      <c r="AH678" s="2038"/>
      <c r="AI678" s="2038"/>
      <c r="AJ678" s="2038"/>
      <c r="AK678" s="2038"/>
      <c r="AZ678" s="58"/>
      <c r="BA678" s="446">
        <f t="shared" si="40"/>
        <v>3730</v>
      </c>
      <c r="BB678" s="58"/>
      <c r="BC678" s="58"/>
      <c r="BD678" s="58"/>
      <c r="BE678" s="58"/>
      <c r="BF678" s="382"/>
      <c r="BG678" s="457">
        <f t="shared" si="41"/>
        <v>8</v>
      </c>
      <c r="BH678" s="460">
        <f t="shared" si="43"/>
        <v>5.3333333333333337E-2</v>
      </c>
      <c r="BI678" s="461">
        <f t="shared" si="42"/>
        <v>2.6666666666666668E-2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614</v>
      </c>
      <c r="G679" s="2038"/>
      <c r="H679" s="2038"/>
      <c r="I679" s="2038"/>
      <c r="J679" s="2038"/>
      <c r="K679" s="2038"/>
      <c r="L679" s="2038"/>
      <c r="M679" s="2038"/>
      <c r="N679" s="2038"/>
      <c r="O679" s="2038"/>
      <c r="P679" s="2038"/>
      <c r="Q679" s="2038"/>
      <c r="R679" s="2038"/>
      <c r="T679" s="35"/>
      <c r="U679" s="12" t="s">
        <v>614</v>
      </c>
      <c r="Z679" s="2052"/>
      <c r="AA679" s="2052"/>
      <c r="AB679" s="2052"/>
      <c r="AC679" s="2052"/>
      <c r="AD679" s="2052"/>
      <c r="AE679" s="2052"/>
      <c r="AF679" s="2052"/>
      <c r="AG679" s="2052"/>
      <c r="AH679" s="2052"/>
      <c r="AI679" s="2052"/>
      <c r="AJ679" s="2052"/>
      <c r="AK679" s="2052"/>
      <c r="AZ679" s="58"/>
      <c r="BA679" s="446">
        <f t="shared" si="40"/>
        <v>4308</v>
      </c>
      <c r="BB679" s="58"/>
      <c r="BC679" s="58"/>
      <c r="BD679" s="58"/>
      <c r="BE679" s="58"/>
      <c r="BF679" s="382"/>
      <c r="BG679" s="457">
        <f t="shared" si="41"/>
        <v>12</v>
      </c>
      <c r="BH679" s="460">
        <f t="shared" si="43"/>
        <v>0.08</v>
      </c>
      <c r="BI679" s="461">
        <f t="shared" si="42"/>
        <v>5.5999999999999994E-2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38"/>
      <c r="H680" s="2038"/>
      <c r="I680" s="2038"/>
      <c r="J680" s="2038"/>
      <c r="K680" s="2038"/>
      <c r="L680" s="2038"/>
      <c r="M680" s="2038"/>
      <c r="N680" s="2038"/>
      <c r="O680" s="2038"/>
      <c r="P680" s="2038"/>
      <c r="Q680" s="2038"/>
      <c r="R680" s="2038"/>
      <c r="T680" s="35"/>
      <c r="U680" s="12" t="s">
        <v>17</v>
      </c>
      <c r="Z680" s="2052"/>
      <c r="AA680" s="2052"/>
      <c r="AB680" s="2052"/>
      <c r="AC680" s="2052"/>
      <c r="AD680" s="2052"/>
      <c r="AE680" s="2052"/>
      <c r="AF680" s="2052"/>
      <c r="AG680" s="2052"/>
      <c r="AH680" s="2052"/>
      <c r="AI680" s="2052"/>
      <c r="AJ680" s="2052"/>
      <c r="AK680" s="2052"/>
      <c r="AZ680" s="58"/>
      <c r="BA680" s="446" t="str">
        <f t="shared" si="40"/>
        <v>N/A</v>
      </c>
      <c r="BB680" s="58"/>
      <c r="BC680" s="58"/>
      <c r="BD680" s="58"/>
      <c r="BE680" s="58"/>
      <c r="BF680" s="382"/>
      <c r="BG680" s="457">
        <f t="shared" si="41"/>
        <v>3</v>
      </c>
      <c r="BH680" s="460">
        <f t="shared" si="43"/>
        <v>0.02</v>
      </c>
      <c r="BI680" s="461">
        <f t="shared" si="42"/>
        <v>0.01</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92"/>
      <c r="H681" s="2092"/>
      <c r="I681" s="2092"/>
      <c r="J681" s="2092"/>
      <c r="K681" s="2092"/>
      <c r="L681" s="2092"/>
      <c r="O681" s="137" t="s">
        <v>212</v>
      </c>
      <c r="P681" s="2171"/>
      <c r="Q681" s="2171"/>
      <c r="R681" s="2171"/>
      <c r="T681" s="35"/>
      <c r="U681" s="12" t="s">
        <v>325</v>
      </c>
      <c r="Z681" s="2092"/>
      <c r="AA681" s="2092"/>
      <c r="AB681" s="2092"/>
      <c r="AC681" s="2092"/>
      <c r="AD681" s="2092"/>
      <c r="AE681" s="2092"/>
      <c r="AH681" s="137" t="s">
        <v>212</v>
      </c>
      <c r="AI681" s="2171"/>
      <c r="AJ681" s="2171"/>
      <c r="AK681" s="2171"/>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38"/>
      <c r="I682" s="2038"/>
      <c r="J682" s="2038"/>
      <c r="K682" s="2038"/>
      <c r="L682" s="2038"/>
      <c r="M682" s="2038"/>
      <c r="N682" s="2038"/>
      <c r="O682" s="2038"/>
      <c r="P682" s="2038"/>
      <c r="Q682" s="2038"/>
      <c r="R682" s="2038"/>
      <c r="T682" s="35"/>
      <c r="U682" s="12" t="s">
        <v>18</v>
      </c>
      <c r="AA682" s="2038"/>
      <c r="AB682" s="2038"/>
      <c r="AC682" s="2038"/>
      <c r="AD682" s="2038"/>
      <c r="AE682" s="2038"/>
      <c r="AF682" s="2038"/>
      <c r="AG682" s="2038"/>
      <c r="AH682" s="2038"/>
      <c r="AI682" s="2038"/>
      <c r="AJ682" s="2038"/>
      <c r="AK682" s="2038"/>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7" t="s">
        <v>705</v>
      </c>
      <c r="O683" s="2037"/>
      <c r="T683" s="35"/>
      <c r="U683" s="12" t="s">
        <v>20</v>
      </c>
      <c r="AG683" s="2037" t="s">
        <v>705</v>
      </c>
      <c r="AH683" s="2037"/>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493</v>
      </c>
      <c r="B685" s="12" t="s">
        <v>495</v>
      </c>
      <c r="G685" s="2160">
        <f>C645</f>
        <v>0</v>
      </c>
      <c r="H685" s="2160"/>
      <c r="I685" s="2160"/>
      <c r="J685" s="2160"/>
      <c r="K685" s="2160"/>
      <c r="L685" s="2160"/>
      <c r="M685" s="2160"/>
      <c r="N685" s="2160"/>
      <c r="O685" s="2160"/>
      <c r="P685" s="2160"/>
      <c r="Q685" s="2160"/>
      <c r="R685" s="2160"/>
      <c r="T685" s="87" t="s">
        <v>680</v>
      </c>
      <c r="U685" s="12" t="s">
        <v>495</v>
      </c>
      <c r="Z685" s="2160">
        <f>C646</f>
        <v>0</v>
      </c>
      <c r="AA685" s="2160"/>
      <c r="AB685" s="2160"/>
      <c r="AC685" s="2160"/>
      <c r="AD685" s="2160"/>
      <c r="AE685" s="2160"/>
      <c r="AF685" s="2160"/>
      <c r="AG685" s="2160"/>
      <c r="AH685" s="2160"/>
      <c r="AI685" s="2160"/>
      <c r="AJ685" s="2160"/>
      <c r="AK685" s="2160"/>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38"/>
      <c r="H686" s="2038"/>
      <c r="I686" s="2038"/>
      <c r="J686" s="2038"/>
      <c r="K686" s="2038"/>
      <c r="L686" s="2038"/>
      <c r="M686" s="2038"/>
      <c r="N686" s="2038"/>
      <c r="O686" s="2038"/>
      <c r="P686" s="2038"/>
      <c r="Q686" s="2038"/>
      <c r="R686" s="2038"/>
      <c r="T686" s="35"/>
      <c r="U686" s="12" t="s">
        <v>90</v>
      </c>
      <c r="Z686" s="2038"/>
      <c r="AA686" s="2038"/>
      <c r="AB686" s="2038"/>
      <c r="AC686" s="2038"/>
      <c r="AD686" s="2038"/>
      <c r="AE686" s="2038"/>
      <c r="AF686" s="2038"/>
      <c r="AG686" s="2038"/>
      <c r="AH686" s="2038"/>
      <c r="AI686" s="2038"/>
      <c r="AJ686" s="2038"/>
      <c r="AK686" s="2038"/>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614</v>
      </c>
      <c r="G687" s="2038"/>
      <c r="H687" s="2038"/>
      <c r="I687" s="2038"/>
      <c r="J687" s="2038"/>
      <c r="K687" s="2038"/>
      <c r="L687" s="2038"/>
      <c r="M687" s="2038"/>
      <c r="N687" s="2038"/>
      <c r="O687" s="2038"/>
      <c r="P687" s="2038"/>
      <c r="Q687" s="2038"/>
      <c r="R687" s="2038"/>
      <c r="T687" s="35"/>
      <c r="U687" s="12" t="s">
        <v>614</v>
      </c>
      <c r="Z687" s="2052"/>
      <c r="AA687" s="2052"/>
      <c r="AB687" s="2052"/>
      <c r="AC687" s="2052"/>
      <c r="AD687" s="2052"/>
      <c r="AE687" s="2052"/>
      <c r="AF687" s="2052"/>
      <c r="AG687" s="2052"/>
      <c r="AH687" s="2052"/>
      <c r="AI687" s="2052"/>
      <c r="AJ687" s="2052"/>
      <c r="AK687" s="205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38"/>
      <c r="H688" s="2038"/>
      <c r="I688" s="2038"/>
      <c r="J688" s="2038"/>
      <c r="K688" s="2038"/>
      <c r="L688" s="2038"/>
      <c r="M688" s="2038"/>
      <c r="N688" s="2038"/>
      <c r="O688" s="2038"/>
      <c r="P688" s="2038"/>
      <c r="Q688" s="2038"/>
      <c r="R688" s="2038"/>
      <c r="T688" s="35"/>
      <c r="U688" s="12" t="s">
        <v>17</v>
      </c>
      <c r="Z688" s="2052"/>
      <c r="AA688" s="2052"/>
      <c r="AB688" s="2052"/>
      <c r="AC688" s="2052"/>
      <c r="AD688" s="2052"/>
      <c r="AE688" s="2052"/>
      <c r="AF688" s="2052"/>
      <c r="AG688" s="2052"/>
      <c r="AH688" s="2052"/>
      <c r="AI688" s="2052"/>
      <c r="AJ688" s="2052"/>
      <c r="AK688" s="205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92"/>
      <c r="H689" s="2092"/>
      <c r="I689" s="2092"/>
      <c r="J689" s="2092"/>
      <c r="K689" s="2092"/>
      <c r="L689" s="2092"/>
      <c r="O689" s="137" t="s">
        <v>212</v>
      </c>
      <c r="P689" s="2171"/>
      <c r="Q689" s="2171"/>
      <c r="R689" s="2171"/>
      <c r="T689" s="35"/>
      <c r="U689" s="12" t="s">
        <v>325</v>
      </c>
      <c r="Z689" s="2092"/>
      <c r="AA689" s="2092"/>
      <c r="AB689" s="2092"/>
      <c r="AC689" s="2092"/>
      <c r="AD689" s="2092"/>
      <c r="AE689" s="2092"/>
      <c r="AH689" s="137" t="s">
        <v>212</v>
      </c>
      <c r="AI689" s="2171"/>
      <c r="AJ689" s="2171"/>
      <c r="AK689" s="2171"/>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38"/>
      <c r="I690" s="2038"/>
      <c r="J690" s="2038"/>
      <c r="K690" s="2038"/>
      <c r="L690" s="2038"/>
      <c r="M690" s="2038"/>
      <c r="N690" s="2038"/>
      <c r="O690" s="2038"/>
      <c r="P690" s="2038"/>
      <c r="Q690" s="2038"/>
      <c r="R690" s="2038"/>
      <c r="T690" s="35"/>
      <c r="U690" s="12" t="s">
        <v>18</v>
      </c>
      <c r="AA690" s="2038"/>
      <c r="AB690" s="2038"/>
      <c r="AC690" s="2038"/>
      <c r="AD690" s="2038"/>
      <c r="AE690" s="2038"/>
      <c r="AF690" s="2038"/>
      <c r="AG690" s="2038"/>
      <c r="AH690" s="2038"/>
      <c r="AI690" s="2038"/>
      <c r="AJ690" s="2038"/>
      <c r="AK690" s="203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7" t="s">
        <v>705</v>
      </c>
      <c r="O691" s="2037"/>
      <c r="T691" s="35"/>
      <c r="U691" s="12" t="s">
        <v>20</v>
      </c>
      <c r="AG691" s="2037" t="s">
        <v>705</v>
      </c>
      <c r="AH691" s="2037"/>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495</v>
      </c>
      <c r="G693" s="2160">
        <f>C647</f>
        <v>0</v>
      </c>
      <c r="H693" s="2160"/>
      <c r="I693" s="2160"/>
      <c r="J693" s="2160"/>
      <c r="K693" s="2160"/>
      <c r="L693" s="2160"/>
      <c r="M693" s="2160"/>
      <c r="N693" s="2160"/>
      <c r="O693" s="2160"/>
      <c r="P693" s="2160"/>
      <c r="Q693" s="2160"/>
      <c r="R693" s="2160"/>
      <c r="T693" s="87" t="s">
        <v>373</v>
      </c>
      <c r="U693" s="12" t="s">
        <v>495</v>
      </c>
      <c r="Z693" s="2160">
        <f>C648</f>
        <v>0</v>
      </c>
      <c r="AA693" s="2160"/>
      <c r="AB693" s="2160"/>
      <c r="AC693" s="2160"/>
      <c r="AD693" s="2160"/>
      <c r="AE693" s="2160"/>
      <c r="AF693" s="2160"/>
      <c r="AG693" s="2160"/>
      <c r="AH693" s="2160"/>
      <c r="AI693" s="2160"/>
      <c r="AJ693" s="2160"/>
      <c r="AK693" s="2160"/>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38"/>
      <c r="H694" s="2038"/>
      <c r="I694" s="2038"/>
      <c r="J694" s="2038"/>
      <c r="K694" s="2038"/>
      <c r="L694" s="2038"/>
      <c r="M694" s="2038"/>
      <c r="N694" s="2038"/>
      <c r="O694" s="2038"/>
      <c r="P694" s="2038"/>
      <c r="Q694" s="2038"/>
      <c r="R694" s="2038"/>
      <c r="T694" s="35"/>
      <c r="U694" s="12" t="s">
        <v>90</v>
      </c>
      <c r="Z694" s="2038"/>
      <c r="AA694" s="2038"/>
      <c r="AB694" s="2038"/>
      <c r="AC694" s="2038"/>
      <c r="AD694" s="2038"/>
      <c r="AE694" s="2038"/>
      <c r="AF694" s="2038"/>
      <c r="AG694" s="2038"/>
      <c r="AH694" s="2038"/>
      <c r="AI694" s="2038"/>
      <c r="AJ694" s="2038"/>
      <c r="AK694" s="2038"/>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614</v>
      </c>
      <c r="G695" s="2038"/>
      <c r="H695" s="2038"/>
      <c r="I695" s="2038"/>
      <c r="J695" s="2038"/>
      <c r="K695" s="2038"/>
      <c r="L695" s="2038"/>
      <c r="M695" s="2038"/>
      <c r="N695" s="2038"/>
      <c r="O695" s="2038"/>
      <c r="P695" s="2038"/>
      <c r="Q695" s="2038"/>
      <c r="R695" s="2038"/>
      <c r="U695" s="12" t="s">
        <v>614</v>
      </c>
      <c r="Z695" s="2052"/>
      <c r="AA695" s="2052"/>
      <c r="AB695" s="2052"/>
      <c r="AC695" s="2052"/>
      <c r="AD695" s="2052"/>
      <c r="AE695" s="2052"/>
      <c r="AF695" s="2052"/>
      <c r="AG695" s="2052"/>
      <c r="AH695" s="2052"/>
      <c r="AI695" s="2052"/>
      <c r="AJ695" s="2052"/>
      <c r="AK695" s="2052"/>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38"/>
      <c r="H696" s="2038"/>
      <c r="I696" s="2038"/>
      <c r="J696" s="2038"/>
      <c r="K696" s="2038"/>
      <c r="L696" s="2038"/>
      <c r="M696" s="2038"/>
      <c r="N696" s="2038"/>
      <c r="O696" s="2038"/>
      <c r="P696" s="2038"/>
      <c r="Q696" s="2038"/>
      <c r="R696" s="2038"/>
      <c r="U696" s="12" t="s">
        <v>17</v>
      </c>
      <c r="Z696" s="2052"/>
      <c r="AA696" s="2052"/>
      <c r="AB696" s="2052"/>
      <c r="AC696" s="2052"/>
      <c r="AD696" s="2052"/>
      <c r="AE696" s="2052"/>
      <c r="AF696" s="2052"/>
      <c r="AG696" s="2052"/>
      <c r="AH696" s="2052"/>
      <c r="AI696" s="2052"/>
      <c r="AJ696" s="2052"/>
      <c r="AK696" s="2052"/>
      <c r="AZ696" s="58"/>
      <c r="BA696" s="58"/>
      <c r="BB696" s="58"/>
      <c r="BC696" s="58"/>
      <c r="BD696" s="58"/>
      <c r="BF696" s="453" t="s">
        <v>967</v>
      </c>
      <c r="BG696" s="462">
        <f>SUM(BG671:BG695)</f>
        <v>150</v>
      </c>
      <c r="BH696" s="463">
        <f>SUM(BH671:BH695)</f>
        <v>1</v>
      </c>
      <c r="BI696" s="463">
        <f>SUM(BI671:BI695)</f>
        <v>0.57999999999999985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92"/>
      <c r="H697" s="2092"/>
      <c r="I697" s="2092"/>
      <c r="J697" s="2092"/>
      <c r="K697" s="2092"/>
      <c r="L697" s="2092"/>
      <c r="O697" s="137" t="s">
        <v>212</v>
      </c>
      <c r="P697" s="2171"/>
      <c r="Q697" s="2171"/>
      <c r="R697" s="2171"/>
      <c r="U697" s="12" t="s">
        <v>325</v>
      </c>
      <c r="Z697" s="2092"/>
      <c r="AA697" s="2092"/>
      <c r="AB697" s="2092"/>
      <c r="AC697" s="2092"/>
      <c r="AD697" s="2092"/>
      <c r="AE697" s="2092"/>
      <c r="AH697" s="137" t="s">
        <v>212</v>
      </c>
      <c r="AI697" s="2171"/>
      <c r="AJ697" s="2171"/>
      <c r="AK697" s="2171"/>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38"/>
      <c r="I698" s="2038"/>
      <c r="J698" s="2038"/>
      <c r="K698" s="2038"/>
      <c r="L698" s="2038"/>
      <c r="M698" s="2038"/>
      <c r="N698" s="2038"/>
      <c r="O698" s="2038"/>
      <c r="P698" s="2038"/>
      <c r="Q698" s="2038"/>
      <c r="R698" s="2038"/>
      <c r="U698" s="12" t="s">
        <v>18</v>
      </c>
      <c r="AA698" s="2038"/>
      <c r="AB698" s="2038"/>
      <c r="AC698" s="2038"/>
      <c r="AD698" s="2038"/>
      <c r="AE698" s="2038"/>
      <c r="AF698" s="2038"/>
      <c r="AG698" s="2038"/>
      <c r="AH698" s="2038"/>
      <c r="AI698" s="2038"/>
      <c r="AJ698" s="2038"/>
      <c r="AK698" s="2038"/>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7" t="s">
        <v>705</v>
      </c>
      <c r="O699" s="2037"/>
      <c r="U699" s="12" t="s">
        <v>20</v>
      </c>
      <c r="AG699" s="2037" t="s">
        <v>705</v>
      </c>
      <c r="AH699" s="2037"/>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7" t="s">
        <v>577</v>
      </c>
      <c r="AF703" s="203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9</v>
      </c>
      <c r="BH703" s="460">
        <f>BG703/$BG$728</f>
        <v>0.06</v>
      </c>
      <c r="BI703" s="461">
        <f t="shared" ref="BI703:BI727" si="45">IF(BH703=0," ",BH703*AM728)</f>
        <v>1.7999999999999999E-2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7" t="s">
        <v>577</v>
      </c>
      <c r="AF704" s="203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32</v>
      </c>
      <c r="BH704" s="460">
        <f t="shared" ref="BH704:BH727" si="46">BG704/$BG$728</f>
        <v>0.21333333333333335</v>
      </c>
      <c r="BI704" s="461">
        <f t="shared" si="45"/>
        <v>0.10666666666666667</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4">
        <v>44448</v>
      </c>
      <c r="AF705" s="2224"/>
      <c r="AG705" s="2224"/>
      <c r="AH705" s="2224"/>
      <c r="AI705" s="222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49</v>
      </c>
      <c r="BH705" s="460">
        <f t="shared" si="46"/>
        <v>0.32666666666666666</v>
      </c>
      <c r="BI705" s="461">
        <f t="shared" si="45"/>
        <v>0.18867816091954023</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3">
        <v>44538</v>
      </c>
      <c r="AF706" s="2393"/>
      <c r="AG706" s="2393"/>
      <c r="AH706" s="2393"/>
      <c r="AI706" s="239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v>
      </c>
      <c r="BH706" s="460">
        <f t="shared" si="46"/>
        <v>0.02</v>
      </c>
      <c r="BI706" s="461">
        <f t="shared" si="45"/>
        <v>6.0012878300064387E-3</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17</v>
      </c>
      <c r="BH707" s="460">
        <f t="shared" si="46"/>
        <v>0.11333333333333333</v>
      </c>
      <c r="BI707" s="461">
        <f t="shared" si="45"/>
        <v>5.6666666666666664E-2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4">
        <v>44713</v>
      </c>
      <c r="AF708" s="2224"/>
      <c r="AG708" s="2224"/>
      <c r="AH708" s="2224"/>
      <c r="AI708" s="222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14</v>
      </c>
      <c r="BH708" s="460">
        <f t="shared" si="46"/>
        <v>9.3333333333333338E-2</v>
      </c>
      <c r="BI708" s="461">
        <f t="shared" si="45"/>
        <v>6.5357372826786872E-2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0">
        <v>0.52470000000000006</v>
      </c>
      <c r="AF709" s="2360"/>
      <c r="AG709" s="2360"/>
      <c r="AH709" s="2360"/>
      <c r="AI709" s="236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3</v>
      </c>
      <c r="BH709" s="460">
        <f t="shared" si="46"/>
        <v>0.02</v>
      </c>
      <c r="BI709" s="461">
        <f t="shared" si="45"/>
        <v>6.0000000000000001E-3</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160" t="str">
        <f>H334</f>
        <v>California Municipal Finance Authority</v>
      </c>
      <c r="X710" s="2160"/>
      <c r="Y710" s="2160"/>
      <c r="Z710" s="2160"/>
      <c r="AA710" s="2160"/>
      <c r="AB710" s="2160"/>
      <c r="AC710" s="2160"/>
      <c r="AD710" s="2160"/>
      <c r="AE710" s="2160"/>
      <c r="AF710" s="2160"/>
      <c r="AG710" s="2160"/>
      <c r="AH710" s="2160"/>
      <c r="AI710" s="2160"/>
      <c r="AJ710" s="2160"/>
      <c r="AK710" s="216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8</v>
      </c>
      <c r="BH710" s="460">
        <f t="shared" si="46"/>
        <v>5.3333333333333337E-2</v>
      </c>
      <c r="BI710" s="461">
        <f t="shared" si="45"/>
        <v>2.6666666666666668E-2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12</v>
      </c>
      <c r="BH711" s="460">
        <f t="shared" si="46"/>
        <v>0.08</v>
      </c>
      <c r="BI711" s="461">
        <f t="shared" si="45"/>
        <v>5.5999999999999994E-2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7" t="s">
        <v>705</v>
      </c>
      <c r="AF712" s="203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3</v>
      </c>
      <c r="BH712" s="460">
        <f t="shared" si="46"/>
        <v>0.02</v>
      </c>
      <c r="BI712" s="461">
        <f t="shared" si="45"/>
        <v>0.01</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8"/>
      <c r="X713" s="2038"/>
      <c r="Y713" s="2038"/>
      <c r="Z713" s="2038"/>
      <c r="AA713" s="2038"/>
      <c r="AB713" s="2038"/>
      <c r="AC713" s="2038"/>
      <c r="AD713" s="2038"/>
      <c r="AE713" s="2038"/>
      <c r="AF713" s="2038"/>
      <c r="AG713" s="2038"/>
      <c r="AH713" s="2038"/>
      <c r="AI713" s="2038"/>
      <c r="AJ713" s="2038"/>
      <c r="AK713" s="203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38"/>
      <c r="K714" s="2038"/>
      <c r="L714" s="2038"/>
      <c r="M714" s="2038"/>
      <c r="N714" s="2038"/>
      <c r="O714" s="2038"/>
      <c r="P714" s="2038"/>
      <c r="Q714" s="2038"/>
      <c r="R714" s="2038"/>
      <c r="S714" s="2038"/>
      <c r="T714" s="2038"/>
      <c r="U714" s="2038"/>
      <c r="V714" s="2038"/>
      <c r="W714" s="2038"/>
      <c r="X714" s="203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92"/>
      <c r="K715" s="2092"/>
      <c r="L715" s="2092"/>
      <c r="M715" s="2092"/>
      <c r="N715" s="2092"/>
      <c r="O715" s="2092"/>
      <c r="P715" s="7" t="s">
        <v>212</v>
      </c>
      <c r="Q715" s="7"/>
      <c r="R715" s="2171"/>
      <c r="S715" s="2171"/>
      <c r="T715" s="217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38" t="s">
        <v>316</v>
      </c>
      <c r="X716" s="2038"/>
      <c r="Y716" s="2038"/>
      <c r="Z716" s="2038"/>
      <c r="AA716" s="2038"/>
      <c r="AB716" s="2038"/>
      <c r="AC716" s="2038"/>
      <c r="AD716" s="2038"/>
      <c r="AE716" s="2038"/>
      <c r="AF716" s="2038"/>
      <c r="AG716" s="2038"/>
      <c r="AH716" s="2038"/>
      <c r="AI716" s="2038"/>
      <c r="AJ716" s="2038"/>
      <c r="AK716" s="203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38" t="s">
        <v>343</v>
      </c>
      <c r="F717" s="2038"/>
      <c r="G717" s="2038"/>
      <c r="H717" s="2038"/>
      <c r="I717" s="2038"/>
      <c r="J717" s="2038"/>
      <c r="K717" s="2038"/>
      <c r="L717" s="2038"/>
      <c r="M717" s="2038"/>
      <c r="N717" s="2038"/>
      <c r="O717" s="2038"/>
      <c r="P717" s="2038"/>
      <c r="Q717" s="2038"/>
      <c r="R717" s="2038"/>
      <c r="S717" s="2038"/>
      <c r="T717" s="2038"/>
      <c r="U717" s="2038"/>
      <c r="V717" s="2038"/>
      <c r="W717" s="2038"/>
      <c r="X717" s="2038"/>
      <c r="Y717" s="2038"/>
      <c r="Z717" s="2038"/>
      <c r="AA717" s="2038"/>
      <c r="AB717" s="2038"/>
      <c r="AC717" s="2038"/>
      <c r="AD717" s="2038"/>
      <c r="AE717" s="2038"/>
      <c r="AF717" s="2038"/>
      <c r="AG717" s="2038"/>
      <c r="AH717" s="2038"/>
      <c r="AI717" s="2038"/>
      <c r="AJ717" s="2038"/>
      <c r="AK717" s="203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3" t="s">
        <v>407</v>
      </c>
      <c r="C724" s="2104"/>
      <c r="D724" s="2104"/>
      <c r="E724" s="2104"/>
      <c r="F724" s="2105"/>
      <c r="G724" s="2103" t="s">
        <v>291</v>
      </c>
      <c r="H724" s="2104"/>
      <c r="I724" s="2104"/>
      <c r="J724" s="2105"/>
      <c r="K724" s="2280" t="s">
        <v>2156</v>
      </c>
      <c r="L724" s="2281"/>
      <c r="M724" s="2281"/>
      <c r="N724" s="2282"/>
      <c r="O724" s="2103" t="s">
        <v>477</v>
      </c>
      <c r="P724" s="2104"/>
      <c r="Q724" s="2104"/>
      <c r="R724" s="2104"/>
      <c r="S724" s="2105"/>
      <c r="T724" s="2103" t="s">
        <v>292</v>
      </c>
      <c r="U724" s="2104"/>
      <c r="V724" s="2104"/>
      <c r="W724" s="2104"/>
      <c r="X724" s="2105"/>
      <c r="Y724" s="2103" t="s">
        <v>293</v>
      </c>
      <c r="Z724" s="2104"/>
      <c r="AA724" s="2104"/>
      <c r="AB724" s="2105"/>
      <c r="AC724" s="2103" t="s">
        <v>294</v>
      </c>
      <c r="AD724" s="2104"/>
      <c r="AE724" s="2104"/>
      <c r="AF724" s="2104"/>
      <c r="AG724" s="2105"/>
      <c r="AH724" s="2103" t="s">
        <v>408</v>
      </c>
      <c r="AI724" s="2104"/>
      <c r="AJ724" s="2104"/>
      <c r="AK724" s="2104"/>
      <c r="AL724" s="2105"/>
      <c r="AM724" s="2103" t="s">
        <v>681</v>
      </c>
      <c r="AN724" s="2104"/>
      <c r="AO724" s="210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106"/>
      <c r="C725" s="2107"/>
      <c r="D725" s="2107"/>
      <c r="E725" s="2107"/>
      <c r="F725" s="2108"/>
      <c r="G725" s="2106"/>
      <c r="H725" s="2107"/>
      <c r="I725" s="2107"/>
      <c r="J725" s="2108"/>
      <c r="K725" s="2283"/>
      <c r="L725" s="2284"/>
      <c r="M725" s="2284"/>
      <c r="N725" s="2285"/>
      <c r="O725" s="2106"/>
      <c r="P725" s="2107"/>
      <c r="Q725" s="2107"/>
      <c r="R725" s="2107"/>
      <c r="S725" s="2108"/>
      <c r="T725" s="2106"/>
      <c r="U725" s="2107"/>
      <c r="V725" s="2107"/>
      <c r="W725" s="2107"/>
      <c r="X725" s="2108"/>
      <c r="Y725" s="2106"/>
      <c r="Z725" s="2107"/>
      <c r="AA725" s="2107"/>
      <c r="AB725" s="2108"/>
      <c r="AC725" s="2106"/>
      <c r="AD725" s="2107"/>
      <c r="AE725" s="2107"/>
      <c r="AF725" s="2107"/>
      <c r="AG725" s="2108"/>
      <c r="AH725" s="2106"/>
      <c r="AI725" s="2107"/>
      <c r="AJ725" s="2107"/>
      <c r="AK725" s="2107"/>
      <c r="AL725" s="2108"/>
      <c r="AM725" s="2106"/>
      <c r="AN725" s="2107"/>
      <c r="AO725" s="210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106"/>
      <c r="C726" s="2107"/>
      <c r="D726" s="2107"/>
      <c r="E726" s="2107"/>
      <c r="F726" s="2108"/>
      <c r="G726" s="2106"/>
      <c r="H726" s="2107"/>
      <c r="I726" s="2107"/>
      <c r="J726" s="2108"/>
      <c r="K726" s="2283"/>
      <c r="L726" s="2284"/>
      <c r="M726" s="2284"/>
      <c r="N726" s="2285"/>
      <c r="O726" s="2106"/>
      <c r="P726" s="2107"/>
      <c r="Q726" s="2107"/>
      <c r="R726" s="2107"/>
      <c r="S726" s="2108"/>
      <c r="T726" s="2106"/>
      <c r="U726" s="2107"/>
      <c r="V726" s="2107"/>
      <c r="W726" s="2107"/>
      <c r="X726" s="2108"/>
      <c r="Y726" s="2106"/>
      <c r="Z726" s="2107"/>
      <c r="AA726" s="2107"/>
      <c r="AB726" s="2108"/>
      <c r="AC726" s="2106"/>
      <c r="AD726" s="2107"/>
      <c r="AE726" s="2107"/>
      <c r="AF726" s="2107"/>
      <c r="AG726" s="2108"/>
      <c r="AH726" s="2106"/>
      <c r="AI726" s="2107"/>
      <c r="AJ726" s="2107"/>
      <c r="AK726" s="2107"/>
      <c r="AL726" s="2108"/>
      <c r="AM726" s="2106"/>
      <c r="AN726" s="2107"/>
      <c r="AO726" s="210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109"/>
      <c r="C727" s="2110"/>
      <c r="D727" s="2110"/>
      <c r="E727" s="2110"/>
      <c r="F727" s="2111"/>
      <c r="G727" s="2109"/>
      <c r="H727" s="2110"/>
      <c r="I727" s="2110"/>
      <c r="J727" s="2111"/>
      <c r="K727" s="2283"/>
      <c r="L727" s="2284"/>
      <c r="M727" s="2284"/>
      <c r="N727" s="2285"/>
      <c r="O727" s="2109"/>
      <c r="P727" s="2110"/>
      <c r="Q727" s="2110"/>
      <c r="R727" s="2110"/>
      <c r="S727" s="2111"/>
      <c r="T727" s="2109"/>
      <c r="U727" s="2110"/>
      <c r="V727" s="2110"/>
      <c r="W727" s="2110"/>
      <c r="X727" s="2111"/>
      <c r="Y727" s="2109"/>
      <c r="Z727" s="2110"/>
      <c r="AA727" s="2110"/>
      <c r="AB727" s="2111"/>
      <c r="AC727" s="2109"/>
      <c r="AD727" s="2110"/>
      <c r="AE727" s="2110"/>
      <c r="AF727" s="2110"/>
      <c r="AG727" s="2111"/>
      <c r="AH727" s="2109"/>
      <c r="AI727" s="2110"/>
      <c r="AJ727" s="2110"/>
      <c r="AK727" s="2110"/>
      <c r="AL727" s="2111"/>
      <c r="AM727" s="2109"/>
      <c r="AN727" s="2110"/>
      <c r="AO727" s="2111"/>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140" t="s">
        <v>333</v>
      </c>
      <c r="C728" s="2141"/>
      <c r="D728" s="2141"/>
      <c r="E728" s="2141"/>
      <c r="F728" s="2142"/>
      <c r="G728" s="2264">
        <v>9</v>
      </c>
      <c r="H728" s="2265"/>
      <c r="I728" s="2265"/>
      <c r="J728" s="2266"/>
      <c r="K728" s="2027">
        <v>371</v>
      </c>
      <c r="L728" s="2028"/>
      <c r="M728" s="2028"/>
      <c r="N728" s="2029"/>
      <c r="O728" s="2017">
        <v>835</v>
      </c>
      <c r="P728" s="2018"/>
      <c r="Q728" s="2018"/>
      <c r="R728" s="2018"/>
      <c r="S728" s="2019"/>
      <c r="T728" s="2137">
        <f t="shared" ref="T728:T752" si="47">G728*O728</f>
        <v>7515</v>
      </c>
      <c r="U728" s="2138"/>
      <c r="V728" s="2138"/>
      <c r="W728" s="2138"/>
      <c r="X728" s="2139"/>
      <c r="Y728" s="2017">
        <v>35</v>
      </c>
      <c r="Z728" s="2018"/>
      <c r="AA728" s="2018"/>
      <c r="AB728" s="2019"/>
      <c r="AC728" s="2137">
        <f t="shared" ref="AC728:AC752" si="48">O728+Y728</f>
        <v>870</v>
      </c>
      <c r="AD728" s="2138"/>
      <c r="AE728" s="2138"/>
      <c r="AF728" s="2138"/>
      <c r="AG728" s="2139"/>
      <c r="AH728" s="2289">
        <v>0.3</v>
      </c>
      <c r="AI728" s="2290"/>
      <c r="AJ728" s="2290"/>
      <c r="AK728" s="2290"/>
      <c r="AL728" s="2291"/>
      <c r="AM728" s="2248">
        <f t="shared" ref="AM728:AM752" si="49">IF($AH728&gt;0,($AC728/$BA670), " ")</f>
        <v>0.3</v>
      </c>
      <c r="AN728" s="2249"/>
      <c r="AO728" s="2250"/>
      <c r="AP728" s="239"/>
      <c r="AQ728" s="239"/>
      <c r="AR728" s="239"/>
      <c r="AS728" s="239"/>
      <c r="AT728" s="239"/>
      <c r="AU728" s="239"/>
      <c r="AV728" s="239"/>
      <c r="AW728" s="239"/>
      <c r="AX728" s="239"/>
      <c r="AY728" s="239"/>
      <c r="AZ728" s="58"/>
      <c r="BA728" s="58"/>
      <c r="BB728" s="58"/>
      <c r="BC728" s="58"/>
      <c r="BD728" s="58"/>
      <c r="BE728" s="58"/>
      <c r="BF728" s="58"/>
      <c r="BG728" s="1420">
        <f>SUM(BG703:BG727)</f>
        <v>150</v>
      </c>
      <c r="BH728" s="463">
        <f>SUM(BH703:BH727)</f>
        <v>1</v>
      </c>
      <c r="BI728" s="463">
        <f>SUM(BI703:BI727)</f>
        <v>0.54003682157633359</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140" t="s">
        <v>333</v>
      </c>
      <c r="C729" s="2141"/>
      <c r="D729" s="2141"/>
      <c r="E729" s="2141"/>
      <c r="F729" s="2142"/>
      <c r="G729" s="2264">
        <v>32</v>
      </c>
      <c r="H729" s="2265"/>
      <c r="I729" s="2265"/>
      <c r="J729" s="2266"/>
      <c r="K729" s="2027">
        <v>371</v>
      </c>
      <c r="L729" s="2028"/>
      <c r="M729" s="2028"/>
      <c r="N729" s="2029"/>
      <c r="O729" s="2017">
        <v>1415</v>
      </c>
      <c r="P729" s="2018"/>
      <c r="Q729" s="2018"/>
      <c r="R729" s="2018"/>
      <c r="S729" s="2019"/>
      <c r="T729" s="2137">
        <f t="shared" si="47"/>
        <v>45280</v>
      </c>
      <c r="U729" s="2138"/>
      <c r="V729" s="2138"/>
      <c r="W729" s="2138"/>
      <c r="X729" s="2139"/>
      <c r="Y729" s="2017">
        <v>35</v>
      </c>
      <c r="Z729" s="2018"/>
      <c r="AA729" s="2018"/>
      <c r="AB729" s="2019"/>
      <c r="AC729" s="2137">
        <f t="shared" si="48"/>
        <v>1450</v>
      </c>
      <c r="AD729" s="2138"/>
      <c r="AE729" s="2138"/>
      <c r="AF729" s="2138"/>
      <c r="AG729" s="2139"/>
      <c r="AH729" s="2289">
        <v>0.5</v>
      </c>
      <c r="AI729" s="2290"/>
      <c r="AJ729" s="2290"/>
      <c r="AK729" s="2290"/>
      <c r="AL729" s="2291"/>
      <c r="AM729" s="2248">
        <f t="shared" si="49"/>
        <v>0.5</v>
      </c>
      <c r="AN729" s="2249"/>
      <c r="AO729" s="225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140" t="s">
        <v>333</v>
      </c>
      <c r="C730" s="2141"/>
      <c r="D730" s="2141"/>
      <c r="E730" s="2141"/>
      <c r="F730" s="2142"/>
      <c r="G730" s="2264">
        <v>49</v>
      </c>
      <c r="H730" s="2265"/>
      <c r="I730" s="2265"/>
      <c r="J730" s="2266"/>
      <c r="K730" s="2027">
        <v>371</v>
      </c>
      <c r="L730" s="2028"/>
      <c r="M730" s="2028"/>
      <c r="N730" s="2029"/>
      <c r="O730" s="2017">
        <v>1640</v>
      </c>
      <c r="P730" s="2018"/>
      <c r="Q730" s="2018"/>
      <c r="R730" s="2018"/>
      <c r="S730" s="2019"/>
      <c r="T730" s="2137">
        <f t="shared" si="47"/>
        <v>80360</v>
      </c>
      <c r="U730" s="2138"/>
      <c r="V730" s="2138"/>
      <c r="W730" s="2138"/>
      <c r="X730" s="2139"/>
      <c r="Y730" s="2017">
        <v>35</v>
      </c>
      <c r="Z730" s="2018"/>
      <c r="AA730" s="2018"/>
      <c r="AB730" s="2019"/>
      <c r="AC730" s="2137">
        <f t="shared" si="48"/>
        <v>1675</v>
      </c>
      <c r="AD730" s="2138"/>
      <c r="AE730" s="2138"/>
      <c r="AF730" s="2138"/>
      <c r="AG730" s="2139"/>
      <c r="AH730" s="2289">
        <v>0.7</v>
      </c>
      <c r="AI730" s="2290"/>
      <c r="AJ730" s="2290"/>
      <c r="AK730" s="2290"/>
      <c r="AL730" s="2291"/>
      <c r="AM730" s="2248">
        <f t="shared" si="49"/>
        <v>0.57758620689655171</v>
      </c>
      <c r="AN730" s="2249"/>
      <c r="AO730" s="225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140" t="s">
        <v>334</v>
      </c>
      <c r="C731" s="2141"/>
      <c r="D731" s="2141"/>
      <c r="E731" s="2141"/>
      <c r="F731" s="2142"/>
      <c r="G731" s="2264">
        <v>3</v>
      </c>
      <c r="H731" s="2265"/>
      <c r="I731" s="2265"/>
      <c r="J731" s="2266"/>
      <c r="K731" s="2027">
        <v>537</v>
      </c>
      <c r="L731" s="2028"/>
      <c r="M731" s="2028"/>
      <c r="N731" s="2029"/>
      <c r="O731" s="2017">
        <v>890</v>
      </c>
      <c r="P731" s="2018"/>
      <c r="Q731" s="2018"/>
      <c r="R731" s="2018"/>
      <c r="S731" s="2019"/>
      <c r="T731" s="2137">
        <f t="shared" si="47"/>
        <v>2670</v>
      </c>
      <c r="U731" s="2138"/>
      <c r="V731" s="2138"/>
      <c r="W731" s="2138"/>
      <c r="X731" s="2139"/>
      <c r="Y731" s="2017">
        <v>42</v>
      </c>
      <c r="Z731" s="2018"/>
      <c r="AA731" s="2018"/>
      <c r="AB731" s="2019"/>
      <c r="AC731" s="2137">
        <f t="shared" si="48"/>
        <v>932</v>
      </c>
      <c r="AD731" s="2138"/>
      <c r="AE731" s="2138"/>
      <c r="AF731" s="2138"/>
      <c r="AG731" s="2139"/>
      <c r="AH731" s="2289">
        <v>0.3</v>
      </c>
      <c r="AI731" s="2290"/>
      <c r="AJ731" s="2290"/>
      <c r="AK731" s="2290"/>
      <c r="AL731" s="2291"/>
      <c r="AM731" s="2248">
        <f t="shared" si="49"/>
        <v>0.30006439150032194</v>
      </c>
      <c r="AN731" s="2249"/>
      <c r="AO731" s="225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140" t="s">
        <v>334</v>
      </c>
      <c r="C732" s="2141"/>
      <c r="D732" s="2141"/>
      <c r="E732" s="2141"/>
      <c r="F732" s="2142"/>
      <c r="G732" s="2264">
        <v>17</v>
      </c>
      <c r="H732" s="2265"/>
      <c r="I732" s="2265"/>
      <c r="J732" s="2266"/>
      <c r="K732" s="2027">
        <v>537</v>
      </c>
      <c r="L732" s="2028"/>
      <c r="M732" s="2028"/>
      <c r="N732" s="2029"/>
      <c r="O732" s="2017">
        <v>1511</v>
      </c>
      <c r="P732" s="2018"/>
      <c r="Q732" s="2018"/>
      <c r="R732" s="2018"/>
      <c r="S732" s="2019"/>
      <c r="T732" s="2137">
        <f t="shared" si="47"/>
        <v>25687</v>
      </c>
      <c r="U732" s="2138"/>
      <c r="V732" s="2138"/>
      <c r="W732" s="2138"/>
      <c r="X732" s="2139"/>
      <c r="Y732" s="2017">
        <v>42</v>
      </c>
      <c r="Z732" s="2018"/>
      <c r="AA732" s="2018"/>
      <c r="AB732" s="2019"/>
      <c r="AC732" s="2137">
        <f t="shared" si="48"/>
        <v>1553</v>
      </c>
      <c r="AD732" s="2138"/>
      <c r="AE732" s="2138"/>
      <c r="AF732" s="2138"/>
      <c r="AG732" s="2139"/>
      <c r="AH732" s="2289">
        <v>0.5</v>
      </c>
      <c r="AI732" s="2290"/>
      <c r="AJ732" s="2290"/>
      <c r="AK732" s="2290"/>
      <c r="AL732" s="2291"/>
      <c r="AM732" s="2248">
        <f t="shared" si="49"/>
        <v>0.5</v>
      </c>
      <c r="AN732" s="2249"/>
      <c r="AO732" s="225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140" t="s">
        <v>334</v>
      </c>
      <c r="C733" s="2141"/>
      <c r="D733" s="2141"/>
      <c r="E733" s="2141"/>
      <c r="F733" s="2142"/>
      <c r="G733" s="2264">
        <v>14</v>
      </c>
      <c r="H733" s="2265"/>
      <c r="I733" s="2265"/>
      <c r="J733" s="2266"/>
      <c r="K733" s="2027">
        <v>537</v>
      </c>
      <c r="L733" s="2028"/>
      <c r="M733" s="2028"/>
      <c r="N733" s="2029"/>
      <c r="O733" s="2017">
        <v>2133</v>
      </c>
      <c r="P733" s="2018"/>
      <c r="Q733" s="2018"/>
      <c r="R733" s="2018"/>
      <c r="S733" s="2019"/>
      <c r="T733" s="2137">
        <f t="shared" si="47"/>
        <v>29862</v>
      </c>
      <c r="U733" s="2138"/>
      <c r="V733" s="2138"/>
      <c r="W733" s="2138"/>
      <c r="X733" s="2139"/>
      <c r="Y733" s="2017">
        <v>42</v>
      </c>
      <c r="Z733" s="2018"/>
      <c r="AA733" s="2018"/>
      <c r="AB733" s="2019"/>
      <c r="AC733" s="2137">
        <f t="shared" si="48"/>
        <v>2175</v>
      </c>
      <c r="AD733" s="2138"/>
      <c r="AE733" s="2138"/>
      <c r="AF733" s="2138"/>
      <c r="AG733" s="2139"/>
      <c r="AH733" s="2289">
        <v>0.7</v>
      </c>
      <c r="AI733" s="2290"/>
      <c r="AJ733" s="2290"/>
      <c r="AK733" s="2290"/>
      <c r="AL733" s="2291"/>
      <c r="AM733" s="2248">
        <f t="shared" si="49"/>
        <v>0.70025756600128786</v>
      </c>
      <c r="AN733" s="2249"/>
      <c r="AO733" s="225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140" t="s">
        <v>168</v>
      </c>
      <c r="C734" s="2141"/>
      <c r="D734" s="2141"/>
      <c r="E734" s="2141"/>
      <c r="F734" s="2142"/>
      <c r="G734" s="2264">
        <v>3</v>
      </c>
      <c r="H734" s="2265"/>
      <c r="I734" s="2265"/>
      <c r="J734" s="2266"/>
      <c r="K734" s="2027">
        <v>865</v>
      </c>
      <c r="L734" s="2028"/>
      <c r="M734" s="2028"/>
      <c r="N734" s="2029"/>
      <c r="O734" s="2017">
        <v>1062</v>
      </c>
      <c r="P734" s="2018"/>
      <c r="Q734" s="2018"/>
      <c r="R734" s="2018"/>
      <c r="S734" s="2019"/>
      <c r="T734" s="2137">
        <f t="shared" si="47"/>
        <v>3186</v>
      </c>
      <c r="U734" s="2138"/>
      <c r="V734" s="2138"/>
      <c r="W734" s="2138"/>
      <c r="X734" s="2139"/>
      <c r="Y734" s="2017">
        <v>57</v>
      </c>
      <c r="Z734" s="2018"/>
      <c r="AA734" s="2018"/>
      <c r="AB734" s="2019"/>
      <c r="AC734" s="2137">
        <f t="shared" si="48"/>
        <v>1119</v>
      </c>
      <c r="AD734" s="2138"/>
      <c r="AE734" s="2138"/>
      <c r="AF734" s="2138"/>
      <c r="AG734" s="2139"/>
      <c r="AH734" s="2289">
        <v>0.3</v>
      </c>
      <c r="AI734" s="2290"/>
      <c r="AJ734" s="2290"/>
      <c r="AK734" s="2290"/>
      <c r="AL734" s="2291"/>
      <c r="AM734" s="2248">
        <f t="shared" si="49"/>
        <v>0.3</v>
      </c>
      <c r="AN734" s="2249"/>
      <c r="AO734" s="225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140" t="s">
        <v>168</v>
      </c>
      <c r="C735" s="2141"/>
      <c r="D735" s="2141"/>
      <c r="E735" s="2141"/>
      <c r="F735" s="2142"/>
      <c r="G735" s="2264">
        <v>8</v>
      </c>
      <c r="H735" s="2265"/>
      <c r="I735" s="2265"/>
      <c r="J735" s="2266"/>
      <c r="K735" s="2027">
        <v>865</v>
      </c>
      <c r="L735" s="2028"/>
      <c r="M735" s="2028"/>
      <c r="N735" s="2029"/>
      <c r="O735" s="2017">
        <v>1808</v>
      </c>
      <c r="P735" s="2018"/>
      <c r="Q735" s="2018"/>
      <c r="R735" s="2018"/>
      <c r="S735" s="2019"/>
      <c r="T735" s="2137">
        <f t="shared" si="47"/>
        <v>14464</v>
      </c>
      <c r="U735" s="2138"/>
      <c r="V735" s="2138"/>
      <c r="W735" s="2138"/>
      <c r="X735" s="2139"/>
      <c r="Y735" s="2017">
        <v>57</v>
      </c>
      <c r="Z735" s="2018"/>
      <c r="AA735" s="2018"/>
      <c r="AB735" s="2019"/>
      <c r="AC735" s="2137">
        <f t="shared" si="48"/>
        <v>1865</v>
      </c>
      <c r="AD735" s="2138"/>
      <c r="AE735" s="2138"/>
      <c r="AF735" s="2138"/>
      <c r="AG735" s="2139"/>
      <c r="AH735" s="2289">
        <v>0.5</v>
      </c>
      <c r="AI735" s="2290"/>
      <c r="AJ735" s="2290"/>
      <c r="AK735" s="2290"/>
      <c r="AL735" s="2291"/>
      <c r="AM735" s="2248">
        <f t="shared" si="49"/>
        <v>0.5</v>
      </c>
      <c r="AN735" s="2249"/>
      <c r="AO735" s="225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140" t="s">
        <v>168</v>
      </c>
      <c r="C736" s="2141"/>
      <c r="D736" s="2141"/>
      <c r="E736" s="2141"/>
      <c r="F736" s="2142"/>
      <c r="G736" s="2264">
        <v>12</v>
      </c>
      <c r="H736" s="2265"/>
      <c r="I736" s="2265"/>
      <c r="J736" s="2266"/>
      <c r="K736" s="2027">
        <v>865</v>
      </c>
      <c r="L736" s="2028"/>
      <c r="M736" s="2028"/>
      <c r="N736" s="2029"/>
      <c r="O736" s="2017">
        <v>2554</v>
      </c>
      <c r="P736" s="2018"/>
      <c r="Q736" s="2018"/>
      <c r="R736" s="2018"/>
      <c r="S736" s="2019"/>
      <c r="T736" s="2137">
        <f t="shared" si="47"/>
        <v>30648</v>
      </c>
      <c r="U736" s="2138"/>
      <c r="V736" s="2138"/>
      <c r="W736" s="2138"/>
      <c r="X736" s="2139"/>
      <c r="Y736" s="2017">
        <v>57</v>
      </c>
      <c r="Z736" s="2018"/>
      <c r="AA736" s="2018"/>
      <c r="AB736" s="2019"/>
      <c r="AC736" s="2137">
        <f t="shared" si="48"/>
        <v>2611</v>
      </c>
      <c r="AD736" s="2138"/>
      <c r="AE736" s="2138"/>
      <c r="AF736" s="2138"/>
      <c r="AG736" s="2139"/>
      <c r="AH736" s="2289">
        <v>0.7</v>
      </c>
      <c r="AI736" s="2290"/>
      <c r="AJ736" s="2290"/>
      <c r="AK736" s="2290"/>
      <c r="AL736" s="2291"/>
      <c r="AM736" s="2248">
        <f t="shared" si="49"/>
        <v>0.7</v>
      </c>
      <c r="AN736" s="2249"/>
      <c r="AO736" s="225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140" t="s">
        <v>169</v>
      </c>
      <c r="C737" s="2141"/>
      <c r="D737" s="2141"/>
      <c r="E737" s="2141"/>
      <c r="F737" s="2142"/>
      <c r="G737" s="2264">
        <v>3</v>
      </c>
      <c r="H737" s="2265"/>
      <c r="I737" s="2265"/>
      <c r="J737" s="2266"/>
      <c r="K737" s="2027">
        <v>1095</v>
      </c>
      <c r="L737" s="2028"/>
      <c r="M737" s="2028"/>
      <c r="N737" s="2029"/>
      <c r="O737" s="2017">
        <v>2082</v>
      </c>
      <c r="P737" s="2018"/>
      <c r="Q737" s="2018"/>
      <c r="R737" s="2018"/>
      <c r="S737" s="2019"/>
      <c r="T737" s="2137">
        <f t="shared" si="47"/>
        <v>6246</v>
      </c>
      <c r="U737" s="2138"/>
      <c r="V737" s="2138"/>
      <c r="W737" s="2138"/>
      <c r="X737" s="2139"/>
      <c r="Y737" s="2017">
        <v>72</v>
      </c>
      <c r="Z737" s="2018"/>
      <c r="AA737" s="2018"/>
      <c r="AB737" s="2019"/>
      <c r="AC737" s="2137">
        <f t="shared" si="48"/>
        <v>2154</v>
      </c>
      <c r="AD737" s="2138"/>
      <c r="AE737" s="2138"/>
      <c r="AF737" s="2138"/>
      <c r="AG737" s="2139"/>
      <c r="AH737" s="2289">
        <v>0.5</v>
      </c>
      <c r="AI737" s="2290"/>
      <c r="AJ737" s="2290"/>
      <c r="AK737" s="2290"/>
      <c r="AL737" s="2291"/>
      <c r="AM737" s="2248">
        <f t="shared" si="49"/>
        <v>0.5</v>
      </c>
      <c r="AN737" s="2249"/>
      <c r="AO737" s="225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140"/>
      <c r="C738" s="2141"/>
      <c r="D738" s="2141"/>
      <c r="E738" s="2141"/>
      <c r="F738" s="2142"/>
      <c r="G738" s="2264"/>
      <c r="H738" s="2265"/>
      <c r="I738" s="2265"/>
      <c r="J738" s="2266"/>
      <c r="K738" s="2027"/>
      <c r="L738" s="2028"/>
      <c r="M738" s="2028"/>
      <c r="N738" s="2029"/>
      <c r="O738" s="2017"/>
      <c r="P738" s="2018"/>
      <c r="Q738" s="2018"/>
      <c r="R738" s="2018"/>
      <c r="S738" s="2019"/>
      <c r="T738" s="2137">
        <f t="shared" si="47"/>
        <v>0</v>
      </c>
      <c r="U738" s="2138"/>
      <c r="V738" s="2138"/>
      <c r="W738" s="2138"/>
      <c r="X738" s="2139"/>
      <c r="Y738" s="2017"/>
      <c r="Z738" s="2018"/>
      <c r="AA738" s="2018"/>
      <c r="AB738" s="2019"/>
      <c r="AC738" s="2137">
        <f t="shared" si="48"/>
        <v>0</v>
      </c>
      <c r="AD738" s="2138"/>
      <c r="AE738" s="2138"/>
      <c r="AF738" s="2138"/>
      <c r="AG738" s="2139"/>
      <c r="AH738" s="2289"/>
      <c r="AI738" s="2290"/>
      <c r="AJ738" s="2290"/>
      <c r="AK738" s="2290"/>
      <c r="AL738" s="2291"/>
      <c r="AM738" s="2248" t="str">
        <f t="shared" si="49"/>
        <v xml:space="preserve"> </v>
      </c>
      <c r="AN738" s="2249"/>
      <c r="AO738" s="225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140"/>
      <c r="C739" s="2141"/>
      <c r="D739" s="2141"/>
      <c r="E739" s="2141"/>
      <c r="F739" s="2142"/>
      <c r="G739" s="2264"/>
      <c r="H739" s="2265"/>
      <c r="I739" s="2265"/>
      <c r="J739" s="2266"/>
      <c r="K739" s="2027"/>
      <c r="L739" s="2028"/>
      <c r="M739" s="2028"/>
      <c r="N739" s="2029"/>
      <c r="O739" s="2017"/>
      <c r="P739" s="2018"/>
      <c r="Q739" s="2018"/>
      <c r="R739" s="2018"/>
      <c r="S739" s="2019"/>
      <c r="T739" s="2137">
        <f t="shared" si="47"/>
        <v>0</v>
      </c>
      <c r="U739" s="2138"/>
      <c r="V739" s="2138"/>
      <c r="W739" s="2138"/>
      <c r="X739" s="2139"/>
      <c r="Y739" s="2017">
        <v>0</v>
      </c>
      <c r="Z739" s="2018"/>
      <c r="AA739" s="2018"/>
      <c r="AB739" s="2019"/>
      <c r="AC739" s="2137">
        <f t="shared" si="48"/>
        <v>0</v>
      </c>
      <c r="AD739" s="2138"/>
      <c r="AE739" s="2138"/>
      <c r="AF739" s="2138"/>
      <c r="AG739" s="2139"/>
      <c r="AH739" s="2289">
        <v>0</v>
      </c>
      <c r="AI739" s="2290"/>
      <c r="AJ739" s="2290"/>
      <c r="AK739" s="2290"/>
      <c r="AL739" s="2291"/>
      <c r="AM739" s="2248" t="str">
        <f t="shared" si="49"/>
        <v xml:space="preserve"> </v>
      </c>
      <c r="AN739" s="2249"/>
      <c r="AO739" s="225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140"/>
      <c r="C740" s="2141"/>
      <c r="D740" s="2141"/>
      <c r="E740" s="2141"/>
      <c r="F740" s="2142"/>
      <c r="G740" s="2264"/>
      <c r="H740" s="2265"/>
      <c r="I740" s="2265"/>
      <c r="J740" s="2266"/>
      <c r="K740" s="2027"/>
      <c r="L740" s="2028"/>
      <c r="M740" s="2028"/>
      <c r="N740" s="2029"/>
      <c r="O740" s="2017"/>
      <c r="P740" s="2018"/>
      <c r="Q740" s="2018"/>
      <c r="R740" s="2018"/>
      <c r="S740" s="2019"/>
      <c r="T740" s="2137">
        <f t="shared" si="47"/>
        <v>0</v>
      </c>
      <c r="U740" s="2138"/>
      <c r="V740" s="2138"/>
      <c r="W740" s="2138"/>
      <c r="X740" s="2139"/>
      <c r="Y740" s="2017">
        <v>0</v>
      </c>
      <c r="Z740" s="2018"/>
      <c r="AA740" s="2018"/>
      <c r="AB740" s="2019"/>
      <c r="AC740" s="2137">
        <f t="shared" si="48"/>
        <v>0</v>
      </c>
      <c r="AD740" s="2138"/>
      <c r="AE740" s="2138"/>
      <c r="AF740" s="2138"/>
      <c r="AG740" s="2139"/>
      <c r="AH740" s="2289">
        <v>0</v>
      </c>
      <c r="AI740" s="2290"/>
      <c r="AJ740" s="2290"/>
      <c r="AK740" s="2290"/>
      <c r="AL740" s="2291"/>
      <c r="AM740" s="2248" t="str">
        <f t="shared" si="49"/>
        <v xml:space="preserve"> </v>
      </c>
      <c r="AN740" s="2249"/>
      <c r="AO740" s="225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140"/>
      <c r="C741" s="2141"/>
      <c r="D741" s="2141"/>
      <c r="E741" s="2141"/>
      <c r="F741" s="2142"/>
      <c r="G741" s="2264"/>
      <c r="H741" s="2265"/>
      <c r="I741" s="2265"/>
      <c r="J741" s="2266"/>
      <c r="K741" s="2027"/>
      <c r="L741" s="2028"/>
      <c r="M741" s="2028"/>
      <c r="N741" s="2029"/>
      <c r="O741" s="2017"/>
      <c r="P741" s="2018"/>
      <c r="Q741" s="2018"/>
      <c r="R741" s="2018"/>
      <c r="S741" s="2019"/>
      <c r="T741" s="2137">
        <f t="shared" si="47"/>
        <v>0</v>
      </c>
      <c r="U741" s="2138"/>
      <c r="V741" s="2138"/>
      <c r="W741" s="2138"/>
      <c r="X741" s="2139"/>
      <c r="Y741" s="2017">
        <v>0</v>
      </c>
      <c r="Z741" s="2018"/>
      <c r="AA741" s="2018"/>
      <c r="AB741" s="2019"/>
      <c r="AC741" s="2137">
        <f t="shared" si="48"/>
        <v>0</v>
      </c>
      <c r="AD741" s="2138"/>
      <c r="AE741" s="2138"/>
      <c r="AF741" s="2138"/>
      <c r="AG741" s="2139"/>
      <c r="AH741" s="2289">
        <v>0</v>
      </c>
      <c r="AI741" s="2290"/>
      <c r="AJ741" s="2290"/>
      <c r="AK741" s="2290"/>
      <c r="AL741" s="2291"/>
      <c r="AM741" s="2248" t="str">
        <f t="shared" si="49"/>
        <v xml:space="preserve"> </v>
      </c>
      <c r="AN741" s="2249"/>
      <c r="AO741" s="225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140"/>
      <c r="C742" s="2141"/>
      <c r="D742" s="2141"/>
      <c r="E742" s="2141"/>
      <c r="F742" s="2142"/>
      <c r="G742" s="2264"/>
      <c r="H742" s="2265"/>
      <c r="I742" s="2265"/>
      <c r="J742" s="2266"/>
      <c r="K742" s="2027"/>
      <c r="L742" s="2028"/>
      <c r="M742" s="2028"/>
      <c r="N742" s="2029"/>
      <c r="O742" s="2017"/>
      <c r="P742" s="2018"/>
      <c r="Q742" s="2018"/>
      <c r="R742" s="2018"/>
      <c r="S742" s="2019"/>
      <c r="T742" s="2137">
        <f t="shared" si="47"/>
        <v>0</v>
      </c>
      <c r="U742" s="2138"/>
      <c r="V742" s="2138"/>
      <c r="W742" s="2138"/>
      <c r="X742" s="2139"/>
      <c r="Y742" s="2017">
        <v>0</v>
      </c>
      <c r="Z742" s="2018"/>
      <c r="AA742" s="2018"/>
      <c r="AB742" s="2019"/>
      <c r="AC742" s="2137">
        <f t="shared" si="48"/>
        <v>0</v>
      </c>
      <c r="AD742" s="2138"/>
      <c r="AE742" s="2138"/>
      <c r="AF742" s="2138"/>
      <c r="AG742" s="2139"/>
      <c r="AH742" s="2289">
        <v>0</v>
      </c>
      <c r="AI742" s="2290"/>
      <c r="AJ742" s="2290"/>
      <c r="AK742" s="2290"/>
      <c r="AL742" s="2291"/>
      <c r="AM742" s="2248" t="str">
        <f t="shared" si="49"/>
        <v xml:space="preserve"> </v>
      </c>
      <c r="AN742" s="2249"/>
      <c r="AO742" s="225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140"/>
      <c r="C743" s="2141"/>
      <c r="D743" s="2141"/>
      <c r="E743" s="2141"/>
      <c r="F743" s="2142"/>
      <c r="G743" s="2264"/>
      <c r="H743" s="2265"/>
      <c r="I743" s="2265"/>
      <c r="J743" s="2266"/>
      <c r="K743" s="2027"/>
      <c r="L743" s="2028"/>
      <c r="M743" s="2028"/>
      <c r="N743" s="2029"/>
      <c r="O743" s="2017"/>
      <c r="P743" s="2018"/>
      <c r="Q743" s="2018"/>
      <c r="R743" s="2018"/>
      <c r="S743" s="2019"/>
      <c r="T743" s="2137">
        <f t="shared" si="47"/>
        <v>0</v>
      </c>
      <c r="U743" s="2138"/>
      <c r="V743" s="2138"/>
      <c r="W743" s="2138"/>
      <c r="X743" s="2139"/>
      <c r="Y743" s="2017">
        <v>0</v>
      </c>
      <c r="Z743" s="2018"/>
      <c r="AA743" s="2018"/>
      <c r="AB743" s="2019"/>
      <c r="AC743" s="2137">
        <f t="shared" si="48"/>
        <v>0</v>
      </c>
      <c r="AD743" s="2138"/>
      <c r="AE743" s="2138"/>
      <c r="AF743" s="2138"/>
      <c r="AG743" s="2139"/>
      <c r="AH743" s="2289">
        <v>0</v>
      </c>
      <c r="AI743" s="2290"/>
      <c r="AJ743" s="2290"/>
      <c r="AK743" s="2290"/>
      <c r="AL743" s="2291"/>
      <c r="AM743" s="2248" t="str">
        <f t="shared" si="49"/>
        <v xml:space="preserve"> </v>
      </c>
      <c r="AN743" s="2249"/>
      <c r="AO743" s="225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140"/>
      <c r="C744" s="2141"/>
      <c r="D744" s="2141"/>
      <c r="E744" s="2141"/>
      <c r="F744" s="2142"/>
      <c r="G744" s="2264"/>
      <c r="H744" s="2265"/>
      <c r="I744" s="2265"/>
      <c r="J744" s="2266"/>
      <c r="K744" s="2027"/>
      <c r="L744" s="2028"/>
      <c r="M744" s="2028"/>
      <c r="N744" s="2029"/>
      <c r="O744" s="2017"/>
      <c r="P744" s="2018"/>
      <c r="Q744" s="2018"/>
      <c r="R744" s="2018"/>
      <c r="S744" s="2019"/>
      <c r="T744" s="2137">
        <f t="shared" si="47"/>
        <v>0</v>
      </c>
      <c r="U744" s="2138"/>
      <c r="V744" s="2138"/>
      <c r="W744" s="2138"/>
      <c r="X744" s="2139"/>
      <c r="Y744" s="2017">
        <v>0</v>
      </c>
      <c r="Z744" s="2018"/>
      <c r="AA744" s="2018"/>
      <c r="AB744" s="2019"/>
      <c r="AC744" s="2137">
        <f t="shared" si="48"/>
        <v>0</v>
      </c>
      <c r="AD744" s="2138"/>
      <c r="AE744" s="2138"/>
      <c r="AF744" s="2138"/>
      <c r="AG744" s="2139"/>
      <c r="AH744" s="2289">
        <v>0</v>
      </c>
      <c r="AI744" s="2290"/>
      <c r="AJ744" s="2290"/>
      <c r="AK744" s="2290"/>
      <c r="AL744" s="2291"/>
      <c r="AM744" s="2248" t="str">
        <f t="shared" si="49"/>
        <v xml:space="preserve"> </v>
      </c>
      <c r="AN744" s="2249"/>
      <c r="AO744" s="225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140"/>
      <c r="C745" s="2141"/>
      <c r="D745" s="2141"/>
      <c r="E745" s="2141"/>
      <c r="F745" s="2142"/>
      <c r="G745" s="2264"/>
      <c r="H745" s="2265"/>
      <c r="I745" s="2265"/>
      <c r="J745" s="2266"/>
      <c r="K745" s="2027"/>
      <c r="L745" s="2028"/>
      <c r="M745" s="2028"/>
      <c r="N745" s="2029"/>
      <c r="O745" s="2017"/>
      <c r="P745" s="2018"/>
      <c r="Q745" s="2018"/>
      <c r="R745" s="2018"/>
      <c r="S745" s="2019"/>
      <c r="T745" s="2137">
        <f t="shared" si="47"/>
        <v>0</v>
      </c>
      <c r="U745" s="2138"/>
      <c r="V745" s="2138"/>
      <c r="W745" s="2138"/>
      <c r="X745" s="2139"/>
      <c r="Y745" s="2017">
        <v>0</v>
      </c>
      <c r="Z745" s="2018"/>
      <c r="AA745" s="2018"/>
      <c r="AB745" s="2019"/>
      <c r="AC745" s="2137">
        <f t="shared" si="48"/>
        <v>0</v>
      </c>
      <c r="AD745" s="2138"/>
      <c r="AE745" s="2138"/>
      <c r="AF745" s="2138"/>
      <c r="AG745" s="2139"/>
      <c r="AH745" s="2289">
        <v>0</v>
      </c>
      <c r="AI745" s="2290"/>
      <c r="AJ745" s="2290"/>
      <c r="AK745" s="2290"/>
      <c r="AL745" s="2291"/>
      <c r="AM745" s="2248" t="str">
        <f t="shared" si="49"/>
        <v xml:space="preserve"> </v>
      </c>
      <c r="AN745" s="2249"/>
      <c r="AO745" s="225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140"/>
      <c r="C746" s="2141"/>
      <c r="D746" s="2141"/>
      <c r="E746" s="2141"/>
      <c r="F746" s="2142"/>
      <c r="G746" s="2264"/>
      <c r="H746" s="2265"/>
      <c r="I746" s="2265"/>
      <c r="J746" s="2266"/>
      <c r="K746" s="2027"/>
      <c r="L746" s="2028"/>
      <c r="M746" s="2028"/>
      <c r="N746" s="2029"/>
      <c r="O746" s="2017"/>
      <c r="P746" s="2018"/>
      <c r="Q746" s="2018"/>
      <c r="R746" s="2018"/>
      <c r="S746" s="2019"/>
      <c r="T746" s="2137">
        <f t="shared" si="47"/>
        <v>0</v>
      </c>
      <c r="U746" s="2138"/>
      <c r="V746" s="2138"/>
      <c r="W746" s="2138"/>
      <c r="X746" s="2139"/>
      <c r="Y746" s="2017">
        <v>0</v>
      </c>
      <c r="Z746" s="2018"/>
      <c r="AA746" s="2018"/>
      <c r="AB746" s="2019"/>
      <c r="AC746" s="2137">
        <f t="shared" si="48"/>
        <v>0</v>
      </c>
      <c r="AD746" s="2138"/>
      <c r="AE746" s="2138"/>
      <c r="AF746" s="2138"/>
      <c r="AG746" s="2139"/>
      <c r="AH746" s="2289">
        <v>0</v>
      </c>
      <c r="AI746" s="2290"/>
      <c r="AJ746" s="2290"/>
      <c r="AK746" s="2290"/>
      <c r="AL746" s="2291"/>
      <c r="AM746" s="2248" t="str">
        <f t="shared" si="49"/>
        <v xml:space="preserve"> </v>
      </c>
      <c r="AN746" s="2249"/>
      <c r="AO746" s="225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140"/>
      <c r="C747" s="2141"/>
      <c r="D747" s="2141"/>
      <c r="E747" s="2141"/>
      <c r="F747" s="2142"/>
      <c r="G747" s="2264"/>
      <c r="H747" s="2265"/>
      <c r="I747" s="2265"/>
      <c r="J747" s="2266"/>
      <c r="K747" s="2027"/>
      <c r="L747" s="2028"/>
      <c r="M747" s="2028"/>
      <c r="N747" s="2029"/>
      <c r="O747" s="2017"/>
      <c r="P747" s="2018"/>
      <c r="Q747" s="2018"/>
      <c r="R747" s="2018"/>
      <c r="S747" s="2019"/>
      <c r="T747" s="2137">
        <f t="shared" si="47"/>
        <v>0</v>
      </c>
      <c r="U747" s="2138"/>
      <c r="V747" s="2138"/>
      <c r="W747" s="2138"/>
      <c r="X747" s="2139"/>
      <c r="Y747" s="2017">
        <v>0</v>
      </c>
      <c r="Z747" s="2018"/>
      <c r="AA747" s="2018"/>
      <c r="AB747" s="2019"/>
      <c r="AC747" s="2137">
        <f t="shared" si="48"/>
        <v>0</v>
      </c>
      <c r="AD747" s="2138"/>
      <c r="AE747" s="2138"/>
      <c r="AF747" s="2138"/>
      <c r="AG747" s="2139"/>
      <c r="AH747" s="2289">
        <v>0</v>
      </c>
      <c r="AI747" s="2290"/>
      <c r="AJ747" s="2290"/>
      <c r="AK747" s="2290"/>
      <c r="AL747" s="2291"/>
      <c r="AM747" s="2248" t="str">
        <f t="shared" si="49"/>
        <v xml:space="preserve"> </v>
      </c>
      <c r="AN747" s="2249"/>
      <c r="AO747" s="225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140"/>
      <c r="C748" s="2141"/>
      <c r="D748" s="2141"/>
      <c r="E748" s="2141"/>
      <c r="F748" s="2142"/>
      <c r="G748" s="2264"/>
      <c r="H748" s="2265"/>
      <c r="I748" s="2265"/>
      <c r="J748" s="2266"/>
      <c r="K748" s="2027"/>
      <c r="L748" s="2028"/>
      <c r="M748" s="2028"/>
      <c r="N748" s="2029"/>
      <c r="O748" s="2017"/>
      <c r="P748" s="2018"/>
      <c r="Q748" s="2018"/>
      <c r="R748" s="2018"/>
      <c r="S748" s="2019"/>
      <c r="T748" s="2137">
        <f t="shared" si="47"/>
        <v>0</v>
      </c>
      <c r="U748" s="2138"/>
      <c r="V748" s="2138"/>
      <c r="W748" s="2138"/>
      <c r="X748" s="2139"/>
      <c r="Y748" s="2017">
        <v>0</v>
      </c>
      <c r="Z748" s="2018"/>
      <c r="AA748" s="2018"/>
      <c r="AB748" s="2019"/>
      <c r="AC748" s="2137">
        <f t="shared" si="48"/>
        <v>0</v>
      </c>
      <c r="AD748" s="2138"/>
      <c r="AE748" s="2138"/>
      <c r="AF748" s="2138"/>
      <c r="AG748" s="2139"/>
      <c r="AH748" s="2289">
        <v>0</v>
      </c>
      <c r="AI748" s="2290"/>
      <c r="AJ748" s="2290"/>
      <c r="AK748" s="2290"/>
      <c r="AL748" s="2291"/>
      <c r="AM748" s="2248" t="str">
        <f t="shared" si="49"/>
        <v xml:space="preserve"> </v>
      </c>
      <c r="AN748" s="2249"/>
      <c r="AO748" s="225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140"/>
      <c r="C749" s="2141"/>
      <c r="D749" s="2141"/>
      <c r="E749" s="2141"/>
      <c r="F749" s="2142"/>
      <c r="G749" s="2264"/>
      <c r="H749" s="2265"/>
      <c r="I749" s="2265"/>
      <c r="J749" s="2266"/>
      <c r="K749" s="2027"/>
      <c r="L749" s="2028"/>
      <c r="M749" s="2028"/>
      <c r="N749" s="2029"/>
      <c r="O749" s="2017"/>
      <c r="P749" s="2018"/>
      <c r="Q749" s="2018"/>
      <c r="R749" s="2018"/>
      <c r="S749" s="2019"/>
      <c r="T749" s="2137">
        <f t="shared" si="47"/>
        <v>0</v>
      </c>
      <c r="U749" s="2138"/>
      <c r="V749" s="2138"/>
      <c r="W749" s="2138"/>
      <c r="X749" s="2139"/>
      <c r="Y749" s="2017">
        <v>0</v>
      </c>
      <c r="Z749" s="2018"/>
      <c r="AA749" s="2018"/>
      <c r="AB749" s="2019"/>
      <c r="AC749" s="2137">
        <f t="shared" si="48"/>
        <v>0</v>
      </c>
      <c r="AD749" s="2138"/>
      <c r="AE749" s="2138"/>
      <c r="AF749" s="2138"/>
      <c r="AG749" s="2139"/>
      <c r="AH749" s="2289">
        <v>0</v>
      </c>
      <c r="AI749" s="2290"/>
      <c r="AJ749" s="2290"/>
      <c r="AK749" s="2290"/>
      <c r="AL749" s="2291"/>
      <c r="AM749" s="2248" t="str">
        <f t="shared" si="49"/>
        <v xml:space="preserve"> </v>
      </c>
      <c r="AN749" s="2249"/>
      <c r="AO749" s="225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0"/>
      <c r="C750" s="2141"/>
      <c r="D750" s="2141"/>
      <c r="E750" s="2141"/>
      <c r="F750" s="2142"/>
      <c r="G750" s="2264"/>
      <c r="H750" s="2265"/>
      <c r="I750" s="2265"/>
      <c r="J750" s="2266"/>
      <c r="K750" s="2027"/>
      <c r="L750" s="2028"/>
      <c r="M750" s="2028"/>
      <c r="N750" s="2029"/>
      <c r="O750" s="2017"/>
      <c r="P750" s="2018"/>
      <c r="Q750" s="2018"/>
      <c r="R750" s="2018"/>
      <c r="S750" s="2019"/>
      <c r="T750" s="2137">
        <f t="shared" si="47"/>
        <v>0</v>
      </c>
      <c r="U750" s="2138"/>
      <c r="V750" s="2138"/>
      <c r="W750" s="2138"/>
      <c r="X750" s="2139"/>
      <c r="Y750" s="2017">
        <v>0</v>
      </c>
      <c r="Z750" s="2018"/>
      <c r="AA750" s="2018"/>
      <c r="AB750" s="2019"/>
      <c r="AC750" s="2137">
        <f t="shared" si="48"/>
        <v>0</v>
      </c>
      <c r="AD750" s="2138"/>
      <c r="AE750" s="2138"/>
      <c r="AF750" s="2138"/>
      <c r="AG750" s="2139"/>
      <c r="AH750" s="2289">
        <v>0</v>
      </c>
      <c r="AI750" s="2290"/>
      <c r="AJ750" s="2290"/>
      <c r="AK750" s="2290"/>
      <c r="AL750" s="2291"/>
      <c r="AM750" s="2248" t="str">
        <f t="shared" si="49"/>
        <v xml:space="preserve"> </v>
      </c>
      <c r="AN750" s="2249"/>
      <c r="AO750" s="225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40"/>
      <c r="C751" s="2141"/>
      <c r="D751" s="2141"/>
      <c r="E751" s="2141"/>
      <c r="F751" s="2142"/>
      <c r="G751" s="2264"/>
      <c r="H751" s="2265"/>
      <c r="I751" s="2265"/>
      <c r="J751" s="2266"/>
      <c r="K751" s="2027"/>
      <c r="L751" s="2028"/>
      <c r="M751" s="2028"/>
      <c r="N751" s="2029"/>
      <c r="O751" s="2017"/>
      <c r="P751" s="2018"/>
      <c r="Q751" s="2018"/>
      <c r="R751" s="2018"/>
      <c r="S751" s="2019"/>
      <c r="T751" s="2137">
        <f t="shared" si="47"/>
        <v>0</v>
      </c>
      <c r="U751" s="2138"/>
      <c r="V751" s="2138"/>
      <c r="W751" s="2138"/>
      <c r="X751" s="2139"/>
      <c r="Y751" s="2017">
        <v>0</v>
      </c>
      <c r="Z751" s="2018"/>
      <c r="AA751" s="2018"/>
      <c r="AB751" s="2019"/>
      <c r="AC751" s="2137">
        <f t="shared" si="48"/>
        <v>0</v>
      </c>
      <c r="AD751" s="2138"/>
      <c r="AE751" s="2138"/>
      <c r="AF751" s="2138"/>
      <c r="AG751" s="2139"/>
      <c r="AH751" s="2289">
        <v>0</v>
      </c>
      <c r="AI751" s="2290"/>
      <c r="AJ751" s="2290"/>
      <c r="AK751" s="2290"/>
      <c r="AL751" s="2291"/>
      <c r="AM751" s="2248" t="str">
        <f t="shared" si="49"/>
        <v xml:space="preserve"> </v>
      </c>
      <c r="AN751" s="2249"/>
      <c r="AO751" s="225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140"/>
      <c r="C752" s="2141"/>
      <c r="D752" s="2141"/>
      <c r="E752" s="2141"/>
      <c r="F752" s="2142"/>
      <c r="G752" s="2264"/>
      <c r="H752" s="2265"/>
      <c r="I752" s="2265"/>
      <c r="J752" s="2266"/>
      <c r="K752" s="2027"/>
      <c r="L752" s="2028"/>
      <c r="M752" s="2028"/>
      <c r="N752" s="2029"/>
      <c r="O752" s="2017"/>
      <c r="P752" s="2018"/>
      <c r="Q752" s="2018"/>
      <c r="R752" s="2018"/>
      <c r="S752" s="2019"/>
      <c r="T752" s="2137">
        <f t="shared" si="47"/>
        <v>0</v>
      </c>
      <c r="U752" s="2138"/>
      <c r="V752" s="2138"/>
      <c r="W752" s="2138"/>
      <c r="X752" s="2139"/>
      <c r="Y752" s="2017">
        <v>0</v>
      </c>
      <c r="Z752" s="2018"/>
      <c r="AA752" s="2018"/>
      <c r="AB752" s="2019"/>
      <c r="AC752" s="2137">
        <f t="shared" si="48"/>
        <v>0</v>
      </c>
      <c r="AD752" s="2138"/>
      <c r="AE752" s="2138"/>
      <c r="AF752" s="2138"/>
      <c r="AG752" s="2139"/>
      <c r="AH752" s="2289">
        <v>0</v>
      </c>
      <c r="AI752" s="2290"/>
      <c r="AJ752" s="2290"/>
      <c r="AK752" s="2290"/>
      <c r="AL752" s="2291"/>
      <c r="AM752" s="2248" t="str">
        <f t="shared" si="49"/>
        <v xml:space="preserve"> </v>
      </c>
      <c r="AN752" s="2249"/>
      <c r="AO752" s="225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54" t="s">
        <v>130</v>
      </c>
      <c r="C753" s="2155"/>
      <c r="D753" s="2155"/>
      <c r="E753" s="2155"/>
      <c r="F753" s="2157"/>
      <c r="G753" s="2257">
        <f>SUM(G728:J752)</f>
        <v>150</v>
      </c>
      <c r="H753" s="2258"/>
      <c r="I753" s="2258"/>
      <c r="J753" s="2259"/>
      <c r="O753" s="1585" t="s">
        <v>129</v>
      </c>
      <c r="P753" s="1586"/>
      <c r="Q753" s="1586"/>
      <c r="R753" s="1586"/>
      <c r="S753" s="1587"/>
      <c r="T753" s="2137">
        <f>SUM(T728:X752)</f>
        <v>245918</v>
      </c>
      <c r="U753" s="2138"/>
      <c r="V753" s="2138"/>
      <c r="W753" s="2138"/>
      <c r="X753" s="2139"/>
      <c r="AC753" s="1589" t="s">
        <v>968</v>
      </c>
      <c r="AD753" s="1588"/>
      <c r="AE753" s="1588"/>
      <c r="AF753" s="1588"/>
      <c r="AG753" s="1590"/>
      <c r="AH753" s="2366">
        <f>BI696</f>
        <v>0.57999999999999985</v>
      </c>
      <c r="AI753" s="2367"/>
      <c r="AJ753" s="2367"/>
      <c r="AK753" s="2367"/>
      <c r="AL753" s="2368"/>
      <c r="AM753" s="2366">
        <f>BI728</f>
        <v>0.54003682157633359</v>
      </c>
      <c r="AN753" s="2367"/>
      <c r="AO753" s="2368"/>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6" t="s">
        <v>625</v>
      </c>
      <c r="AG755" s="2276"/>
      <c r="AH755" s="2276"/>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3" t="s">
        <v>407</v>
      </c>
      <c r="K768" s="2104"/>
      <c r="L768" s="2104"/>
      <c r="M768" s="2104"/>
      <c r="N768" s="2105"/>
      <c r="O768" s="2296" t="s">
        <v>291</v>
      </c>
      <c r="P768" s="2296"/>
      <c r="Q768" s="2296"/>
      <c r="R768" s="2296"/>
      <c r="S768" s="2296"/>
      <c r="T768" s="2280" t="s">
        <v>2156</v>
      </c>
      <c r="U768" s="2281"/>
      <c r="V768" s="2281"/>
      <c r="W768" s="2282"/>
      <c r="X768" s="2103" t="s">
        <v>477</v>
      </c>
      <c r="Y768" s="2104"/>
      <c r="Z768" s="2104"/>
      <c r="AA768" s="2104"/>
      <c r="AB768" s="2105"/>
      <c r="AC768" s="2103" t="s">
        <v>292</v>
      </c>
      <c r="AD768" s="2104"/>
      <c r="AE768" s="2104"/>
      <c r="AF768" s="2104"/>
      <c r="AG768" s="2105"/>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6"/>
      <c r="K769" s="2107"/>
      <c r="L769" s="2107"/>
      <c r="M769" s="2107"/>
      <c r="N769" s="2108"/>
      <c r="O769" s="2296"/>
      <c r="P769" s="2296"/>
      <c r="Q769" s="2296"/>
      <c r="R769" s="2296"/>
      <c r="S769" s="2296"/>
      <c r="T769" s="2283"/>
      <c r="U769" s="2284"/>
      <c r="V769" s="2284"/>
      <c r="W769" s="2285"/>
      <c r="X769" s="2106"/>
      <c r="Y769" s="2107"/>
      <c r="Z769" s="2107"/>
      <c r="AA769" s="2107"/>
      <c r="AB769" s="2108"/>
      <c r="AC769" s="2106"/>
      <c r="AD769" s="2107"/>
      <c r="AE769" s="2107"/>
      <c r="AF769" s="2107"/>
      <c r="AG769" s="2108"/>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6"/>
      <c r="K770" s="2107"/>
      <c r="L770" s="2107"/>
      <c r="M770" s="2107"/>
      <c r="N770" s="2108"/>
      <c r="O770" s="2296"/>
      <c r="P770" s="2296"/>
      <c r="Q770" s="2296"/>
      <c r="R770" s="2296"/>
      <c r="S770" s="2296"/>
      <c r="T770" s="2283"/>
      <c r="U770" s="2284"/>
      <c r="V770" s="2284"/>
      <c r="W770" s="2285"/>
      <c r="X770" s="2106"/>
      <c r="Y770" s="2107"/>
      <c r="Z770" s="2107"/>
      <c r="AA770" s="2107"/>
      <c r="AB770" s="2108"/>
      <c r="AC770" s="2106"/>
      <c r="AD770" s="2107"/>
      <c r="AE770" s="2107"/>
      <c r="AF770" s="2107"/>
      <c r="AG770" s="2108"/>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09"/>
      <c r="K771" s="2110"/>
      <c r="L771" s="2110"/>
      <c r="M771" s="2110"/>
      <c r="N771" s="2111"/>
      <c r="O771" s="2296"/>
      <c r="P771" s="2296"/>
      <c r="Q771" s="2296"/>
      <c r="R771" s="2296"/>
      <c r="S771" s="2296"/>
      <c r="T771" s="2286"/>
      <c r="U771" s="2287"/>
      <c r="V771" s="2287"/>
      <c r="W771" s="2288"/>
      <c r="X771" s="2109"/>
      <c r="Y771" s="2110"/>
      <c r="Z771" s="2110"/>
      <c r="AA771" s="2110"/>
      <c r="AB771" s="2111"/>
      <c r="AC771" s="2109"/>
      <c r="AD771" s="2110"/>
      <c r="AE771" s="2110"/>
      <c r="AF771" s="2110"/>
      <c r="AG771" s="2111"/>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0" t="s">
        <v>168</v>
      </c>
      <c r="K772" s="2141"/>
      <c r="L772" s="2141"/>
      <c r="M772" s="2141"/>
      <c r="N772" s="2142"/>
      <c r="O772" s="2036">
        <v>1</v>
      </c>
      <c r="P772" s="2036"/>
      <c r="Q772" s="2036"/>
      <c r="R772" s="2036"/>
      <c r="S772" s="2036"/>
      <c r="T772" s="2027">
        <v>865</v>
      </c>
      <c r="U772" s="2028"/>
      <c r="V772" s="2028"/>
      <c r="W772" s="2029"/>
      <c r="X772" s="2017">
        <v>2404</v>
      </c>
      <c r="Y772" s="2018"/>
      <c r="Z772" s="2018"/>
      <c r="AA772" s="2018"/>
      <c r="AB772" s="2019"/>
      <c r="AC772" s="2137">
        <f>X772*O772</f>
        <v>2404</v>
      </c>
      <c r="AD772" s="2138"/>
      <c r="AE772" s="2138"/>
      <c r="AF772" s="2138"/>
      <c r="AG772" s="213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0"/>
      <c r="K773" s="2141"/>
      <c r="L773" s="2141"/>
      <c r="M773" s="2141"/>
      <c r="N773" s="2142"/>
      <c r="O773" s="2036"/>
      <c r="P773" s="2036"/>
      <c r="Q773" s="2036"/>
      <c r="R773" s="2036"/>
      <c r="S773" s="2036"/>
      <c r="T773" s="2027"/>
      <c r="U773" s="2028"/>
      <c r="V773" s="2028"/>
      <c r="W773" s="2029"/>
      <c r="X773" s="2017"/>
      <c r="Y773" s="2018"/>
      <c r="Z773" s="2018"/>
      <c r="AA773" s="2018"/>
      <c r="AB773" s="2019"/>
      <c r="AC773" s="2137">
        <f>X773*O773</f>
        <v>0</v>
      </c>
      <c r="AD773" s="2138"/>
      <c r="AE773" s="2138"/>
      <c r="AF773" s="2138"/>
      <c r="AG773" s="213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0"/>
      <c r="K774" s="2141"/>
      <c r="L774" s="2141"/>
      <c r="M774" s="2141"/>
      <c r="N774" s="2142"/>
      <c r="O774" s="2036"/>
      <c r="P774" s="2036"/>
      <c r="Q774" s="2036"/>
      <c r="R774" s="2036"/>
      <c r="S774" s="2036"/>
      <c r="T774" s="2027"/>
      <c r="U774" s="2028"/>
      <c r="V774" s="2028"/>
      <c r="W774" s="2029"/>
      <c r="X774" s="2017"/>
      <c r="Y774" s="2018"/>
      <c r="Z774" s="2018"/>
      <c r="AA774" s="2018"/>
      <c r="AB774" s="2019"/>
      <c r="AC774" s="2137">
        <f>X774*O774</f>
        <v>0</v>
      </c>
      <c r="AD774" s="2138"/>
      <c r="AE774" s="2138"/>
      <c r="AF774" s="2138"/>
      <c r="AG774" s="213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0"/>
      <c r="K775" s="2141"/>
      <c r="L775" s="2141"/>
      <c r="M775" s="2141"/>
      <c r="N775" s="2142"/>
      <c r="O775" s="2036"/>
      <c r="P775" s="2036"/>
      <c r="Q775" s="2036"/>
      <c r="R775" s="2036"/>
      <c r="S775" s="2036"/>
      <c r="T775" s="2027"/>
      <c r="U775" s="2028"/>
      <c r="V775" s="2028"/>
      <c r="W775" s="2029"/>
      <c r="X775" s="2017"/>
      <c r="Y775" s="2018"/>
      <c r="Z775" s="2018"/>
      <c r="AA775" s="2018"/>
      <c r="AB775" s="2019"/>
      <c r="AC775" s="2137">
        <f>X775*O775</f>
        <v>0</v>
      </c>
      <c r="AD775" s="2138"/>
      <c r="AE775" s="2138"/>
      <c r="AF775" s="2138"/>
      <c r="AG775" s="213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4" t="s">
        <v>130</v>
      </c>
      <c r="K776" s="2155"/>
      <c r="L776" s="2155"/>
      <c r="M776" s="2155"/>
      <c r="N776" s="2157"/>
      <c r="O776" s="2389">
        <f>SUM(O772:S775)</f>
        <v>1</v>
      </c>
      <c r="P776" s="2390"/>
      <c r="Q776" s="2390"/>
      <c r="R776" s="2390"/>
      <c r="S776" s="2391"/>
      <c r="X776" s="2426" t="s">
        <v>129</v>
      </c>
      <c r="Y776" s="2427"/>
      <c r="Z776" s="2427"/>
      <c r="AA776" s="2427"/>
      <c r="AB776" s="2428"/>
      <c r="AC776" s="2137">
        <f>SUM(AC772:AG775)</f>
        <v>2404</v>
      </c>
      <c r="AD776" s="2138"/>
      <c r="AE776" s="2138"/>
      <c r="AF776" s="2138"/>
      <c r="AG776" s="213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47" t="s">
        <v>705</v>
      </c>
      <c r="K778" s="2047"/>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3" t="s">
        <v>407</v>
      </c>
      <c r="K782" s="2104"/>
      <c r="L782" s="2104"/>
      <c r="M782" s="2104"/>
      <c r="N782" s="2105"/>
      <c r="O782" s="2296" t="s">
        <v>291</v>
      </c>
      <c r="P782" s="2296"/>
      <c r="Q782" s="2296"/>
      <c r="R782" s="2296"/>
      <c r="S782" s="2296"/>
      <c r="T782" s="2280" t="s">
        <v>2156</v>
      </c>
      <c r="U782" s="2281"/>
      <c r="V782" s="2281"/>
      <c r="W782" s="2282"/>
      <c r="X782" s="2103" t="s">
        <v>477</v>
      </c>
      <c r="Y782" s="2104"/>
      <c r="Z782" s="2104"/>
      <c r="AA782" s="2104"/>
      <c r="AB782" s="2105"/>
      <c r="AC782" s="2103" t="s">
        <v>292</v>
      </c>
      <c r="AD782" s="2104"/>
      <c r="AE782" s="2104"/>
      <c r="AF782" s="2104"/>
      <c r="AG782" s="2105"/>
      <c r="AH782" s="2295" t="s">
        <v>2396</v>
      </c>
      <c r="AI782" s="2104"/>
      <c r="AJ782" s="2104"/>
      <c r="AK782" s="2104"/>
      <c r="AL782" s="210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6"/>
      <c r="K783" s="2107"/>
      <c r="L783" s="2107"/>
      <c r="M783" s="2107"/>
      <c r="N783" s="2108"/>
      <c r="O783" s="2296"/>
      <c r="P783" s="2296"/>
      <c r="Q783" s="2296"/>
      <c r="R783" s="2296"/>
      <c r="S783" s="2296"/>
      <c r="T783" s="2283"/>
      <c r="U783" s="2284"/>
      <c r="V783" s="2284"/>
      <c r="W783" s="2285"/>
      <c r="X783" s="2106"/>
      <c r="Y783" s="2107"/>
      <c r="Z783" s="2107"/>
      <c r="AA783" s="2107"/>
      <c r="AB783" s="2108"/>
      <c r="AC783" s="2106"/>
      <c r="AD783" s="2107"/>
      <c r="AE783" s="2107"/>
      <c r="AF783" s="2107"/>
      <c r="AG783" s="2108"/>
      <c r="AH783" s="2106"/>
      <c r="AI783" s="2107"/>
      <c r="AJ783" s="2107"/>
      <c r="AK783" s="2107"/>
      <c r="AL783" s="210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6"/>
      <c r="K784" s="2107"/>
      <c r="L784" s="2107"/>
      <c r="M784" s="2107"/>
      <c r="N784" s="2108"/>
      <c r="O784" s="2296"/>
      <c r="P784" s="2296"/>
      <c r="Q784" s="2296"/>
      <c r="R784" s="2296"/>
      <c r="S784" s="2296"/>
      <c r="T784" s="2283"/>
      <c r="U784" s="2284"/>
      <c r="V784" s="2284"/>
      <c r="W784" s="2285"/>
      <c r="X784" s="2106"/>
      <c r="Y784" s="2107"/>
      <c r="Z784" s="2107"/>
      <c r="AA784" s="2107"/>
      <c r="AB784" s="2108"/>
      <c r="AC784" s="2106"/>
      <c r="AD784" s="2107"/>
      <c r="AE784" s="2107"/>
      <c r="AF784" s="2107"/>
      <c r="AG784" s="2108"/>
      <c r="AH784" s="2106"/>
      <c r="AI784" s="2107"/>
      <c r="AJ784" s="2107"/>
      <c r="AK784" s="2107"/>
      <c r="AL784" s="210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09"/>
      <c r="K785" s="2110"/>
      <c r="L785" s="2110"/>
      <c r="M785" s="2110"/>
      <c r="N785" s="2111"/>
      <c r="O785" s="2296"/>
      <c r="P785" s="2296"/>
      <c r="Q785" s="2296"/>
      <c r="R785" s="2296"/>
      <c r="S785" s="2296"/>
      <c r="T785" s="2286"/>
      <c r="U785" s="2287"/>
      <c r="V785" s="2287"/>
      <c r="W785" s="2288"/>
      <c r="X785" s="2109"/>
      <c r="Y785" s="2110"/>
      <c r="Z785" s="2110"/>
      <c r="AA785" s="2110"/>
      <c r="AB785" s="2111"/>
      <c r="AC785" s="2109"/>
      <c r="AD785" s="2110"/>
      <c r="AE785" s="2110"/>
      <c r="AF785" s="2110"/>
      <c r="AG785" s="2111"/>
      <c r="AH785" s="2109"/>
      <c r="AI785" s="2110"/>
      <c r="AJ785" s="2110"/>
      <c r="AK785" s="2110"/>
      <c r="AL785" s="211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0"/>
      <c r="K786" s="2141"/>
      <c r="L786" s="2141"/>
      <c r="M786" s="2141"/>
      <c r="N786" s="2142"/>
      <c r="O786" s="2036"/>
      <c r="P786" s="2036"/>
      <c r="Q786" s="2036"/>
      <c r="R786" s="2036"/>
      <c r="S786" s="2036"/>
      <c r="T786" s="2027"/>
      <c r="U786" s="2028"/>
      <c r="V786" s="2028"/>
      <c r="W786" s="2029"/>
      <c r="X786" s="2017"/>
      <c r="Y786" s="2018"/>
      <c r="Z786" s="2018"/>
      <c r="AA786" s="2018"/>
      <c r="AB786" s="2019"/>
      <c r="AC786" s="2137">
        <f t="shared" ref="AC786:AC795" si="50">X786*O786</f>
        <v>0</v>
      </c>
      <c r="AD786" s="2138"/>
      <c r="AE786" s="2138"/>
      <c r="AF786" s="2138"/>
      <c r="AG786" s="2139"/>
      <c r="AH786" s="2289"/>
      <c r="AI786" s="2290"/>
      <c r="AJ786" s="2290"/>
      <c r="AK786" s="2290"/>
      <c r="AL786" s="229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0"/>
      <c r="K787" s="2141"/>
      <c r="L787" s="2141"/>
      <c r="M787" s="2141"/>
      <c r="N787" s="2142"/>
      <c r="O787" s="2036"/>
      <c r="P787" s="2036"/>
      <c r="Q787" s="2036"/>
      <c r="R787" s="2036"/>
      <c r="S787" s="2036"/>
      <c r="T787" s="2027"/>
      <c r="U787" s="2028"/>
      <c r="V787" s="2028"/>
      <c r="W787" s="2029"/>
      <c r="X787" s="2017"/>
      <c r="Y787" s="2018"/>
      <c r="Z787" s="2018"/>
      <c r="AA787" s="2018"/>
      <c r="AB787" s="2019"/>
      <c r="AC787" s="2137">
        <f t="shared" si="50"/>
        <v>0</v>
      </c>
      <c r="AD787" s="2138"/>
      <c r="AE787" s="2138"/>
      <c r="AF787" s="2138"/>
      <c r="AG787" s="2139"/>
      <c r="AH787" s="2289"/>
      <c r="AI787" s="2290"/>
      <c r="AJ787" s="2290"/>
      <c r="AK787" s="2290"/>
      <c r="AL787" s="229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0"/>
      <c r="K788" s="2141"/>
      <c r="L788" s="2141"/>
      <c r="M788" s="2141"/>
      <c r="N788" s="2142"/>
      <c r="O788" s="2036"/>
      <c r="P788" s="2036"/>
      <c r="Q788" s="2036"/>
      <c r="R788" s="2036"/>
      <c r="S788" s="2036"/>
      <c r="T788" s="2027"/>
      <c r="U788" s="2028"/>
      <c r="V788" s="2028"/>
      <c r="W788" s="2029"/>
      <c r="X788" s="2017"/>
      <c r="Y788" s="2018"/>
      <c r="Z788" s="2018"/>
      <c r="AA788" s="2018"/>
      <c r="AB788" s="2019"/>
      <c r="AC788" s="2137">
        <f t="shared" si="50"/>
        <v>0</v>
      </c>
      <c r="AD788" s="2138"/>
      <c r="AE788" s="2138"/>
      <c r="AF788" s="2138"/>
      <c r="AG788" s="2139"/>
      <c r="AH788" s="2289"/>
      <c r="AI788" s="2290"/>
      <c r="AJ788" s="2290"/>
      <c r="AK788" s="2290"/>
      <c r="AL788" s="229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0"/>
      <c r="K789" s="2141"/>
      <c r="L789" s="2141"/>
      <c r="M789" s="2141"/>
      <c r="N789" s="2142"/>
      <c r="O789" s="2036"/>
      <c r="P789" s="2036"/>
      <c r="Q789" s="2036"/>
      <c r="R789" s="2036"/>
      <c r="S789" s="2036"/>
      <c r="T789" s="2027"/>
      <c r="U789" s="2028"/>
      <c r="V789" s="2028"/>
      <c r="W789" s="2029"/>
      <c r="X789" s="2017"/>
      <c r="Y789" s="2018"/>
      <c r="Z789" s="2018"/>
      <c r="AA789" s="2018"/>
      <c r="AB789" s="2019"/>
      <c r="AC789" s="2137">
        <f t="shared" si="50"/>
        <v>0</v>
      </c>
      <c r="AD789" s="2138"/>
      <c r="AE789" s="2138"/>
      <c r="AF789" s="2138"/>
      <c r="AG789" s="2139"/>
      <c r="AH789" s="2289"/>
      <c r="AI789" s="2290"/>
      <c r="AJ789" s="2290"/>
      <c r="AK789" s="2290"/>
      <c r="AL789" s="229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0"/>
      <c r="K790" s="2141"/>
      <c r="L790" s="2141"/>
      <c r="M790" s="2141"/>
      <c r="N790" s="2142"/>
      <c r="O790" s="2036"/>
      <c r="P790" s="2036"/>
      <c r="Q790" s="2036"/>
      <c r="R790" s="2036"/>
      <c r="S790" s="2036"/>
      <c r="T790" s="2027"/>
      <c r="U790" s="2028"/>
      <c r="V790" s="2028"/>
      <c r="W790" s="2029"/>
      <c r="X790" s="2017"/>
      <c r="Y790" s="2018"/>
      <c r="Z790" s="2018"/>
      <c r="AA790" s="2018"/>
      <c r="AB790" s="2019"/>
      <c r="AC790" s="2137">
        <f t="shared" si="50"/>
        <v>0</v>
      </c>
      <c r="AD790" s="2138"/>
      <c r="AE790" s="2138"/>
      <c r="AF790" s="2138"/>
      <c r="AG790" s="2139"/>
      <c r="AH790" s="2289"/>
      <c r="AI790" s="2290"/>
      <c r="AJ790" s="2290"/>
      <c r="AK790" s="2290"/>
      <c r="AL790" s="229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0"/>
      <c r="K791" s="2141"/>
      <c r="L791" s="2141"/>
      <c r="M791" s="2141"/>
      <c r="N791" s="2142"/>
      <c r="O791" s="2036"/>
      <c r="P791" s="2036"/>
      <c r="Q791" s="2036"/>
      <c r="R791" s="2036"/>
      <c r="S791" s="2036"/>
      <c r="T791" s="2027"/>
      <c r="U791" s="2028"/>
      <c r="V791" s="2028"/>
      <c r="W791" s="2029"/>
      <c r="X791" s="2017"/>
      <c r="Y791" s="2018"/>
      <c r="Z791" s="2018"/>
      <c r="AA791" s="2018"/>
      <c r="AB791" s="2019"/>
      <c r="AC791" s="2137">
        <f t="shared" si="50"/>
        <v>0</v>
      </c>
      <c r="AD791" s="2138"/>
      <c r="AE791" s="2138"/>
      <c r="AF791" s="2138"/>
      <c r="AG791" s="2139"/>
      <c r="AH791" s="2289"/>
      <c r="AI791" s="2290"/>
      <c r="AJ791" s="2290"/>
      <c r="AK791" s="2290"/>
      <c r="AL791" s="229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0"/>
      <c r="K792" s="2141"/>
      <c r="L792" s="2141"/>
      <c r="M792" s="2141"/>
      <c r="N792" s="2142"/>
      <c r="O792" s="2036"/>
      <c r="P792" s="2036"/>
      <c r="Q792" s="2036"/>
      <c r="R792" s="2036"/>
      <c r="S792" s="2036"/>
      <c r="T792" s="2027"/>
      <c r="U792" s="2028"/>
      <c r="V792" s="2028"/>
      <c r="W792" s="2029"/>
      <c r="X792" s="2017"/>
      <c r="Y792" s="2018"/>
      <c r="Z792" s="2018"/>
      <c r="AA792" s="2018"/>
      <c r="AB792" s="2019"/>
      <c r="AC792" s="2137">
        <f t="shared" si="50"/>
        <v>0</v>
      </c>
      <c r="AD792" s="2138"/>
      <c r="AE792" s="2138"/>
      <c r="AF792" s="2138"/>
      <c r="AG792" s="2139"/>
      <c r="AH792" s="2289"/>
      <c r="AI792" s="2290"/>
      <c r="AJ792" s="2290"/>
      <c r="AK792" s="2290"/>
      <c r="AL792" s="229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0"/>
      <c r="K793" s="2141"/>
      <c r="L793" s="2141"/>
      <c r="M793" s="2141"/>
      <c r="N793" s="2142"/>
      <c r="O793" s="2036"/>
      <c r="P793" s="2036"/>
      <c r="Q793" s="2036"/>
      <c r="R793" s="2036"/>
      <c r="S793" s="2036"/>
      <c r="T793" s="2027"/>
      <c r="U793" s="2028"/>
      <c r="V793" s="2028"/>
      <c r="W793" s="2029"/>
      <c r="X793" s="2017"/>
      <c r="Y793" s="2018"/>
      <c r="Z793" s="2018"/>
      <c r="AA793" s="2018"/>
      <c r="AB793" s="2019"/>
      <c r="AC793" s="2137">
        <f t="shared" si="50"/>
        <v>0</v>
      </c>
      <c r="AD793" s="2138"/>
      <c r="AE793" s="2138"/>
      <c r="AF793" s="2138"/>
      <c r="AG793" s="2139"/>
      <c r="AH793" s="2289"/>
      <c r="AI793" s="2290"/>
      <c r="AJ793" s="2290"/>
      <c r="AK793" s="2290"/>
      <c r="AL793" s="229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0"/>
      <c r="K794" s="2141"/>
      <c r="L794" s="2141"/>
      <c r="M794" s="2141"/>
      <c r="N794" s="2142"/>
      <c r="O794" s="2036"/>
      <c r="P794" s="2036"/>
      <c r="Q794" s="2036"/>
      <c r="R794" s="2036"/>
      <c r="S794" s="2036"/>
      <c r="T794" s="2027"/>
      <c r="U794" s="2028"/>
      <c r="V794" s="2028"/>
      <c r="W794" s="2029"/>
      <c r="X794" s="2017"/>
      <c r="Y794" s="2018"/>
      <c r="Z794" s="2018"/>
      <c r="AA794" s="2018"/>
      <c r="AB794" s="2019"/>
      <c r="AC794" s="2137">
        <f t="shared" si="50"/>
        <v>0</v>
      </c>
      <c r="AD794" s="2138"/>
      <c r="AE794" s="2138"/>
      <c r="AF794" s="2138"/>
      <c r="AG794" s="2139"/>
      <c r="AH794" s="2289"/>
      <c r="AI794" s="2290"/>
      <c r="AJ794" s="2290"/>
      <c r="AK794" s="2290"/>
      <c r="AL794" s="229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0"/>
      <c r="K795" s="2141"/>
      <c r="L795" s="2141"/>
      <c r="M795" s="2141"/>
      <c r="N795" s="2142"/>
      <c r="O795" s="2036"/>
      <c r="P795" s="2036"/>
      <c r="Q795" s="2036"/>
      <c r="R795" s="2036"/>
      <c r="S795" s="2036"/>
      <c r="T795" s="2027"/>
      <c r="U795" s="2028"/>
      <c r="V795" s="2028"/>
      <c r="W795" s="2029"/>
      <c r="X795" s="2017"/>
      <c r="Y795" s="2018"/>
      <c r="Z795" s="2018"/>
      <c r="AA795" s="2018"/>
      <c r="AB795" s="2019"/>
      <c r="AC795" s="2137">
        <f t="shared" si="50"/>
        <v>0</v>
      </c>
      <c r="AD795" s="2138"/>
      <c r="AE795" s="2138"/>
      <c r="AF795" s="2138"/>
      <c r="AG795" s="2139"/>
      <c r="AH795" s="2289"/>
      <c r="AI795" s="2290"/>
      <c r="AJ795" s="2290"/>
      <c r="AK795" s="2290"/>
      <c r="AL795" s="229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4" t="s">
        <v>130</v>
      </c>
      <c r="K796" s="2155"/>
      <c r="L796" s="2155"/>
      <c r="M796" s="2155"/>
      <c r="N796" s="2157"/>
      <c r="O796" s="2247">
        <f>SUM(O786:S795)</f>
        <v>0</v>
      </c>
      <c r="P796" s="2247"/>
      <c r="Q796" s="2247"/>
      <c r="R796" s="2247"/>
      <c r="S796" s="2247"/>
      <c r="X796" s="1602" t="s">
        <v>129</v>
      </c>
      <c r="Y796" s="1603"/>
      <c r="Z796" s="1603"/>
      <c r="AA796" s="1603"/>
      <c r="AB796" s="1604"/>
      <c r="AC796" s="2137">
        <f>SUM(AC786:AG795)</f>
        <v>0</v>
      </c>
      <c r="AD796" s="2138"/>
      <c r="AE796" s="2138"/>
      <c r="AF796" s="2138"/>
      <c r="AG796" s="213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0">
        <f>T753+AC776+AC796</f>
        <v>248322</v>
      </c>
      <c r="Z798" s="2130"/>
      <c r="AA798" s="2130"/>
      <c r="AB798" s="2130"/>
      <c r="AC798" s="213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0">
        <f>(T753+AC776+AC796)*12</f>
        <v>2979864</v>
      </c>
      <c r="Z799" s="2130"/>
      <c r="AA799" s="2130"/>
      <c r="AB799" s="2130"/>
      <c r="AC799" s="2130"/>
      <c r="AZ799" s="58"/>
      <c r="BA799" s="51" t="s">
        <v>666</v>
      </c>
      <c r="BB799" s="51"/>
      <c r="BC799" s="51"/>
      <c r="BD799" s="51"/>
      <c r="BE799" s="51"/>
      <c r="BF799" s="51"/>
      <c r="BG799" s="51"/>
      <c r="BH799" s="51"/>
      <c r="BI799" s="51"/>
      <c r="BJ799" s="51"/>
      <c r="BK799" s="51"/>
      <c r="BL799" s="51"/>
      <c r="BM799" s="51"/>
      <c r="BN799" s="2364" t="s">
        <v>501</v>
      </c>
      <c r="BO799" s="2365"/>
      <c r="BP799" s="58"/>
      <c r="BQ799" s="58"/>
      <c r="BR799" s="58"/>
      <c r="BS799" s="51" t="s">
        <v>668</v>
      </c>
      <c r="BT799" s="51"/>
      <c r="BU799" s="51"/>
      <c r="BV799" s="51"/>
      <c r="BW799" s="51"/>
      <c r="BX799" s="51"/>
      <c r="BY799" s="51"/>
      <c r="BZ799" s="51"/>
      <c r="CA799" s="51"/>
      <c r="CB799" s="2361" t="str">
        <f>T189</f>
        <v>Santa Clara</v>
      </c>
      <c r="CC799" s="2362"/>
      <c r="CD799" s="2362"/>
      <c r="CE799" s="2362"/>
      <c r="CF799" s="2362"/>
      <c r="CG799" s="2362"/>
      <c r="CH799" s="236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2"/>
      <c r="AA804" s="2273"/>
      <c r="AB804" s="2273"/>
      <c r="AC804" s="2273"/>
      <c r="AD804" s="2273"/>
      <c r="AE804" s="227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5"/>
      <c r="AA805" s="2273"/>
      <c r="AB805" s="2273"/>
      <c r="AC805" s="2273"/>
      <c r="AD805" s="2273"/>
      <c r="AE805" s="227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77">
        <v>0</v>
      </c>
      <c r="AA806" s="2278"/>
      <c r="AB806" s="2278"/>
      <c r="AC806" s="2278"/>
      <c r="AD806" s="2278"/>
      <c r="AE806" s="227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1">
        <f>'Subsidy Contract Calculation'!I30</f>
        <v>0</v>
      </c>
      <c r="AA807" s="2132"/>
      <c r="AB807" s="2132"/>
      <c r="AC807" s="2132"/>
      <c r="AD807" s="2132"/>
      <c r="AE807" s="213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149">
        <v>9060</v>
      </c>
      <c r="AA811" s="2121"/>
      <c r="AB811" s="2121"/>
      <c r="AC811" s="2121"/>
      <c r="AD811" s="2121"/>
      <c r="AE811" s="212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149">
        <v>9060</v>
      </c>
      <c r="AA812" s="2121"/>
      <c r="AB812" s="2121"/>
      <c r="AC812" s="2121"/>
      <c r="AD812" s="2121"/>
      <c r="AE812" s="212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149"/>
      <c r="AA813" s="2121"/>
      <c r="AB813" s="2121"/>
      <c r="AC813" s="2121"/>
      <c r="AD813" s="2121"/>
      <c r="AE813" s="212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2" t="s">
        <v>2529</v>
      </c>
      <c r="Q814" s="2293"/>
      <c r="R814" s="2293"/>
      <c r="S814" s="2293"/>
      <c r="T814" s="2293"/>
      <c r="U814" s="2293"/>
      <c r="V814" s="2293"/>
      <c r="W814" s="2293"/>
      <c r="X814" s="2293"/>
      <c r="Y814" s="2294"/>
      <c r="Z814" s="2149">
        <f>10800+10800+13500</f>
        <v>35100</v>
      </c>
      <c r="AA814" s="2121"/>
      <c r="AB814" s="2121"/>
      <c r="AC814" s="2121"/>
      <c r="AD814" s="2121"/>
      <c r="AE814" s="212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1">
        <f>SUM(Z811:AE814)</f>
        <v>53220</v>
      </c>
      <c r="AA815" s="2132"/>
      <c r="AB815" s="2132"/>
      <c r="AC815" s="2132"/>
      <c r="AD815" s="2132"/>
      <c r="AE815" s="213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1">
        <f>Z815+Y799+Z807</f>
        <v>3033084</v>
      </c>
      <c r="AA816" s="2132"/>
      <c r="AB816" s="2132"/>
      <c r="AC816" s="2132"/>
      <c r="AD816" s="2132"/>
      <c r="AE816" s="213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7" t="s">
        <v>131</v>
      </c>
      <c r="N821" s="2267"/>
      <c r="O821" s="2267"/>
      <c r="P821" s="2268"/>
      <c r="Q821" s="2271" t="s">
        <v>298</v>
      </c>
      <c r="R821" s="2271"/>
      <c r="S821" s="2271"/>
      <c r="T821" s="2271"/>
      <c r="U821" s="2271" t="s">
        <v>299</v>
      </c>
      <c r="V821" s="2271"/>
      <c r="W821" s="2271"/>
      <c r="X821" s="2271"/>
      <c r="Y821" s="2271" t="s">
        <v>300</v>
      </c>
      <c r="Z821" s="2271"/>
      <c r="AA821" s="2271"/>
      <c r="AB821" s="2271"/>
      <c r="AC821" s="2271" t="s">
        <v>371</v>
      </c>
      <c r="AD821" s="2271"/>
      <c r="AE821" s="2271"/>
      <c r="AF821" s="2271"/>
      <c r="AG821" s="2419" t="s">
        <v>344</v>
      </c>
      <c r="AH821" s="2419"/>
      <c r="AI821" s="2419"/>
      <c r="AJ821" s="241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9"/>
      <c r="N822" s="2269"/>
      <c r="O822" s="2269"/>
      <c r="P822" s="2270"/>
      <c r="Q822" s="2271"/>
      <c r="R822" s="2271"/>
      <c r="S822" s="2271"/>
      <c r="T822" s="2271"/>
      <c r="U822" s="2271"/>
      <c r="V822" s="2271"/>
      <c r="W822" s="2271"/>
      <c r="X822" s="2271"/>
      <c r="Y822" s="2271"/>
      <c r="Z822" s="2271"/>
      <c r="AA822" s="2271"/>
      <c r="AB822" s="2271"/>
      <c r="AC822" s="2271"/>
      <c r="AD822" s="2271"/>
      <c r="AE822" s="2271"/>
      <c r="AF822" s="2271"/>
      <c r="AG822" s="2419"/>
      <c r="AH822" s="2419"/>
      <c r="AI822" s="2419"/>
      <c r="AJ822" s="241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7" t="s">
        <v>43</v>
      </c>
      <c r="D823" s="2358"/>
      <c r="E823" s="2358"/>
      <c r="F823" s="2358"/>
      <c r="G823" s="2358"/>
      <c r="H823" s="2358"/>
      <c r="I823" s="80"/>
      <c r="J823" s="80"/>
      <c r="K823" s="80"/>
      <c r="L823" s="81"/>
      <c r="M823" s="2263">
        <v>11</v>
      </c>
      <c r="N823" s="2263"/>
      <c r="O823" s="2263"/>
      <c r="P823" s="2263"/>
      <c r="Q823" s="2263">
        <v>13</v>
      </c>
      <c r="R823" s="2263"/>
      <c r="S823" s="2263"/>
      <c r="T823" s="2263"/>
      <c r="U823" s="2263">
        <v>16</v>
      </c>
      <c r="V823" s="2263"/>
      <c r="W823" s="2263"/>
      <c r="X823" s="2263"/>
      <c r="Y823" s="2263">
        <v>19</v>
      </c>
      <c r="Z823" s="2263"/>
      <c r="AA823" s="2263"/>
      <c r="AB823" s="2263"/>
      <c r="AC823" s="2260"/>
      <c r="AD823" s="2261"/>
      <c r="AE823" s="2261"/>
      <c r="AF823" s="2262"/>
      <c r="AG823" s="2260"/>
      <c r="AH823" s="2261"/>
      <c r="AI823" s="2261"/>
      <c r="AJ823" s="226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23" t="s">
        <v>44</v>
      </c>
      <c r="D824" s="2021"/>
      <c r="E824" s="2021"/>
      <c r="F824" s="2021"/>
      <c r="G824" s="2021"/>
      <c r="H824" s="2021"/>
      <c r="I824" s="77"/>
      <c r="J824" s="77"/>
      <c r="K824" s="77"/>
      <c r="L824" s="78"/>
      <c r="M824" s="2263"/>
      <c r="N824" s="2263"/>
      <c r="O824" s="2263"/>
      <c r="P824" s="2263"/>
      <c r="Q824" s="2263"/>
      <c r="R824" s="2263"/>
      <c r="S824" s="2263"/>
      <c r="T824" s="2263"/>
      <c r="U824" s="2263"/>
      <c r="V824" s="2263"/>
      <c r="W824" s="2263"/>
      <c r="X824" s="2263"/>
      <c r="Y824" s="2263"/>
      <c r="Z824" s="2263"/>
      <c r="AA824" s="2263"/>
      <c r="AB824" s="2263"/>
      <c r="AC824" s="2260"/>
      <c r="AD824" s="2261"/>
      <c r="AE824" s="2261"/>
      <c r="AF824" s="2262"/>
      <c r="AG824" s="2260"/>
      <c r="AH824" s="2261"/>
      <c r="AI824" s="2261"/>
      <c r="AJ824" s="226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23" t="s">
        <v>45</v>
      </c>
      <c r="D825" s="2021"/>
      <c r="E825" s="2021"/>
      <c r="F825" s="2021"/>
      <c r="G825" s="2021"/>
      <c r="H825" s="2021"/>
      <c r="I825" s="96"/>
      <c r="J825" s="96"/>
      <c r="K825" s="96"/>
      <c r="L825" s="97"/>
      <c r="M825" s="2263">
        <v>5</v>
      </c>
      <c r="N825" s="2263"/>
      <c r="O825" s="2263"/>
      <c r="P825" s="2263"/>
      <c r="Q825" s="2263">
        <v>6</v>
      </c>
      <c r="R825" s="2263"/>
      <c r="S825" s="2263"/>
      <c r="T825" s="2263"/>
      <c r="U825" s="2263">
        <v>9</v>
      </c>
      <c r="V825" s="2263"/>
      <c r="W825" s="2263"/>
      <c r="X825" s="2263"/>
      <c r="Y825" s="2263">
        <v>12</v>
      </c>
      <c r="Z825" s="2263"/>
      <c r="AA825" s="2263"/>
      <c r="AB825" s="2263"/>
      <c r="AC825" s="2260"/>
      <c r="AD825" s="2261"/>
      <c r="AE825" s="2261"/>
      <c r="AF825" s="2262"/>
      <c r="AG825" s="2260"/>
      <c r="AH825" s="2261"/>
      <c r="AI825" s="2261"/>
      <c r="AJ825" s="226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23" t="s">
        <v>819</v>
      </c>
      <c r="D826" s="2021"/>
      <c r="E826" s="2021"/>
      <c r="F826" s="2021"/>
      <c r="G826" s="2021"/>
      <c r="H826" s="2021"/>
      <c r="I826" s="96"/>
      <c r="J826" s="96"/>
      <c r="K826" s="96"/>
      <c r="L826" s="97"/>
      <c r="M826" s="2263"/>
      <c r="N826" s="2263"/>
      <c r="O826" s="2263"/>
      <c r="P826" s="2263"/>
      <c r="Q826" s="2263"/>
      <c r="R826" s="2263"/>
      <c r="S826" s="2263"/>
      <c r="T826" s="2263"/>
      <c r="U826" s="2263"/>
      <c r="V826" s="2263"/>
      <c r="W826" s="2263"/>
      <c r="X826" s="2263"/>
      <c r="Y826" s="2263"/>
      <c r="Z826" s="2263"/>
      <c r="AA826" s="2263"/>
      <c r="AB826" s="2263"/>
      <c r="AC826" s="2260"/>
      <c r="AD826" s="2261"/>
      <c r="AE826" s="2261"/>
      <c r="AF826" s="2262"/>
      <c r="AG826" s="2260"/>
      <c r="AH826" s="2261"/>
      <c r="AI826" s="2261"/>
      <c r="AJ826" s="226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23" t="s">
        <v>491</v>
      </c>
      <c r="D827" s="2021"/>
      <c r="E827" s="2021"/>
      <c r="F827" s="2021"/>
      <c r="G827" s="2021"/>
      <c r="H827" s="2021"/>
      <c r="I827" s="96"/>
      <c r="J827" s="96"/>
      <c r="K827" s="96"/>
      <c r="L827" s="97"/>
      <c r="M827" s="2263">
        <v>19</v>
      </c>
      <c r="N827" s="2263"/>
      <c r="O827" s="2263"/>
      <c r="P827" s="2263"/>
      <c r="Q827" s="2263">
        <v>23</v>
      </c>
      <c r="R827" s="2263"/>
      <c r="S827" s="2263"/>
      <c r="T827" s="2263"/>
      <c r="U827" s="2263">
        <v>32</v>
      </c>
      <c r="V827" s="2263"/>
      <c r="W827" s="2263"/>
      <c r="X827" s="2263"/>
      <c r="Y827" s="2263">
        <v>41</v>
      </c>
      <c r="Z827" s="2263"/>
      <c r="AA827" s="2263"/>
      <c r="AB827" s="2263"/>
      <c r="AC827" s="2260"/>
      <c r="AD827" s="2261"/>
      <c r="AE827" s="2261"/>
      <c r="AF827" s="2262"/>
      <c r="AG827" s="2260"/>
      <c r="AH827" s="2261"/>
      <c r="AI827" s="2261"/>
      <c r="AJ827" s="226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3" t="s">
        <v>840</v>
      </c>
      <c r="D828" s="2021"/>
      <c r="E828" s="2021"/>
      <c r="F828" s="2021"/>
      <c r="G828" s="2021"/>
      <c r="H828" s="2021"/>
      <c r="I828" s="96"/>
      <c r="J828" s="96"/>
      <c r="K828" s="96"/>
      <c r="L828" s="97"/>
      <c r="M828" s="2263"/>
      <c r="N828" s="2263"/>
      <c r="O828" s="2263"/>
      <c r="P828" s="2263"/>
      <c r="Q828" s="2263"/>
      <c r="R828" s="2263"/>
      <c r="S828" s="2263"/>
      <c r="T828" s="2263"/>
      <c r="U828" s="2263"/>
      <c r="V828" s="2263"/>
      <c r="W828" s="2263"/>
      <c r="X828" s="2263"/>
      <c r="Y828" s="2263"/>
      <c r="Z828" s="2263"/>
      <c r="AA828" s="2263"/>
      <c r="AB828" s="2263"/>
      <c r="AC828" s="2260"/>
      <c r="AD828" s="2261"/>
      <c r="AE828" s="2261"/>
      <c r="AF828" s="2262"/>
      <c r="AG828" s="2260"/>
      <c r="AH828" s="2261"/>
      <c r="AI828" s="2261"/>
      <c r="AJ828" s="226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6" t="s">
        <v>343</v>
      </c>
      <c r="G829" s="2301"/>
      <c r="H829" s="2301"/>
      <c r="I829" s="2301"/>
      <c r="J829" s="2301"/>
      <c r="K829" s="2301"/>
      <c r="L829" s="2302"/>
      <c r="M829" s="2263"/>
      <c r="N829" s="2263"/>
      <c r="O829" s="2263"/>
      <c r="P829" s="2263"/>
      <c r="Q829" s="2263"/>
      <c r="R829" s="2263"/>
      <c r="S829" s="2263"/>
      <c r="T829" s="2263"/>
      <c r="U829" s="2263"/>
      <c r="V829" s="2263"/>
      <c r="W829" s="2263"/>
      <c r="X829" s="2263"/>
      <c r="Y829" s="2263"/>
      <c r="Z829" s="2263"/>
      <c r="AA829" s="2263"/>
      <c r="AB829" s="2263"/>
      <c r="AC829" s="2260"/>
      <c r="AD829" s="2261"/>
      <c r="AE829" s="2261"/>
      <c r="AF829" s="2262"/>
      <c r="AG829" s="2260"/>
      <c r="AH829" s="2261"/>
      <c r="AI829" s="2261"/>
      <c r="AJ829" s="226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4" t="s">
        <v>129</v>
      </c>
      <c r="D830" s="2155"/>
      <c r="E830" s="2155"/>
      <c r="F830" s="2155"/>
      <c r="G830" s="2155"/>
      <c r="H830" s="2155"/>
      <c r="I830" s="2155"/>
      <c r="J830" s="2155"/>
      <c r="K830" s="2155"/>
      <c r="L830" s="2157"/>
      <c r="M830" s="2256">
        <f>SUM(M823:P829)</f>
        <v>35</v>
      </c>
      <c r="N830" s="2256"/>
      <c r="O830" s="2256"/>
      <c r="P830" s="2256"/>
      <c r="Q830" s="2256">
        <f>SUM(Q823:T829)</f>
        <v>42</v>
      </c>
      <c r="R830" s="2256"/>
      <c r="S830" s="2256"/>
      <c r="T830" s="2256"/>
      <c r="U830" s="2256">
        <f>SUM(U823:X829)</f>
        <v>57</v>
      </c>
      <c r="V830" s="2256"/>
      <c r="W830" s="2256"/>
      <c r="X830" s="2256"/>
      <c r="Y830" s="2256">
        <f>SUM(Y823:AB829)</f>
        <v>72</v>
      </c>
      <c r="Z830" s="2256"/>
      <c r="AA830" s="2256"/>
      <c r="AB830" s="2256"/>
      <c r="AC830" s="2256">
        <f>SUM(AC823:AF829)</f>
        <v>0</v>
      </c>
      <c r="AD830" s="2256"/>
      <c r="AE830" s="2256"/>
      <c r="AF830" s="2256"/>
      <c r="AG830" s="2256">
        <f>SUM(AG823:AJ829)</f>
        <v>0</v>
      </c>
      <c r="AH830" s="2256"/>
      <c r="AI830" s="2256"/>
      <c r="AJ830" s="225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23" t="s">
        <v>2528</v>
      </c>
      <c r="D835" s="2424"/>
      <c r="E835" s="2424"/>
      <c r="F835" s="2424"/>
      <c r="G835" s="2424"/>
      <c r="H835" s="2424"/>
      <c r="I835" s="2424"/>
      <c r="J835" s="2424"/>
      <c r="K835" s="2424"/>
      <c r="L835" s="2424"/>
      <c r="M835" s="2424"/>
      <c r="N835" s="2424"/>
      <c r="O835" s="2424"/>
      <c r="P835" s="2424"/>
      <c r="Q835" s="2424"/>
      <c r="R835" s="2424"/>
      <c r="S835" s="2424"/>
      <c r="T835" s="2424"/>
      <c r="U835" s="2424"/>
      <c r="V835" s="2424"/>
      <c r="W835" s="2424"/>
      <c r="X835" s="2424"/>
      <c r="Y835" s="2424"/>
      <c r="Z835" s="2424"/>
      <c r="AA835" s="2424"/>
      <c r="AB835" s="2424"/>
      <c r="AC835" s="2424"/>
      <c r="AD835" s="2424"/>
      <c r="AE835" s="2424"/>
      <c r="AF835" s="2424"/>
      <c r="AG835" s="2424"/>
      <c r="AH835" s="2424"/>
      <c r="AI835" s="2424"/>
      <c r="AJ835" s="242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29">
        <v>4200</v>
      </c>
      <c r="X840" s="2129"/>
      <c r="Y840" s="2129"/>
      <c r="Z840" s="2129"/>
      <c r="AA840" s="2129"/>
      <c r="AB840" s="2129"/>
      <c r="AC840" s="212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29"/>
      <c r="X841" s="2129"/>
      <c r="Y841" s="2129"/>
      <c r="Z841" s="2129"/>
      <c r="AA841" s="2129"/>
      <c r="AB841" s="2129"/>
      <c r="AC841" s="212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29">
        <v>10500</v>
      </c>
      <c r="X842" s="2129"/>
      <c r="Y842" s="2129"/>
      <c r="Z842" s="2129"/>
      <c r="AA842" s="2129"/>
      <c r="AB842" s="2129"/>
      <c r="AC842" s="212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29">
        <v>8400</v>
      </c>
      <c r="X843" s="2129"/>
      <c r="Y843" s="2129"/>
      <c r="Z843" s="2129"/>
      <c r="AA843" s="2129"/>
      <c r="AB843" s="2129"/>
      <c r="AC843" s="212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0" t="s">
        <v>2530</v>
      </c>
      <c r="N844" s="2301"/>
      <c r="O844" s="2301"/>
      <c r="P844" s="2301"/>
      <c r="Q844" s="2301"/>
      <c r="R844" s="2301"/>
      <c r="S844" s="2301"/>
      <c r="T844" s="2301"/>
      <c r="U844" s="2301"/>
      <c r="V844" s="2302"/>
      <c r="W844" s="2129">
        <v>49050</v>
      </c>
      <c r="X844" s="2129"/>
      <c r="Y844" s="2129"/>
      <c r="Z844" s="2129"/>
      <c r="AA844" s="2129"/>
      <c r="AB844" s="2129"/>
      <c r="AC844" s="212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2">
        <f>ROUNDDOWN(BC932*2,2)</f>
        <v>0</v>
      </c>
      <c r="BJ844" s="2392"/>
      <c r="BK844" s="2392"/>
      <c r="BL844" s="2392"/>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1">
        <f>SUM(W840:AC844)</f>
        <v>72150</v>
      </c>
      <c r="X845" s="2132"/>
      <c r="Y845" s="2132"/>
      <c r="Z845" s="2132"/>
      <c r="AA845" s="2132"/>
      <c r="AB845" s="2132"/>
      <c r="AC845" s="213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54" t="s">
        <v>355</v>
      </c>
      <c r="K847" s="2155"/>
      <c r="L847" s="2155"/>
      <c r="M847" s="2155"/>
      <c r="N847" s="2155"/>
      <c r="O847" s="2155"/>
      <c r="P847" s="2155"/>
      <c r="Q847" s="2155"/>
      <c r="R847" s="2155"/>
      <c r="S847" s="2155"/>
      <c r="T847" s="2155"/>
      <c r="U847" s="2155"/>
      <c r="V847" s="2157"/>
      <c r="W847" s="2149">
        <v>115126</v>
      </c>
      <c r="X847" s="2121"/>
      <c r="Y847" s="2121"/>
      <c r="Z847" s="2121"/>
      <c r="AA847" s="2121"/>
      <c r="AB847" s="2121"/>
      <c r="AC847" s="2122"/>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98">
        <v>208380</v>
      </c>
      <c r="X849" s="2298"/>
      <c r="Y849" s="2298"/>
      <c r="Z849" s="2298"/>
      <c r="AA849" s="2298"/>
      <c r="AB849" s="2298"/>
      <c r="AC849" s="229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8"/>
      <c r="X850" s="2298"/>
      <c r="Y850" s="2298"/>
      <c r="Z850" s="2298"/>
      <c r="AA850" s="2298"/>
      <c r="AB850" s="2298"/>
      <c r="AC850" s="229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98"/>
      <c r="X851" s="2298"/>
      <c r="Y851" s="2298"/>
      <c r="Z851" s="2298"/>
      <c r="AA851" s="2298"/>
      <c r="AB851" s="2298"/>
      <c r="AC851" s="229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9"/>
      <c r="BH851" s="2339"/>
      <c r="BI851" s="2339"/>
      <c r="BJ851" s="2339"/>
      <c r="BK851" s="2339"/>
      <c r="BL851" s="2339"/>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98"/>
      <c r="X852" s="2298"/>
      <c r="Y852" s="2298"/>
      <c r="Z852" s="2298"/>
      <c r="AA852" s="2298"/>
      <c r="AB852" s="2298"/>
      <c r="AC852" s="229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4">
        <f>SUM(W849:AC852)</f>
        <v>208380</v>
      </c>
      <c r="X853" s="2304"/>
      <c r="Y853" s="2304"/>
      <c r="Z853" s="2304"/>
      <c r="AA853" s="2304"/>
      <c r="AB853" s="2304"/>
      <c r="AC853" s="230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9">
        <f>SUM(AZ821:AZ849)</f>
        <v>7.5000000000000011E-2</v>
      </c>
      <c r="BA854" s="2299"/>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34">
        <v>280029</v>
      </c>
      <c r="X855" s="2135"/>
      <c r="Y855" s="2135"/>
      <c r="Z855" s="2135"/>
      <c r="AA855" s="2135"/>
      <c r="AB855" s="2135"/>
      <c r="AC855" s="2136"/>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09">
        <v>2</v>
      </c>
      <c r="U856" s="2182"/>
      <c r="V856" s="2310"/>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34"/>
      <c r="X857" s="2135"/>
      <c r="Y857" s="2135"/>
      <c r="Z857" s="2135"/>
      <c r="AA857" s="2135"/>
      <c r="AB857" s="2135"/>
      <c r="AC857" s="2136"/>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09">
        <v>1.5</v>
      </c>
      <c r="U858" s="2182"/>
      <c r="V858" s="2310"/>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6" t="s">
        <v>343</v>
      </c>
      <c r="N859" s="2301"/>
      <c r="O859" s="2301"/>
      <c r="P859" s="2301"/>
      <c r="Q859" s="2301"/>
      <c r="R859" s="2301"/>
      <c r="S859" s="2301"/>
      <c r="T859" s="2301"/>
      <c r="U859" s="2301"/>
      <c r="V859" s="2302"/>
      <c r="W859" s="2134"/>
      <c r="X859" s="2135"/>
      <c r="Y859" s="2135"/>
      <c r="Z859" s="2135"/>
      <c r="AA859" s="2135"/>
      <c r="AB859" s="2135"/>
      <c r="AC859" s="2136"/>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0">
        <f>SUM(W855:AC859)</f>
        <v>280029</v>
      </c>
      <c r="X860" s="2421"/>
      <c r="Y860" s="2421"/>
      <c r="Z860" s="2421"/>
      <c r="AA860" s="2421"/>
      <c r="AB860" s="2421"/>
      <c r="AC860" s="2422"/>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34">
        <v>55870</v>
      </c>
      <c r="X861" s="2135"/>
      <c r="Y861" s="2135"/>
      <c r="Z861" s="2135"/>
      <c r="AA861" s="2135"/>
      <c r="AB861" s="2135"/>
      <c r="AC861" s="213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129">
        <v>15750</v>
      </c>
      <c r="X863" s="2129"/>
      <c r="Y863" s="2129"/>
      <c r="Z863" s="2129"/>
      <c r="AA863" s="2129"/>
      <c r="AB863" s="2129"/>
      <c r="AC863" s="2129"/>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29">
        <v>80700</v>
      </c>
      <c r="X864" s="2129"/>
      <c r="Y864" s="2129"/>
      <c r="Z864" s="2129"/>
      <c r="AA864" s="2129"/>
      <c r="AB864" s="2129"/>
      <c r="AC864" s="2129"/>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29"/>
      <c r="X865" s="2129"/>
      <c r="Y865" s="2129"/>
      <c r="Z865" s="2129"/>
      <c r="AA865" s="2129"/>
      <c r="AB865" s="2129"/>
      <c r="AC865" s="2129"/>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29"/>
      <c r="X866" s="2129"/>
      <c r="Y866" s="2129"/>
      <c r="Z866" s="2129"/>
      <c r="AA866" s="2129"/>
      <c r="AB866" s="2129"/>
      <c r="AC866" s="2129"/>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29">
        <v>6750</v>
      </c>
      <c r="X867" s="2129"/>
      <c r="Y867" s="2129"/>
      <c r="Z867" s="2129"/>
      <c r="AA867" s="2129"/>
      <c r="AB867" s="2129"/>
      <c r="AC867" s="212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29"/>
      <c r="X868" s="2129"/>
      <c r="Y868" s="2129"/>
      <c r="Z868" s="2129"/>
      <c r="AA868" s="2129"/>
      <c r="AB868" s="2129"/>
      <c r="AC868" s="212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6" t="s">
        <v>343</v>
      </c>
      <c r="N869" s="2301"/>
      <c r="O869" s="2301"/>
      <c r="P869" s="2301"/>
      <c r="Q869" s="2301"/>
      <c r="R869" s="2301"/>
      <c r="S869" s="2301"/>
      <c r="T869" s="2301"/>
      <c r="U869" s="2301"/>
      <c r="V869" s="2302"/>
      <c r="W869" s="2129"/>
      <c r="X869" s="2129"/>
      <c r="Y869" s="2129"/>
      <c r="Z869" s="2129"/>
      <c r="AA869" s="2129"/>
      <c r="AB869" s="2129"/>
      <c r="AC869" s="2129"/>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0">
        <f>SUM(W863:AC869)</f>
        <v>103200</v>
      </c>
      <c r="X870" s="2130"/>
      <c r="Y870" s="2130"/>
      <c r="Z870" s="2130"/>
      <c r="AA870" s="2130"/>
      <c r="AB870" s="2130"/>
      <c r="AC870" s="213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00"/>
      <c r="N872" s="2301"/>
      <c r="O872" s="2301"/>
      <c r="P872" s="2301"/>
      <c r="Q872" s="2301"/>
      <c r="R872" s="2301"/>
      <c r="S872" s="2301"/>
      <c r="T872" s="2301"/>
      <c r="U872" s="2301"/>
      <c r="V872" s="2302"/>
      <c r="W872" s="2149"/>
      <c r="X872" s="2121"/>
      <c r="Y872" s="2121"/>
      <c r="Z872" s="2121"/>
      <c r="AA872" s="2121"/>
      <c r="AB872" s="2121"/>
      <c r="AC872" s="2122"/>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00" t="s">
        <v>2531</v>
      </c>
      <c r="N873" s="2301"/>
      <c r="O873" s="2301"/>
      <c r="P873" s="2301"/>
      <c r="Q873" s="2301"/>
      <c r="R873" s="2301"/>
      <c r="S873" s="2301"/>
      <c r="T873" s="2301"/>
      <c r="U873" s="2301"/>
      <c r="V873" s="2302"/>
      <c r="W873" s="2149">
        <v>3750</v>
      </c>
      <c r="X873" s="2121"/>
      <c r="Y873" s="2121"/>
      <c r="Z873" s="2121"/>
      <c r="AA873" s="2121"/>
      <c r="AB873" s="2121"/>
      <c r="AC873" s="2122"/>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0" t="s">
        <v>2532</v>
      </c>
      <c r="N874" s="2301"/>
      <c r="O874" s="2301"/>
      <c r="P874" s="2301"/>
      <c r="Q874" s="2301"/>
      <c r="R874" s="2301"/>
      <c r="S874" s="2301"/>
      <c r="T874" s="2301"/>
      <c r="U874" s="2301"/>
      <c r="V874" s="2302"/>
      <c r="W874" s="2149">
        <v>15000</v>
      </c>
      <c r="X874" s="2121"/>
      <c r="Y874" s="2121"/>
      <c r="Z874" s="2121"/>
      <c r="AA874" s="2121"/>
      <c r="AB874" s="2121"/>
      <c r="AC874" s="212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6" t="s">
        <v>343</v>
      </c>
      <c r="N875" s="2301"/>
      <c r="O875" s="2301"/>
      <c r="P875" s="2301"/>
      <c r="Q875" s="2301"/>
      <c r="R875" s="2301"/>
      <c r="S875" s="2301"/>
      <c r="T875" s="2301"/>
      <c r="U875" s="2301"/>
      <c r="V875" s="2302"/>
      <c r="W875" s="2149"/>
      <c r="X875" s="2121"/>
      <c r="Y875" s="2121"/>
      <c r="Z875" s="2121"/>
      <c r="AA875" s="2121"/>
      <c r="AB875" s="2121"/>
      <c r="AC875" s="212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6" t="s">
        <v>343</v>
      </c>
      <c r="N876" s="2301"/>
      <c r="O876" s="2301"/>
      <c r="P876" s="2301"/>
      <c r="Q876" s="2301"/>
      <c r="R876" s="2301"/>
      <c r="S876" s="2301"/>
      <c r="T876" s="2301"/>
      <c r="U876" s="2301"/>
      <c r="V876" s="2302"/>
      <c r="W876" s="2149"/>
      <c r="X876" s="2121"/>
      <c r="Y876" s="2121"/>
      <c r="Z876" s="2121"/>
      <c r="AA876" s="2121"/>
      <c r="AB876" s="2121"/>
      <c r="AC876" s="212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1">
        <f>SUM(W872:AC876)</f>
        <v>18750</v>
      </c>
      <c r="X877" s="2132"/>
      <c r="Y877" s="2132"/>
      <c r="Z877" s="2132"/>
      <c r="AA877" s="2132"/>
      <c r="AB877" s="2132"/>
      <c r="AC877" s="213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2">
        <f>W845+W853+W860+W861+W870+W877+W847</f>
        <v>853505</v>
      </c>
      <c r="AD881" s="2132"/>
      <c r="AE881" s="2132"/>
      <c r="AF881" s="2132"/>
      <c r="AG881" s="2132"/>
      <c r="AH881" s="213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32">
        <f>O796+O776+G753</f>
        <v>151</v>
      </c>
      <c r="AD882" s="2332"/>
      <c r="AE882" s="2332"/>
      <c r="AF882" s="2332"/>
      <c r="AG882" s="2332"/>
      <c r="AH882" s="233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37" t="s">
        <v>33</v>
      </c>
      <c r="F883" s="2337"/>
      <c r="G883" s="2337"/>
      <c r="H883" s="2337"/>
      <c r="I883" s="2337"/>
      <c r="J883" s="2337"/>
      <c r="K883" s="2337"/>
      <c r="L883" s="2337"/>
      <c r="M883" s="2337"/>
      <c r="N883" s="2337"/>
      <c r="O883" s="2337"/>
      <c r="P883" s="2337"/>
      <c r="Q883" s="2337"/>
      <c r="R883" s="2337"/>
      <c r="S883" s="2337"/>
      <c r="T883" s="2337"/>
      <c r="U883" s="2337"/>
      <c r="V883" s="2337"/>
      <c r="W883" s="2337"/>
      <c r="X883" s="2337"/>
      <c r="Y883" s="2337"/>
      <c r="Z883" s="2337"/>
      <c r="AA883" s="2337"/>
      <c r="AB883" s="2338"/>
      <c r="AC883" s="2130">
        <f>IF(ISERROR((ROUNDDOWN(AC881/AC882,0))),0,(ROUNDDOWN(AC881/AC882,0)))</f>
        <v>5652</v>
      </c>
      <c r="AD883" s="2130"/>
      <c r="AE883" s="2130"/>
      <c r="AF883" s="2130"/>
      <c r="AG883" s="2130"/>
      <c r="AH883" s="213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317">
        <v>655535</v>
      </c>
      <c r="AD884" s="2318"/>
      <c r="AE884" s="2318"/>
      <c r="AF884" s="2318"/>
      <c r="AG884" s="2318"/>
      <c r="AH884" s="231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122"/>
      <c r="AD885" s="2129"/>
      <c r="AE885" s="2129"/>
      <c r="AF885" s="2129"/>
      <c r="AG885" s="2129"/>
      <c r="AH885" s="212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121">
        <v>18000</v>
      </c>
      <c r="AD886" s="2121"/>
      <c r="AE886" s="2121"/>
      <c r="AF886" s="2121"/>
      <c r="AG886" s="2121"/>
      <c r="AH886" s="212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121">
        <v>45300</v>
      </c>
      <c r="AD887" s="2121"/>
      <c r="AE887" s="2121"/>
      <c r="AF887" s="2121"/>
      <c r="AG887" s="2121"/>
      <c r="AH887" s="212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260"/>
      <c r="AD888" s="2261"/>
      <c r="AE888" s="2261"/>
      <c r="AF888" s="2261"/>
      <c r="AG888" s="2261"/>
      <c r="AH888" s="226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121"/>
      <c r="AD889" s="2121"/>
      <c r="AE889" s="2121"/>
      <c r="AF889" s="2121"/>
      <c r="AG889" s="2121"/>
      <c r="AH889" s="212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121"/>
      <c r="AD890" s="2121"/>
      <c r="AE890" s="2121"/>
      <c r="AF890" s="2121"/>
      <c r="AG890" s="2121"/>
      <c r="AH890" s="212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3" t="s">
        <v>1034</v>
      </c>
      <c r="D891" s="2124"/>
      <c r="E891" s="2124"/>
      <c r="F891" s="2124"/>
      <c r="G891" s="2124"/>
      <c r="H891" s="2124"/>
      <c r="I891" s="2124"/>
      <c r="J891" s="2124"/>
      <c r="K891" s="2124"/>
      <c r="L891" s="2124"/>
      <c r="M891" s="2124"/>
      <c r="N891" s="2124"/>
      <c r="O891" s="2124"/>
      <c r="P891" s="2124"/>
      <c r="Q891" s="2124"/>
      <c r="R891" s="2124"/>
      <c r="S891" s="2124"/>
      <c r="T891" s="2124"/>
      <c r="U891" s="2124"/>
      <c r="V891" s="2124"/>
      <c r="W891" s="2124"/>
      <c r="X891" s="2124"/>
      <c r="Y891" s="2124"/>
      <c r="Z891" s="2124"/>
      <c r="AA891" s="2124"/>
      <c r="AB891" s="2125"/>
      <c r="AC891" s="2129"/>
      <c r="AD891" s="2129"/>
      <c r="AE891" s="2129"/>
      <c r="AF891" s="2129"/>
      <c r="AG891" s="2129"/>
      <c r="AH891" s="212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3" t="s">
        <v>1034</v>
      </c>
      <c r="D892" s="2124"/>
      <c r="E892" s="2124"/>
      <c r="F892" s="2124"/>
      <c r="G892" s="2124"/>
      <c r="H892" s="2124"/>
      <c r="I892" s="2124"/>
      <c r="J892" s="2124"/>
      <c r="K892" s="2124"/>
      <c r="L892" s="2124"/>
      <c r="M892" s="2124"/>
      <c r="N892" s="2124"/>
      <c r="O892" s="2124"/>
      <c r="P892" s="2124"/>
      <c r="Q892" s="2124"/>
      <c r="R892" s="2124"/>
      <c r="S892" s="2124"/>
      <c r="T892" s="2124"/>
      <c r="U892" s="2124"/>
      <c r="V892" s="2124"/>
      <c r="W892" s="2124"/>
      <c r="X892" s="2124"/>
      <c r="Y892" s="2124"/>
      <c r="Z892" s="2124"/>
      <c r="AA892" s="2124"/>
      <c r="AB892" s="2125"/>
      <c r="AC892" s="2129"/>
      <c r="AD892" s="2129"/>
      <c r="AE892" s="2129"/>
      <c r="AF892" s="2129"/>
      <c r="AG892" s="2129"/>
      <c r="AH892" s="212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149"/>
      <c r="AA896" s="2121"/>
      <c r="AB896" s="2121"/>
      <c r="AC896" s="2121"/>
      <c r="AD896" s="2121"/>
      <c r="AE896" s="2122"/>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149"/>
      <c r="AA897" s="2121"/>
      <c r="AB897" s="2121"/>
      <c r="AC897" s="2121"/>
      <c r="AD897" s="2121"/>
      <c r="AE897" s="212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149"/>
      <c r="AA898" s="2121"/>
      <c r="AB898" s="2121"/>
      <c r="AC898" s="2121"/>
      <c r="AD898" s="2121"/>
      <c r="AE898" s="212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1">
        <f>Z896-(Z897+Z898)</f>
        <v>0</v>
      </c>
      <c r="AA899" s="2132"/>
      <c r="AB899" s="2132"/>
      <c r="AC899" s="2132"/>
      <c r="AD899" s="2132"/>
      <c r="AE899" s="2133"/>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06"/>
      <c r="BE901" s="2306"/>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08"/>
      <c r="BE902" s="2308"/>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07"/>
      <c r="BE903" s="2307"/>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07"/>
      <c r="BE904" s="2307"/>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07"/>
      <c r="BE905" s="2307"/>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06"/>
      <c r="BE906" s="2307"/>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48" t="s">
        <v>101</v>
      </c>
      <c r="B907" s="2048"/>
      <c r="C907" s="2048"/>
      <c r="D907" s="2048"/>
      <c r="E907" s="2048"/>
      <c r="F907" s="2048"/>
      <c r="G907" s="2048"/>
      <c r="H907" s="2048"/>
      <c r="I907" s="2048"/>
      <c r="J907" s="2048"/>
      <c r="K907" s="2048"/>
      <c r="L907" s="2048"/>
      <c r="M907" s="2048"/>
      <c r="N907" s="2048"/>
      <c r="O907" s="2048"/>
      <c r="P907" s="2048"/>
      <c r="Q907" s="2048"/>
      <c r="R907" s="2048"/>
      <c r="S907" s="2048"/>
      <c r="T907" s="2048"/>
      <c r="U907" s="2048"/>
      <c r="V907" s="2048"/>
      <c r="W907" s="2048"/>
      <c r="X907" s="2048"/>
      <c r="Y907" s="2048"/>
      <c r="Z907" s="2048"/>
      <c r="AA907" s="2048"/>
      <c r="AB907" s="2048"/>
      <c r="AC907" s="2048"/>
      <c r="AD907" s="2048"/>
      <c r="AE907" s="2048"/>
      <c r="AF907" s="2048"/>
      <c r="AG907" s="2048"/>
      <c r="AH907" s="2048"/>
      <c r="AI907" s="2048"/>
      <c r="AJ907" s="2048"/>
      <c r="AK907" s="2048"/>
      <c r="AL907" s="2048"/>
      <c r="AM907" s="144"/>
      <c r="AN907" s="144"/>
      <c r="AO907" s="144"/>
      <c r="AP907" s="144"/>
      <c r="AQ907" s="144"/>
      <c r="AR907" s="144"/>
      <c r="AS907" s="144"/>
      <c r="AT907" s="144"/>
      <c r="AU907" s="144"/>
      <c r="AV907" s="144"/>
      <c r="AW907" s="144"/>
      <c r="AX907" s="144"/>
      <c r="AY907" s="144"/>
      <c r="AZ907" s="61"/>
      <c r="BA907" s="25"/>
      <c r="BB907" s="127"/>
      <c r="BC907" s="1607"/>
      <c r="BD907" s="2305"/>
      <c r="BE907" s="2305"/>
      <c r="BF907" s="2305"/>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49"/>
      <c r="B908" s="2049"/>
      <c r="C908" s="2049"/>
      <c r="D908" s="2049"/>
      <c r="E908" s="2049"/>
      <c r="F908" s="2049"/>
      <c r="G908" s="2049"/>
      <c r="H908" s="2049"/>
      <c r="I908" s="2049"/>
      <c r="J908" s="2049"/>
      <c r="K908" s="2049"/>
      <c r="L908" s="2049"/>
      <c r="M908" s="2049"/>
      <c r="N908" s="2049"/>
      <c r="O908" s="2049"/>
      <c r="P908" s="2049"/>
      <c r="Q908" s="2049"/>
      <c r="R908" s="2049"/>
      <c r="S908" s="2049"/>
      <c r="T908" s="2049"/>
      <c r="U908" s="2049"/>
      <c r="V908" s="2049"/>
      <c r="W908" s="2049"/>
      <c r="X908" s="2049"/>
      <c r="Y908" s="2049"/>
      <c r="Z908" s="2049"/>
      <c r="AA908" s="2049"/>
      <c r="AB908" s="2049"/>
      <c r="AC908" s="2049"/>
      <c r="AD908" s="2049"/>
      <c r="AE908" s="2049"/>
      <c r="AF908" s="2049"/>
      <c r="AG908" s="2049"/>
      <c r="AH908" s="2049"/>
      <c r="AI908" s="2049"/>
      <c r="AJ908" s="2049"/>
      <c r="AK908" s="2049"/>
      <c r="AL908" s="2049"/>
      <c r="AM908" s="144"/>
      <c r="AN908" s="144"/>
      <c r="AO908" s="144"/>
      <c r="AP908" s="144"/>
      <c r="AQ908" s="144"/>
      <c r="AR908" s="144"/>
      <c r="AS908" s="144"/>
      <c r="AT908" s="144"/>
      <c r="AU908" s="144"/>
      <c r="AV908" s="144"/>
      <c r="AW908" s="144"/>
      <c r="AX908" s="144"/>
      <c r="AY908" s="144"/>
      <c r="AZ908" s="61"/>
      <c r="BA908" s="25"/>
      <c r="BB908" s="127"/>
      <c r="BC908" s="1607"/>
      <c r="BD908" s="2297"/>
      <c r="BE908" s="2297"/>
      <c r="BF908" s="2297"/>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07"/>
      <c r="BE909" s="2307"/>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06"/>
      <c r="BE910" s="2307"/>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52" t="s">
        <v>849</v>
      </c>
      <c r="G912" s="2353"/>
      <c r="H912" s="2353"/>
      <c r="I912" s="2353"/>
      <c r="J912" s="2353"/>
      <c r="K912" s="2353"/>
      <c r="L912" s="2353"/>
      <c r="M912" s="2353"/>
      <c r="N912" s="2353"/>
      <c r="O912" s="2353"/>
      <c r="P912" s="2353"/>
      <c r="Q912" s="2353"/>
      <c r="R912" s="2353"/>
      <c r="S912" s="2353"/>
      <c r="T912" s="2354"/>
      <c r="U912" s="2343" t="s">
        <v>32</v>
      </c>
      <c r="V912" s="2174"/>
      <c r="W912" s="2174"/>
      <c r="X912" s="2174"/>
      <c r="Y912" s="2174"/>
      <c r="Z912" s="2174"/>
      <c r="AA912" s="73"/>
      <c r="AB912" s="161"/>
      <c r="AC912" s="161"/>
      <c r="AD912" s="161"/>
      <c r="AE912" s="161"/>
      <c r="AF912" s="162"/>
      <c r="AZ912" s="61"/>
      <c r="BA912" s="1606"/>
      <c r="BB912" s="127"/>
      <c r="BC912" s="127"/>
      <c r="BD912" s="2306"/>
      <c r="BE912" s="2307"/>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320" t="s">
        <v>878</v>
      </c>
      <c r="G913" s="2321"/>
      <c r="H913" s="2321"/>
      <c r="I913" s="2321"/>
      <c r="J913" s="2321"/>
      <c r="K913" s="2321"/>
      <c r="L913" s="2321"/>
      <c r="M913" s="2321"/>
      <c r="N913" s="2321"/>
      <c r="O913" s="2321"/>
      <c r="P913" s="2321"/>
      <c r="Q913" s="2321"/>
      <c r="R913" s="2321"/>
      <c r="S913" s="2321"/>
      <c r="T913" s="2322"/>
      <c r="U913" s="2320"/>
      <c r="V913" s="2321"/>
      <c r="W913" s="2321"/>
      <c r="X913" s="2321"/>
      <c r="Y913" s="2321"/>
      <c r="Z913" s="2321"/>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323"/>
      <c r="G914" s="2324"/>
      <c r="H914" s="2324"/>
      <c r="I914" s="2324"/>
      <c r="J914" s="2324"/>
      <c r="K914" s="2324"/>
      <c r="L914" s="2324"/>
      <c r="M914" s="2324"/>
      <c r="N914" s="2324"/>
      <c r="O914" s="2324"/>
      <c r="P914" s="2324"/>
      <c r="Q914" s="2324"/>
      <c r="R914" s="2324"/>
      <c r="S914" s="2324"/>
      <c r="T914" s="2325"/>
      <c r="U914" s="2323"/>
      <c r="V914" s="2324"/>
      <c r="W914" s="2324"/>
      <c r="X914" s="2324"/>
      <c r="Y914" s="2324"/>
      <c r="Z914" s="2324"/>
      <c r="AA914" s="164"/>
      <c r="AB914" s="2327" t="s">
        <v>410</v>
      </c>
      <c r="AC914" s="2327"/>
      <c r="AD914" s="2327"/>
      <c r="AE914" s="2327"/>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11" t="s">
        <v>577</v>
      </c>
      <c r="V915" s="2044"/>
      <c r="W915" s="2044"/>
      <c r="X915" s="2044"/>
      <c r="Y915" s="2044"/>
      <c r="Z915" s="2045"/>
      <c r="AA915" s="2312">
        <v>35400000</v>
      </c>
      <c r="AB915" s="2096"/>
      <c r="AC915" s="2096"/>
      <c r="AD915" s="2096"/>
      <c r="AE915" s="2096"/>
      <c r="AF915" s="231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11" t="s">
        <v>577</v>
      </c>
      <c r="V916" s="2044"/>
      <c r="W916" s="2044"/>
      <c r="X916" s="2044"/>
      <c r="Y916" s="2044"/>
      <c r="Z916" s="2045"/>
      <c r="AA916" s="2312">
        <v>19200000</v>
      </c>
      <c r="AB916" s="2096"/>
      <c r="AC916" s="2096"/>
      <c r="AD916" s="2096"/>
      <c r="AE916" s="2096"/>
      <c r="AF916" s="231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11" t="s">
        <v>625</v>
      </c>
      <c r="V917" s="2044"/>
      <c r="W917" s="2044"/>
      <c r="X917" s="2044"/>
      <c r="Y917" s="2044"/>
      <c r="Z917" s="2045"/>
      <c r="AA917" s="2312"/>
      <c r="AB917" s="2096"/>
      <c r="AC917" s="2096"/>
      <c r="AD917" s="2096"/>
      <c r="AE917" s="2096"/>
      <c r="AF917" s="231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11" t="s">
        <v>625</v>
      </c>
      <c r="V918" s="2044"/>
      <c r="W918" s="2044"/>
      <c r="X918" s="2044"/>
      <c r="Y918" s="2044"/>
      <c r="Z918" s="2045"/>
      <c r="AA918" s="2312"/>
      <c r="AB918" s="2096"/>
      <c r="AC918" s="2096"/>
      <c r="AD918" s="2096"/>
      <c r="AE918" s="2096"/>
      <c r="AF918" s="231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11" t="s">
        <v>625</v>
      </c>
      <c r="V919" s="2044"/>
      <c r="W919" s="2044"/>
      <c r="X919" s="2044"/>
      <c r="Y919" s="2044"/>
      <c r="Z919" s="2045"/>
      <c r="AA919" s="2312"/>
      <c r="AB919" s="2096"/>
      <c r="AC919" s="2096"/>
      <c r="AD919" s="2096"/>
      <c r="AE919" s="2096"/>
      <c r="AF919" s="231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11" t="s">
        <v>625</v>
      </c>
      <c r="V920" s="2044"/>
      <c r="W920" s="2044"/>
      <c r="X920" s="2044"/>
      <c r="Y920" s="2044"/>
      <c r="Z920" s="2045"/>
      <c r="AA920" s="2312"/>
      <c r="AB920" s="2096"/>
      <c r="AC920" s="2096"/>
      <c r="AD920" s="2096"/>
      <c r="AE920" s="2096"/>
      <c r="AF920" s="231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11" t="s">
        <v>625</v>
      </c>
      <c r="V921" s="2044"/>
      <c r="W921" s="2044"/>
      <c r="X921" s="2044"/>
      <c r="Y921" s="2044"/>
      <c r="Z921" s="2045"/>
      <c r="AA921" s="2312"/>
      <c r="AB921" s="2096"/>
      <c r="AC921" s="2096"/>
      <c r="AD921" s="2096"/>
      <c r="AE921" s="2096"/>
      <c r="AF921" s="231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11" t="s">
        <v>625</v>
      </c>
      <c r="V922" s="2044"/>
      <c r="W922" s="2044"/>
      <c r="X922" s="2044"/>
      <c r="Y922" s="2044"/>
      <c r="Z922" s="2045"/>
      <c r="AA922" s="2312"/>
      <c r="AB922" s="2096"/>
      <c r="AC922" s="2096"/>
      <c r="AD922" s="2096"/>
      <c r="AE922" s="2096"/>
      <c r="AF922" s="231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11" t="s">
        <v>625</v>
      </c>
      <c r="V923" s="2044"/>
      <c r="W923" s="2044"/>
      <c r="X923" s="2044"/>
      <c r="Y923" s="2044"/>
      <c r="Z923" s="2045"/>
      <c r="AA923" s="2312"/>
      <c r="AB923" s="2096"/>
      <c r="AC923" s="2096"/>
      <c r="AD923" s="2096"/>
      <c r="AE923" s="2096"/>
      <c r="AF923" s="231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11" t="s">
        <v>625</v>
      </c>
      <c r="V924" s="2044"/>
      <c r="W924" s="2044"/>
      <c r="X924" s="2044"/>
      <c r="Y924" s="2044"/>
      <c r="Z924" s="2045"/>
      <c r="AA924" s="2312"/>
      <c r="AB924" s="2096"/>
      <c r="AC924" s="2096"/>
      <c r="AD924" s="2096"/>
      <c r="AE924" s="2096"/>
      <c r="AF924" s="231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1" t="s">
        <v>625</v>
      </c>
      <c r="V925" s="2044"/>
      <c r="W925" s="2044"/>
      <c r="X925" s="2044"/>
      <c r="Y925" s="2044"/>
      <c r="Z925" s="2045"/>
      <c r="AA925" s="2312"/>
      <c r="AB925" s="2096"/>
      <c r="AC925" s="2096"/>
      <c r="AD925" s="2096"/>
      <c r="AE925" s="2096"/>
      <c r="AF925" s="231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11" t="s">
        <v>625</v>
      </c>
      <c r="V926" s="2044"/>
      <c r="W926" s="2044"/>
      <c r="X926" s="2044"/>
      <c r="Y926" s="2044"/>
      <c r="Z926" s="2045"/>
      <c r="AA926" s="2312"/>
      <c r="AB926" s="2096"/>
      <c r="AC926" s="2096"/>
      <c r="AD926" s="2096"/>
      <c r="AE926" s="2096"/>
      <c r="AF926" s="231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11" t="s">
        <v>625</v>
      </c>
      <c r="V927" s="2044"/>
      <c r="W927" s="2044"/>
      <c r="X927" s="2044"/>
      <c r="Y927" s="2044"/>
      <c r="Z927" s="2045"/>
      <c r="AA927" s="2312"/>
      <c r="AB927" s="2096"/>
      <c r="AC927" s="2096"/>
      <c r="AD927" s="2096"/>
      <c r="AE927" s="2096"/>
      <c r="AF927" s="231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11" t="s">
        <v>625</v>
      </c>
      <c r="V928" s="2044"/>
      <c r="W928" s="2044"/>
      <c r="X928" s="2044"/>
      <c r="Y928" s="2044"/>
      <c r="Z928" s="2045"/>
      <c r="AA928" s="2312"/>
      <c r="AB928" s="2096"/>
      <c r="AC928" s="2096"/>
      <c r="AD928" s="2096"/>
      <c r="AE928" s="2096"/>
      <c r="AF928" s="231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11" t="s">
        <v>625</v>
      </c>
      <c r="V929" s="2044"/>
      <c r="W929" s="2044"/>
      <c r="X929" s="2044"/>
      <c r="Y929" s="2044"/>
      <c r="Z929" s="2045"/>
      <c r="AA929" s="2312"/>
      <c r="AB929" s="2096"/>
      <c r="AC929" s="2096"/>
      <c r="AD929" s="2096"/>
      <c r="AE929" s="2096"/>
      <c r="AF929" s="231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11" t="s">
        <v>705</v>
      </c>
      <c r="Q930" s="2044"/>
      <c r="R930" s="2044"/>
      <c r="S930" s="2044"/>
      <c r="T930" s="2045"/>
      <c r="U930" s="2311" t="s">
        <v>625</v>
      </c>
      <c r="V930" s="2044"/>
      <c r="W930" s="2044"/>
      <c r="X930" s="2044"/>
      <c r="Y930" s="2044"/>
      <c r="Z930" s="2045"/>
      <c r="AA930" s="2312"/>
      <c r="AB930" s="2096"/>
      <c r="AC930" s="2096"/>
      <c r="AD930" s="2096"/>
      <c r="AE930" s="2096"/>
      <c r="AF930" s="231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92" t="s">
        <v>343</v>
      </c>
      <c r="J931" s="2350"/>
      <c r="K931" s="2350"/>
      <c r="L931" s="2350"/>
      <c r="M931" s="2350"/>
      <c r="N931" s="2350"/>
      <c r="O931" s="2350"/>
      <c r="P931" s="2350"/>
      <c r="Q931" s="2350"/>
      <c r="R931" s="2350"/>
      <c r="S931" s="2350"/>
      <c r="T931" s="2351"/>
      <c r="U931" s="2311" t="s">
        <v>625</v>
      </c>
      <c r="V931" s="2044"/>
      <c r="W931" s="2044"/>
      <c r="X931" s="2044"/>
      <c r="Y931" s="2044"/>
      <c r="Z931" s="2045"/>
      <c r="AA931" s="2312"/>
      <c r="AB931" s="2096"/>
      <c r="AC931" s="2096"/>
      <c r="AD931" s="2096"/>
      <c r="AE931" s="2096"/>
      <c r="AF931" s="231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2" t="s">
        <v>2525</v>
      </c>
      <c r="J932" s="2293"/>
      <c r="K932" s="2293"/>
      <c r="L932" s="2293"/>
      <c r="M932" s="2293"/>
      <c r="N932" s="2293"/>
      <c r="O932" s="2293"/>
      <c r="P932" s="2293"/>
      <c r="Q932" s="2293"/>
      <c r="R932" s="2293"/>
      <c r="S932" s="2293"/>
      <c r="T932" s="2294"/>
      <c r="U932" s="2311" t="s">
        <v>577</v>
      </c>
      <c r="V932" s="2044"/>
      <c r="W932" s="2044"/>
      <c r="X932" s="2044"/>
      <c r="Y932" s="2044"/>
      <c r="Z932" s="2045"/>
      <c r="AA932" s="2312">
        <v>6000000</v>
      </c>
      <c r="AB932" s="2096"/>
      <c r="AC932" s="2096"/>
      <c r="AD932" s="2096"/>
      <c r="AE932" s="2096"/>
      <c r="AF932" s="231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19" t="s">
        <v>343</v>
      </c>
      <c r="J933" s="2293"/>
      <c r="K933" s="2293"/>
      <c r="L933" s="2293"/>
      <c r="M933" s="2293"/>
      <c r="N933" s="2293"/>
      <c r="O933" s="2293"/>
      <c r="P933" s="2293"/>
      <c r="Q933" s="2293"/>
      <c r="R933" s="2293"/>
      <c r="S933" s="2293"/>
      <c r="T933" s="2294"/>
      <c r="U933" s="2311" t="s">
        <v>625</v>
      </c>
      <c r="V933" s="2044"/>
      <c r="W933" s="2044"/>
      <c r="X933" s="2044"/>
      <c r="Y933" s="2044"/>
      <c r="Z933" s="2045"/>
      <c r="AA933" s="2312"/>
      <c r="AB933" s="2096"/>
      <c r="AC933" s="2096"/>
      <c r="AD933" s="2096"/>
      <c r="AE933" s="2096"/>
      <c r="AF933" s="231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9" t="s">
        <v>343</v>
      </c>
      <c r="J934" s="2293"/>
      <c r="K934" s="2293"/>
      <c r="L934" s="2293"/>
      <c r="M934" s="2293"/>
      <c r="N934" s="2293"/>
      <c r="O934" s="2293"/>
      <c r="P934" s="2293"/>
      <c r="Q934" s="2293"/>
      <c r="R934" s="2293"/>
      <c r="S934" s="2293"/>
      <c r="T934" s="2294"/>
      <c r="U934" s="2311" t="s">
        <v>625</v>
      </c>
      <c r="V934" s="2044"/>
      <c r="W934" s="2044"/>
      <c r="X934" s="2044"/>
      <c r="Y934" s="2044"/>
      <c r="Z934" s="2045"/>
      <c r="AA934" s="2312"/>
      <c r="AB934" s="2096"/>
      <c r="AC934" s="2096"/>
      <c r="AD934" s="2096"/>
      <c r="AE934" s="2096"/>
      <c r="AF934" s="231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6"/>
      <c r="N939" s="2278"/>
      <c r="O939" s="2278"/>
      <c r="P939" s="2278"/>
      <c r="Q939" s="2278"/>
      <c r="R939" s="2278"/>
      <c r="S939" s="2279"/>
      <c r="U939" s="103" t="s">
        <v>11</v>
      </c>
      <c r="V939" s="77"/>
      <c r="W939" s="77"/>
      <c r="X939" s="77"/>
      <c r="Y939" s="77"/>
      <c r="Z939" s="77"/>
      <c r="AA939" s="77"/>
      <c r="AB939" s="77"/>
      <c r="AC939" s="77"/>
      <c r="AD939" s="78"/>
      <c r="AE939" s="2356"/>
      <c r="AF939" s="2278"/>
      <c r="AG939" s="2278"/>
      <c r="AH939" s="2278"/>
      <c r="AI939" s="2278"/>
      <c r="AJ939" s="2278"/>
      <c r="AK939" s="227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8"/>
      <c r="N940" s="2329"/>
      <c r="O940" s="2329"/>
      <c r="P940" s="2329"/>
      <c r="Q940" s="2329"/>
      <c r="R940" s="2329"/>
      <c r="S940" s="2330"/>
      <c r="U940" s="103" t="s">
        <v>12</v>
      </c>
      <c r="V940" s="77"/>
      <c r="W940" s="77"/>
      <c r="X940" s="77"/>
      <c r="Y940" s="77"/>
      <c r="Z940" s="77"/>
      <c r="AA940" s="77"/>
      <c r="AB940" s="77"/>
      <c r="AC940" s="77"/>
      <c r="AD940" s="78"/>
      <c r="AE940" s="2328"/>
      <c r="AF940" s="2329"/>
      <c r="AG940" s="2329"/>
      <c r="AH940" s="2329"/>
      <c r="AI940" s="2329"/>
      <c r="AJ940" s="2329"/>
      <c r="AK940" s="233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40" t="s">
        <v>316</v>
      </c>
      <c r="K941" s="2341"/>
      <c r="L941" s="2341"/>
      <c r="M941" s="2341"/>
      <c r="N941" s="2341"/>
      <c r="O941" s="2341"/>
      <c r="P941" s="2341"/>
      <c r="Q941" s="2341"/>
      <c r="R941" s="2341"/>
      <c r="S941" s="2342"/>
      <c r="U941" s="103" t="s">
        <v>944</v>
      </c>
      <c r="V941" s="77"/>
      <c r="W941" s="77"/>
      <c r="AB941" s="2340" t="s">
        <v>316</v>
      </c>
      <c r="AC941" s="2341"/>
      <c r="AD941" s="2341"/>
      <c r="AE941" s="2341"/>
      <c r="AF941" s="2341"/>
      <c r="AG941" s="2341"/>
      <c r="AH941" s="2341"/>
      <c r="AI941" s="2341"/>
      <c r="AJ941" s="2341"/>
      <c r="AK941" s="234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38"/>
      <c r="N942" s="2436"/>
      <c r="O942" s="2436"/>
      <c r="P942" s="2436"/>
      <c r="Q942" s="2436"/>
      <c r="R942" s="2436"/>
      <c r="S942" s="2437"/>
      <c r="U942" s="103" t="s">
        <v>13</v>
      </c>
      <c r="V942" s="77"/>
      <c r="W942" s="77"/>
      <c r="X942" s="77"/>
      <c r="Y942" s="77"/>
      <c r="Z942" s="77"/>
      <c r="AA942" s="77"/>
      <c r="AB942" s="77"/>
      <c r="AC942" s="77"/>
      <c r="AD942" s="78"/>
      <c r="AE942" s="2435"/>
      <c r="AF942" s="2436"/>
      <c r="AG942" s="2436"/>
      <c r="AH942" s="2436"/>
      <c r="AI942" s="2436"/>
      <c r="AJ942" s="2436"/>
      <c r="AK942" s="243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2"/>
      <c r="N943" s="2273"/>
      <c r="O943" s="2273"/>
      <c r="P943" s="2273"/>
      <c r="Q943" s="2273"/>
      <c r="R943" s="2273"/>
      <c r="S943" s="2274"/>
      <c r="U943" s="103" t="s">
        <v>14</v>
      </c>
      <c r="V943" s="77"/>
      <c r="W943" s="77"/>
      <c r="X943" s="77"/>
      <c r="Y943" s="77"/>
      <c r="Z943" s="77"/>
      <c r="AA943" s="77"/>
      <c r="AB943" s="77"/>
      <c r="AC943" s="77"/>
      <c r="AD943" s="78"/>
      <c r="AE943" s="2272"/>
      <c r="AF943" s="2273"/>
      <c r="AG943" s="2273"/>
      <c r="AH943" s="2273"/>
      <c r="AI943" s="2273"/>
      <c r="AJ943" s="2273"/>
      <c r="AK943" s="227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2"/>
      <c r="N944" s="2096"/>
      <c r="O944" s="2096"/>
      <c r="P944" s="2096"/>
      <c r="Q944" s="2096"/>
      <c r="R944" s="2096"/>
      <c r="S944" s="2313"/>
      <c r="U944" s="103" t="s">
        <v>15</v>
      </c>
      <c r="V944" s="77"/>
      <c r="W944" s="77"/>
      <c r="X944" s="77"/>
      <c r="Y944" s="77"/>
      <c r="Z944" s="77"/>
      <c r="AA944" s="77"/>
      <c r="AB944" s="77"/>
      <c r="AC944" s="77"/>
      <c r="AD944" s="78"/>
      <c r="AE944" s="2312"/>
      <c r="AF944" s="2096"/>
      <c r="AG944" s="2096"/>
      <c r="AH944" s="2096"/>
      <c r="AI944" s="2096"/>
      <c r="AJ944" s="2096"/>
      <c r="AK944" s="231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2"/>
      <c r="N945" s="2096"/>
      <c r="O945" s="2096"/>
      <c r="P945" s="2096"/>
      <c r="Q945" s="2096"/>
      <c r="R945" s="2096"/>
      <c r="S945" s="2313"/>
      <c r="U945" s="103" t="s">
        <v>16</v>
      </c>
      <c r="V945" s="77"/>
      <c r="W945" s="77"/>
      <c r="X945" s="77"/>
      <c r="Y945" s="77"/>
      <c r="Z945" s="77"/>
      <c r="AA945" s="77"/>
      <c r="AB945" s="77"/>
      <c r="AC945" s="77"/>
      <c r="AD945" s="78"/>
      <c r="AE945" s="2312"/>
      <c r="AF945" s="2096"/>
      <c r="AG945" s="2096"/>
      <c r="AH945" s="2096"/>
      <c r="AI945" s="2096"/>
      <c r="AJ945" s="2096"/>
      <c r="AK945" s="231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432"/>
      <c r="N946" s="2433"/>
      <c r="O946" s="2433"/>
      <c r="P946" s="2433"/>
      <c r="Q946" s="2433"/>
      <c r="R946" s="2433"/>
      <c r="S946" s="2434"/>
      <c r="U946" s="103" t="s">
        <v>604</v>
      </c>
      <c r="V946" s="77"/>
      <c r="W946" s="77"/>
      <c r="X946" s="77"/>
      <c r="Y946" s="77"/>
      <c r="Z946" s="77"/>
      <c r="AA946" s="77"/>
      <c r="AB946" s="77"/>
      <c r="AC946" s="77"/>
      <c r="AD946" s="78"/>
      <c r="AE946" s="2432"/>
      <c r="AF946" s="2433"/>
      <c r="AG946" s="2433"/>
      <c r="AH946" s="2433"/>
      <c r="AI946" s="2433"/>
      <c r="AJ946" s="2433"/>
      <c r="AK946" s="243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14"/>
      <c r="N951" s="2315"/>
      <c r="O951" s="2315"/>
      <c r="P951" s="2315"/>
      <c r="Q951" s="2315"/>
      <c r="R951" s="2315"/>
      <c r="S951" s="2316"/>
      <c r="T951" s="103" t="s">
        <v>847</v>
      </c>
      <c r="U951" s="77"/>
      <c r="V951" s="77"/>
      <c r="W951" s="77"/>
      <c r="X951" s="77"/>
      <c r="Y951" s="77"/>
      <c r="Z951" s="78"/>
      <c r="AA951" s="2314"/>
      <c r="AB951" s="2315"/>
      <c r="AC951" s="2315"/>
      <c r="AD951" s="2315"/>
      <c r="AE951" s="2315"/>
      <c r="AF951" s="2315"/>
      <c r="AG951" s="231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14"/>
      <c r="N952" s="2315"/>
      <c r="O952" s="2315"/>
      <c r="P952" s="2315"/>
      <c r="Q952" s="2315"/>
      <c r="R952" s="2315"/>
      <c r="S952" s="2316"/>
      <c r="T952" s="103" t="s">
        <v>846</v>
      </c>
      <c r="U952" s="77"/>
      <c r="V952" s="77"/>
      <c r="W952" s="77"/>
      <c r="X952" s="77"/>
      <c r="Y952" s="77"/>
      <c r="Z952" s="78"/>
      <c r="AA952" s="2314"/>
      <c r="AB952" s="2315"/>
      <c r="AC952" s="2315"/>
      <c r="AD952" s="2315"/>
      <c r="AE952" s="2315"/>
      <c r="AF952" s="2315"/>
      <c r="AG952" s="231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429" t="s">
        <v>625</v>
      </c>
      <c r="N953" s="2430"/>
      <c r="O953" s="2430"/>
      <c r="P953" s="2430"/>
      <c r="Q953" s="2430"/>
      <c r="R953" s="2430"/>
      <c r="S953" s="2431"/>
      <c r="T953" s="76" t="s">
        <v>346</v>
      </c>
      <c r="U953" s="77"/>
      <c r="V953" s="77"/>
      <c r="W953" s="77"/>
      <c r="X953" s="77"/>
      <c r="Y953" s="77"/>
      <c r="Z953" s="78"/>
      <c r="AA953" s="2314"/>
      <c r="AB953" s="2315"/>
      <c r="AC953" s="2315"/>
      <c r="AD953" s="2315"/>
      <c r="AE953" s="2315"/>
      <c r="AF953" s="2315"/>
      <c r="AG953" s="231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14"/>
      <c r="N954" s="2315"/>
      <c r="O954" s="2315"/>
      <c r="P954" s="2315"/>
      <c r="Q954" s="2315"/>
      <c r="R954" s="2315"/>
      <c r="S954" s="2316"/>
      <c r="T954" s="76" t="s">
        <v>347</v>
      </c>
      <c r="U954" s="77"/>
      <c r="V954" s="77"/>
      <c r="W954" s="77"/>
      <c r="X954" s="77"/>
      <c r="Y954" s="77"/>
      <c r="Z954" s="78"/>
      <c r="AA954" s="2314"/>
      <c r="AB954" s="2315"/>
      <c r="AC954" s="2315"/>
      <c r="AD954" s="2315"/>
      <c r="AE954" s="2315"/>
      <c r="AF954" s="2315"/>
      <c r="AG954" s="231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14"/>
      <c r="N955" s="2315"/>
      <c r="O955" s="2315"/>
      <c r="P955" s="2315"/>
      <c r="Q955" s="2315"/>
      <c r="R955" s="2315"/>
      <c r="S955" s="2316"/>
      <c r="T955" s="76" t="s">
        <v>394</v>
      </c>
      <c r="U955" s="77"/>
      <c r="V955" s="77"/>
      <c r="W955" s="77"/>
      <c r="X955" s="77"/>
      <c r="Y955" s="77"/>
      <c r="Z955" s="78"/>
      <c r="AA955" s="2314"/>
      <c r="AB955" s="2315"/>
      <c r="AC955" s="2315"/>
      <c r="AD955" s="2315"/>
      <c r="AE955" s="2315"/>
      <c r="AF955" s="2315"/>
      <c r="AG955" s="231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34" t="s">
        <v>316</v>
      </c>
      <c r="N956" s="2335"/>
      <c r="O956" s="2335"/>
      <c r="P956" s="2335"/>
      <c r="Q956" s="2335"/>
      <c r="R956" s="2335"/>
      <c r="S956" s="2336"/>
      <c r="T956" s="2347"/>
      <c r="U956" s="2348"/>
      <c r="V956" s="2348"/>
      <c r="W956" s="2348"/>
      <c r="X956" s="2348"/>
      <c r="Y956" s="2348"/>
      <c r="Z956" s="2349"/>
      <c r="AA956" s="2314"/>
      <c r="AB956" s="2315"/>
      <c r="AC956" s="2315"/>
      <c r="AD956" s="2315"/>
      <c r="AE956" s="2315"/>
      <c r="AF956" s="2315"/>
      <c r="AG956" s="231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14"/>
      <c r="N957" s="2315"/>
      <c r="O957" s="2315"/>
      <c r="P957" s="2315"/>
      <c r="Q957" s="2315"/>
      <c r="R957" s="2315"/>
      <c r="S957" s="2316"/>
      <c r="T957" s="2347"/>
      <c r="U957" s="2348"/>
      <c r="V957" s="2348"/>
      <c r="W957" s="2348"/>
      <c r="X957" s="2348"/>
      <c r="Y957" s="2348"/>
      <c r="Z957" s="2349"/>
      <c r="AA957" s="2314"/>
      <c r="AB957" s="2315"/>
      <c r="AC957" s="2315"/>
      <c r="AD957" s="2315"/>
      <c r="AE957" s="2315"/>
      <c r="AF957" s="2315"/>
      <c r="AG957" s="231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53" t="s">
        <v>705</v>
      </c>
      <c r="P958" s="2054"/>
      <c r="Q958" s="139"/>
      <c r="R958" s="139"/>
      <c r="S958" s="140"/>
      <c r="T958" s="71" t="s">
        <v>175</v>
      </c>
      <c r="U958" s="72"/>
      <c r="V958" s="72"/>
      <c r="W958" s="2326" t="s">
        <v>343</v>
      </c>
      <c r="X958" s="2301"/>
      <c r="Y958" s="2301"/>
      <c r="Z958" s="2301"/>
      <c r="AA958" s="2301"/>
      <c r="AB958" s="2301"/>
      <c r="AC958" s="2301"/>
      <c r="AD958" s="2301"/>
      <c r="AE958" s="2301"/>
      <c r="AF958" s="2301"/>
      <c r="AG958" s="230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7" t="s">
        <v>34</v>
      </c>
      <c r="G959" s="2358"/>
      <c r="H959" s="2358"/>
      <c r="I959" s="2358"/>
      <c r="J959" s="2358"/>
      <c r="K959" s="2358"/>
      <c r="L959" s="2358"/>
      <c r="M959" s="2314"/>
      <c r="N959" s="2315"/>
      <c r="O959" s="2315"/>
      <c r="P959" s="2315"/>
      <c r="Q959" s="2315"/>
      <c r="R959" s="2315"/>
      <c r="S959" s="2316"/>
      <c r="T959" s="79"/>
      <c r="U959" s="80"/>
      <c r="V959" s="80"/>
      <c r="W959" s="80"/>
      <c r="X959" s="80"/>
      <c r="Y959" s="80"/>
      <c r="Z959" s="188" t="s">
        <v>139</v>
      </c>
      <c r="AA959" s="2344"/>
      <c r="AB959" s="2345"/>
      <c r="AC959" s="2345"/>
      <c r="AD959" s="2345"/>
      <c r="AE959" s="2345"/>
      <c r="AF959" s="2345"/>
      <c r="AG959" s="234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31" t="s">
        <v>580</v>
      </c>
      <c r="B963" s="2331"/>
      <c r="C963" s="2331"/>
      <c r="D963" s="2331"/>
      <c r="E963" s="2331"/>
      <c r="F963" s="2331"/>
      <c r="G963" s="2331"/>
      <c r="H963" s="2331"/>
      <c r="I963" s="2331"/>
      <c r="J963" s="2331"/>
      <c r="K963" s="2331"/>
      <c r="L963" s="2331"/>
      <c r="M963" s="2331"/>
      <c r="N963" s="2331"/>
      <c r="O963" s="2331"/>
      <c r="P963" s="2331"/>
      <c r="Q963" s="2331"/>
      <c r="R963" s="2331"/>
      <c r="S963" s="2331"/>
      <c r="T963" s="2331"/>
      <c r="U963" s="2331"/>
      <c r="V963" s="2331"/>
      <c r="W963" s="2331"/>
      <c r="X963" s="2331"/>
      <c r="Y963" s="2331"/>
      <c r="Z963" s="2331"/>
      <c r="AA963" s="2331"/>
      <c r="AB963" s="2331"/>
      <c r="AC963" s="2331"/>
      <c r="AD963" s="2331"/>
      <c r="AE963" s="2331"/>
      <c r="AF963" s="2331"/>
      <c r="AG963" s="2331"/>
      <c r="AH963" s="2331"/>
      <c r="AI963" s="2331"/>
      <c r="AJ963" s="2331"/>
      <c r="AK963" s="2331"/>
      <c r="AL963" s="2331"/>
      <c r="AM963" s="2331"/>
      <c r="AN963" s="2331"/>
      <c r="AO963" s="2331"/>
      <c r="AP963" s="2331"/>
      <c r="AQ963" s="2331"/>
      <c r="AR963" s="2331"/>
      <c r="AS963" s="233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31"/>
      <c r="B964" s="2331"/>
      <c r="C964" s="2331"/>
      <c r="D964" s="2331"/>
      <c r="E964" s="2331"/>
      <c r="F964" s="2331"/>
      <c r="G964" s="2331"/>
      <c r="H964" s="2331"/>
      <c r="I964" s="2331"/>
      <c r="J964" s="2331"/>
      <c r="K964" s="2331"/>
      <c r="L964" s="2331"/>
      <c r="M964" s="2331"/>
      <c r="N964" s="2331"/>
      <c r="O964" s="2331"/>
      <c r="P964" s="2331"/>
      <c r="Q964" s="2331"/>
      <c r="R964" s="2331"/>
      <c r="S964" s="2331"/>
      <c r="T964" s="2331"/>
      <c r="U964" s="2331"/>
      <c r="V964" s="2331"/>
      <c r="W964" s="2331"/>
      <c r="X964" s="2331"/>
      <c r="Y964" s="2331"/>
      <c r="Z964" s="2331"/>
      <c r="AA964" s="2331"/>
      <c r="AB964" s="2331"/>
      <c r="AC964" s="2331"/>
      <c r="AD964" s="2331"/>
      <c r="AE964" s="2331"/>
      <c r="AF964" s="2331"/>
      <c r="AG964" s="2331"/>
      <c r="AH964" s="2331"/>
      <c r="AI964" s="2331"/>
      <c r="AJ964" s="2331"/>
      <c r="AK964" s="2331"/>
      <c r="AL964" s="2331"/>
      <c r="AM964" s="2331"/>
      <c r="AN964" s="2331"/>
      <c r="AO964" s="2331"/>
      <c r="AP964" s="2331"/>
      <c r="AQ964" s="2331"/>
      <c r="AR964" s="2331"/>
      <c r="AS964" s="233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9"/>
      <c r="BH965" s="2339"/>
      <c r="BI965" s="2339"/>
      <c r="BJ965" s="2339"/>
      <c r="BK965" s="2339"/>
      <c r="BL965" s="2339"/>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492" t="s">
        <v>672</v>
      </c>
      <c r="E968" s="2493"/>
      <c r="F968" s="2493"/>
      <c r="G968" s="2493"/>
      <c r="H968" s="2493"/>
      <c r="I968" s="2493"/>
      <c r="J968" s="2493"/>
      <c r="K968" s="2493"/>
      <c r="L968" s="2493"/>
      <c r="M968" s="2493"/>
      <c r="N968" s="2493"/>
      <c r="O968" s="2493"/>
      <c r="P968" s="2493"/>
      <c r="Q968" s="2494"/>
      <c r="R968" s="2492" t="s">
        <v>673</v>
      </c>
      <c r="S968" s="2493"/>
      <c r="T968" s="2493"/>
      <c r="U968" s="2493"/>
      <c r="V968" s="2493"/>
      <c r="W968" s="2493"/>
      <c r="X968" s="2493"/>
      <c r="Y968" s="2493"/>
      <c r="Z968" s="2493"/>
      <c r="AA968" s="2494"/>
      <c r="AB968" s="2492" t="s">
        <v>674</v>
      </c>
      <c r="AC968" s="2493"/>
      <c r="AD968" s="2493"/>
      <c r="AE968" s="2493"/>
      <c r="AF968" s="2493"/>
      <c r="AG968" s="2493"/>
      <c r="AH968" s="2493"/>
      <c r="AI968" s="2494"/>
      <c r="AJ968" s="2492" t="s">
        <v>675</v>
      </c>
      <c r="AK968" s="2493"/>
      <c r="AL968" s="2493"/>
      <c r="AM968" s="2493"/>
      <c r="AN968" s="2493"/>
      <c r="AO968" s="2493"/>
      <c r="AP968" s="2493"/>
      <c r="AQ968" s="2494"/>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5">
      <c r="B969" s="110"/>
      <c r="C969" s="1627"/>
      <c r="D969" s="2379" t="s">
        <v>667</v>
      </c>
      <c r="E969" s="2380"/>
      <c r="F969" s="2380"/>
      <c r="G969" s="2380"/>
      <c r="H969" s="2380"/>
      <c r="I969" s="2380"/>
      <c r="J969" s="2380"/>
      <c r="K969" s="2380"/>
      <c r="L969" s="2380"/>
      <c r="M969" s="2380"/>
      <c r="N969" s="2380"/>
      <c r="O969" s="2380"/>
      <c r="P969" s="2380"/>
      <c r="Q969" s="2381"/>
      <c r="R969" s="2359">
        <f>IF(ISNA(IF($BN$799="4%",(INDEX($BP$809:$BT$866,MATCH($CB$799,$BO$809:$BO$866,0),MATCH(D969,$BP$808:$BT$808,0))),(INDEX($BW$809:$CA$866,MATCH($CB$799,$BV$809:$BV$866,0),MATCH(D969,$BW$808:$CA$808,0))))),0,IF($BN$799="4%",(INDEX($BP$809:$BT$866,MATCH($CB$799,$BO$809:$BO$866,0),MATCH(D969,$BP$808:$BT$808,0))),(INDEX($BW$809:$CA$866,MATCH($CB$799,$BV$809:$BV$866,0),MATCH(D969,$BW$808:$CA$808,0)))))</f>
        <v>440028</v>
      </c>
      <c r="S969" s="2359"/>
      <c r="T969" s="2359"/>
      <c r="U969" s="2359"/>
      <c r="V969" s="2359"/>
      <c r="W969" s="2359"/>
      <c r="X969" s="2359"/>
      <c r="Y969" s="2359"/>
      <c r="Z969" s="2359"/>
      <c r="AA969" s="2359"/>
      <c r="AB969" s="2545">
        <f>BN663</f>
        <v>90</v>
      </c>
      <c r="AC969" s="2546"/>
      <c r="AD969" s="2546"/>
      <c r="AE969" s="2546"/>
      <c r="AF969" s="2546"/>
      <c r="AG969" s="2546"/>
      <c r="AH969" s="2546"/>
      <c r="AI969" s="2547"/>
      <c r="AJ969" s="2386">
        <f>IF(ISERROR((R969*AB969)),0,(R969*AB969))</f>
        <v>39602520</v>
      </c>
      <c r="AK969" s="2387"/>
      <c r="AL969" s="2387"/>
      <c r="AM969" s="2387"/>
      <c r="AN969" s="2387"/>
      <c r="AO969" s="2387"/>
      <c r="AP969" s="2387"/>
      <c r="AQ969" s="2388"/>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5">
      <c r="B970" s="110"/>
      <c r="C970" s="1628"/>
      <c r="D970" s="2379" t="s">
        <v>334</v>
      </c>
      <c r="E970" s="2380"/>
      <c r="F970" s="2380"/>
      <c r="G970" s="2380"/>
      <c r="H970" s="2380"/>
      <c r="I970" s="2380"/>
      <c r="J970" s="2380"/>
      <c r="K970" s="2380"/>
      <c r="L970" s="2380"/>
      <c r="M970" s="2380"/>
      <c r="N970" s="2380"/>
      <c r="O970" s="2380"/>
      <c r="P970" s="2380"/>
      <c r="Q970" s="2381"/>
      <c r="R970" s="2359">
        <f>IF(ISNA(IF($BN$799="4%",(INDEX($BP$809:$BT$866,MATCH($CB$799,$BO$809:$BO$866,0),MATCH(D970,$BP$808:$BT$808,0))),(INDEX($BW$809:$CA$866,MATCH($CB$799,$BV$809:$BV$866,0),MATCH(D970,$BW$808:$CA$808,0))))),0,IF($BN$799="4%",(INDEX($BP$809:$BT$866,MATCH($CB$799,$BO$809:$BO$866,0),MATCH(D970,$BP$808:$BT$808,0))),(INDEX($BW$809:$CA$866,MATCH($CB$799,$BV$809:$BV$866,0),MATCH(D970,$BW$808:$CA$808,0)))))</f>
        <v>507348</v>
      </c>
      <c r="S970" s="2359"/>
      <c r="T970" s="2359"/>
      <c r="U970" s="2359"/>
      <c r="V970" s="2359"/>
      <c r="W970" s="2359"/>
      <c r="X970" s="2359"/>
      <c r="Y970" s="2359"/>
      <c r="Z970" s="2359"/>
      <c r="AA970" s="2359"/>
      <c r="AB970" s="2545">
        <f>BS663</f>
        <v>34</v>
      </c>
      <c r="AC970" s="2546"/>
      <c r="AD970" s="2546"/>
      <c r="AE970" s="2546"/>
      <c r="AF970" s="2546"/>
      <c r="AG970" s="2546"/>
      <c r="AH970" s="2546"/>
      <c r="AI970" s="2547"/>
      <c r="AJ970" s="2386">
        <f>IF(ISERROR((R970*AB970)),0,(R970*AB970))</f>
        <v>17249832</v>
      </c>
      <c r="AK970" s="2387"/>
      <c r="AL970" s="2387"/>
      <c r="AM970" s="2387"/>
      <c r="AN970" s="2387"/>
      <c r="AO970" s="2387"/>
      <c r="AP970" s="2387"/>
      <c r="AQ970" s="2388"/>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9" t="s">
        <v>168</v>
      </c>
      <c r="E971" s="2380"/>
      <c r="F971" s="2380"/>
      <c r="G971" s="2380"/>
      <c r="H971" s="2380"/>
      <c r="I971" s="2380"/>
      <c r="J971" s="2380"/>
      <c r="K971" s="2380"/>
      <c r="L971" s="2380"/>
      <c r="M971" s="2380"/>
      <c r="N971" s="2380"/>
      <c r="O971" s="2380"/>
      <c r="P971" s="2380"/>
      <c r="Q971" s="2381"/>
      <c r="R971" s="2359">
        <f>IF(ISNA(IF($BN$799="4%",(INDEX($BP$809:$BT$866,MATCH($CB$799,$BO$809:$BO$866,0),MATCH(D971,$BP$808:$BT$808,0))),(INDEX($BW$809:$CA$866,MATCH($CB$799,$BV$809:$BV$866,0),MATCH(D971,$BW$808:$CA$808,0))))),0,IF($BN$799="4%",(INDEX($BP$809:$BT$866,MATCH($CB$799,$BO$809:$BO$866,0),MATCH(D971,$BP$808:$BT$808,0))),(INDEX($BW$809:$CA$866,MATCH($CB$799,$BV$809:$BV$866,0),MATCH(D971,$BW$808:$CA$808,0)))))</f>
        <v>612000</v>
      </c>
      <c r="S971" s="2359"/>
      <c r="T971" s="2359"/>
      <c r="U971" s="2359"/>
      <c r="V971" s="2359"/>
      <c r="W971" s="2359"/>
      <c r="X971" s="2359"/>
      <c r="Y971" s="2359"/>
      <c r="Z971" s="2359"/>
      <c r="AA971" s="2359"/>
      <c r="AB971" s="2545">
        <f>BX663</f>
        <v>24</v>
      </c>
      <c r="AC971" s="2546"/>
      <c r="AD971" s="2546"/>
      <c r="AE971" s="2546"/>
      <c r="AF971" s="2546"/>
      <c r="AG971" s="2546"/>
      <c r="AH971" s="2546"/>
      <c r="AI971" s="2547"/>
      <c r="AJ971" s="2386">
        <f>IF(ISERROR((R971*AB971)),0,(R971*AB971))</f>
        <v>14688000</v>
      </c>
      <c r="AK971" s="2387"/>
      <c r="AL971" s="2387"/>
      <c r="AM971" s="2387"/>
      <c r="AN971" s="2387"/>
      <c r="AO971" s="2387"/>
      <c r="AP971" s="2387"/>
      <c r="AQ971" s="2388"/>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5">
      <c r="B972" s="110"/>
      <c r="C972" s="1628"/>
      <c r="D972" s="2379" t="s">
        <v>169</v>
      </c>
      <c r="E972" s="2380"/>
      <c r="F972" s="2380"/>
      <c r="G972" s="2380"/>
      <c r="H972" s="2380"/>
      <c r="I972" s="2380"/>
      <c r="J972" s="2380"/>
      <c r="K972" s="2380"/>
      <c r="L972" s="2380"/>
      <c r="M972" s="2380"/>
      <c r="N972" s="2380"/>
      <c r="O972" s="2380"/>
      <c r="P972" s="2380"/>
      <c r="Q972" s="2381"/>
      <c r="R972" s="2359">
        <f>IF(ISNA(IF($BN$799="4%",(INDEX($BP$809:$BT$866,MATCH($CB$799,$BO$809:$BO$866,0),MATCH(D972,$BP$808:$BT$808,0))),(INDEX($BW$809:$CA$866,MATCH($CB$799,$BV$809:$BV$866,0),MATCH(D972,$BW$808:$CA$808,0))))),0,IF($BN$799="4%",(INDEX($BP$809:$BT$866,MATCH($CB$799,$BO$809:$BO$866,0),MATCH(D972,$BP$808:$BT$808,0))),(INDEX($BW$809:$CA$866,MATCH($CB$799,$BV$809:$BV$866,0),MATCH(D972,$BW$808:$CA$808,0)))))</f>
        <v>783360</v>
      </c>
      <c r="S972" s="2359"/>
      <c r="T972" s="2359"/>
      <c r="U972" s="2359"/>
      <c r="V972" s="2359"/>
      <c r="W972" s="2359"/>
      <c r="X972" s="2359"/>
      <c r="Y972" s="2359"/>
      <c r="Z972" s="2359"/>
      <c r="AA972" s="2359"/>
      <c r="AB972" s="2545">
        <f>CC663</f>
        <v>3</v>
      </c>
      <c r="AC972" s="2546"/>
      <c r="AD972" s="2546"/>
      <c r="AE972" s="2546"/>
      <c r="AF972" s="2546"/>
      <c r="AG972" s="2546"/>
      <c r="AH972" s="2546"/>
      <c r="AI972" s="2547"/>
      <c r="AJ972" s="2386">
        <f>IF(ISERROR((R972*AB972)),0,(R972*AB972))</f>
        <v>2350080</v>
      </c>
      <c r="AK972" s="2387"/>
      <c r="AL972" s="2387"/>
      <c r="AM972" s="2387"/>
      <c r="AN972" s="2387"/>
      <c r="AO972" s="2387"/>
      <c r="AP972" s="2387"/>
      <c r="AQ972" s="2388"/>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9" t="s">
        <v>492</v>
      </c>
      <c r="E973" s="2380"/>
      <c r="F973" s="2380"/>
      <c r="G973" s="2380"/>
      <c r="H973" s="2380"/>
      <c r="I973" s="2380"/>
      <c r="J973" s="2380"/>
      <c r="K973" s="2380"/>
      <c r="L973" s="2380"/>
      <c r="M973" s="2380"/>
      <c r="N973" s="2380"/>
      <c r="O973" s="2380"/>
      <c r="P973" s="2380"/>
      <c r="Q973" s="2381"/>
      <c r="R973" s="2359">
        <f>IF(ISNA(IF($BN$799="4%",(INDEX($BP$809:$BT$866,MATCH($CB$799,$BO$809:$BO$866,0),MATCH(D973,$BP$808:$BT$808,0))),(INDEX($BW$809:$CA$866,MATCH($CB$799,$BV$809:$BV$866,0),MATCH(D973,$BW$808:$CA$808,0))))),0,IF($BN$799="4%",(INDEX($BP$809:$BT$866,MATCH($CB$799,$BO$809:$BO$866,0),MATCH(D973,$BP$808:$BT$808,0))),(INDEX($BW$809:$CA$866,MATCH($CB$799,$BV$809:$BV$866,0),MATCH(D973,$BW$808:$CA$808,0)))))</f>
        <v>872712</v>
      </c>
      <c r="S973" s="2359"/>
      <c r="T973" s="2359"/>
      <c r="U973" s="2359"/>
      <c r="V973" s="2359"/>
      <c r="W973" s="2359"/>
      <c r="X973" s="2359"/>
      <c r="Y973" s="2359"/>
      <c r="Z973" s="2359"/>
      <c r="AA973" s="2359"/>
      <c r="AB973" s="2545">
        <f>CM663+CH663</f>
        <v>0</v>
      </c>
      <c r="AC973" s="2546"/>
      <c r="AD973" s="2546"/>
      <c r="AE973" s="2546"/>
      <c r="AF973" s="2546"/>
      <c r="AG973" s="2546"/>
      <c r="AH973" s="2546"/>
      <c r="AI973" s="2547"/>
      <c r="AJ973" s="2386">
        <f>IF(ISERROR((R973*AB973)),0,(R973*AB973))</f>
        <v>0</v>
      </c>
      <c r="AK973" s="2387"/>
      <c r="AL973" s="2387"/>
      <c r="AM973" s="2387"/>
      <c r="AN973" s="2387"/>
      <c r="AO973" s="2387"/>
      <c r="AP973" s="2387"/>
      <c r="AQ973" s="2388"/>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5" t="s">
        <v>848</v>
      </c>
      <c r="C974" s="2516"/>
      <c r="D974" s="2516"/>
      <c r="E974" s="2516"/>
      <c r="F974" s="2516"/>
      <c r="G974" s="2516"/>
      <c r="H974" s="2516"/>
      <c r="I974" s="2516"/>
      <c r="J974" s="2516"/>
      <c r="K974" s="2516"/>
      <c r="L974" s="2516"/>
      <c r="M974" s="2516"/>
      <c r="N974" s="2516"/>
      <c r="O974" s="2516"/>
      <c r="P974" s="2516"/>
      <c r="Q974" s="2516"/>
      <c r="R974" s="2516"/>
      <c r="S974" s="2516"/>
      <c r="T974" s="2516"/>
      <c r="U974" s="2516"/>
      <c r="V974" s="2516"/>
      <c r="W974" s="2516"/>
      <c r="X974" s="2516"/>
      <c r="Y974" s="2516"/>
      <c r="Z974" s="2516"/>
      <c r="AA974" s="2517"/>
      <c r="AB974" s="2545">
        <f>SUM(AB969:AI973)</f>
        <v>151</v>
      </c>
      <c r="AC974" s="2546"/>
      <c r="AD974" s="2546"/>
      <c r="AE974" s="2546"/>
      <c r="AF974" s="2546"/>
      <c r="AG974" s="2546"/>
      <c r="AH974" s="2546"/>
      <c r="AI974" s="2547"/>
      <c r="AJ974" s="2386"/>
      <c r="AK974" s="2387"/>
      <c r="AL974" s="2387"/>
      <c r="AM974" s="2387"/>
      <c r="AN974" s="2387"/>
      <c r="AO974" s="2387"/>
      <c r="AP974" s="2387"/>
      <c r="AQ974" s="2388"/>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498" t="s">
        <v>544</v>
      </c>
      <c r="C975" s="2499"/>
      <c r="D975" s="2499"/>
      <c r="E975" s="2499"/>
      <c r="F975" s="2499"/>
      <c r="G975" s="2499"/>
      <c r="H975" s="2499"/>
      <c r="I975" s="2499"/>
      <c r="J975" s="2499"/>
      <c r="K975" s="2499"/>
      <c r="L975" s="2499"/>
      <c r="M975" s="2499"/>
      <c r="N975" s="2499"/>
      <c r="O975" s="2499"/>
      <c r="P975" s="2499"/>
      <c r="Q975" s="2499"/>
      <c r="R975" s="2499"/>
      <c r="S975" s="2499"/>
      <c r="T975" s="2499"/>
      <c r="U975" s="2499"/>
      <c r="V975" s="2499"/>
      <c r="W975" s="2499"/>
      <c r="X975" s="2499"/>
      <c r="Y975" s="2499"/>
      <c r="Z975" s="2499"/>
      <c r="AA975" s="2499"/>
      <c r="AB975" s="2499"/>
      <c r="AC975" s="2499"/>
      <c r="AD975" s="2499"/>
      <c r="AE975" s="2499"/>
      <c r="AF975" s="2499"/>
      <c r="AG975" s="2499"/>
      <c r="AH975" s="2499"/>
      <c r="AI975" s="2500"/>
      <c r="AJ975" s="2386">
        <f>SUM(AJ969:AQ973)</f>
        <v>73890432</v>
      </c>
      <c r="AK975" s="2387"/>
      <c r="AL975" s="2387"/>
      <c r="AM975" s="2387"/>
      <c r="AN975" s="2387"/>
      <c r="AO975" s="2387"/>
      <c r="AP975" s="2387"/>
      <c r="AQ975" s="2388"/>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6"/>
      <c r="C976" s="2487"/>
      <c r="D976" s="2487"/>
      <c r="E976" s="2487"/>
      <c r="F976" s="2487"/>
      <c r="G976" s="2487"/>
      <c r="H976" s="2487"/>
      <c r="I976" s="2487"/>
      <c r="J976" s="2487"/>
      <c r="K976" s="2487"/>
      <c r="L976" s="2487"/>
      <c r="M976" s="2487"/>
      <c r="N976" s="2487"/>
      <c r="O976" s="2487"/>
      <c r="P976" s="2487"/>
      <c r="Q976" s="2487"/>
      <c r="R976" s="2487"/>
      <c r="S976" s="2487"/>
      <c r="T976" s="2487"/>
      <c r="U976" s="2487"/>
      <c r="V976" s="2487"/>
      <c r="W976" s="2487"/>
      <c r="X976" s="2487"/>
      <c r="Y976" s="2487"/>
      <c r="Z976" s="2487"/>
      <c r="AA976" s="2487"/>
      <c r="AB976" s="2487"/>
      <c r="AC976" s="2487"/>
      <c r="AD976" s="2487"/>
      <c r="AE976" s="2488"/>
      <c r="AF976" s="2501" t="s">
        <v>702</v>
      </c>
      <c r="AG976" s="2502"/>
      <c r="AH976" s="2502"/>
      <c r="AI976" s="2503"/>
      <c r="AJ976" s="2486"/>
      <c r="AK976" s="2487"/>
      <c r="AL976" s="2487"/>
      <c r="AM976" s="2487"/>
      <c r="AN976" s="2487"/>
      <c r="AO976" s="2487"/>
      <c r="AP976" s="2487"/>
      <c r="AQ976" s="2488"/>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89" t="s">
        <v>1430</v>
      </c>
      <c r="E977" s="2490"/>
      <c r="F977" s="2490"/>
      <c r="G977" s="2490"/>
      <c r="H977" s="2490"/>
      <c r="I977" s="2490"/>
      <c r="J977" s="2490"/>
      <c r="K977" s="2490"/>
      <c r="L977" s="2490"/>
      <c r="M977" s="2490"/>
      <c r="N977" s="2490"/>
      <c r="O977" s="2490"/>
      <c r="P977" s="2490"/>
      <c r="Q977" s="2490"/>
      <c r="R977" s="2490"/>
      <c r="S977" s="2490"/>
      <c r="T977" s="2490"/>
      <c r="U977" s="2490"/>
      <c r="V977" s="2490"/>
      <c r="W977" s="2490"/>
      <c r="X977" s="2490"/>
      <c r="Y977" s="2490"/>
      <c r="Z977" s="2490"/>
      <c r="AA977" s="2490"/>
      <c r="AB977" s="2490"/>
      <c r="AC977" s="2490"/>
      <c r="AD977" s="2490"/>
      <c r="AE977" s="2491"/>
      <c r="AF977" s="117"/>
      <c r="AG977" s="2504" t="s">
        <v>705</v>
      </c>
      <c r="AH977" s="2505"/>
      <c r="AI977" s="125"/>
      <c r="AJ977" s="2478">
        <f>ROUND(IF(AND(AG977="yes",D979&gt;0),AJ975*0.2,0),0)</f>
        <v>0</v>
      </c>
      <c r="AK977" s="2479"/>
      <c r="AL977" s="2479"/>
      <c r="AM977" s="2479"/>
      <c r="AN977" s="2479"/>
      <c r="AO977" s="2479"/>
      <c r="AP977" s="2479"/>
      <c r="AQ977" s="2480"/>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8" t="s">
        <v>1431</v>
      </c>
      <c r="E978" s="2519"/>
      <c r="F978" s="2519"/>
      <c r="G978" s="2519"/>
      <c r="H978" s="2519"/>
      <c r="I978" s="2519"/>
      <c r="J978" s="2519"/>
      <c r="K978" s="2519"/>
      <c r="L978" s="2519"/>
      <c r="M978" s="2519"/>
      <c r="N978" s="2519"/>
      <c r="O978" s="2519"/>
      <c r="P978" s="2519"/>
      <c r="Q978" s="2519"/>
      <c r="R978" s="2519"/>
      <c r="S978" s="2519"/>
      <c r="T978" s="2519"/>
      <c r="U978" s="2519"/>
      <c r="V978" s="2519"/>
      <c r="W978" s="2519"/>
      <c r="X978" s="2519"/>
      <c r="Y978" s="2519"/>
      <c r="Z978" s="2519"/>
      <c r="AA978" s="2519"/>
      <c r="AB978" s="2519"/>
      <c r="AC978" s="2519"/>
      <c r="AD978" s="2519"/>
      <c r="AE978" s="2520"/>
      <c r="AF978" s="110"/>
      <c r="AG978" s="112"/>
      <c r="AH978" s="112"/>
      <c r="AI978" s="121"/>
      <c r="AJ978" s="2481"/>
      <c r="AK978" s="2148"/>
      <c r="AL978" s="2148"/>
      <c r="AM978" s="2148"/>
      <c r="AN978" s="2148"/>
      <c r="AO978" s="2148"/>
      <c r="AP978" s="2148"/>
      <c r="AQ978" s="2482"/>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21"/>
      <c r="E979" s="2522"/>
      <c r="F979" s="2522"/>
      <c r="G979" s="2522"/>
      <c r="H979" s="2522"/>
      <c r="I979" s="2522"/>
      <c r="J979" s="2522"/>
      <c r="K979" s="2522"/>
      <c r="L979" s="2522"/>
      <c r="M979" s="2522"/>
      <c r="N979" s="2522"/>
      <c r="O979" s="2522"/>
      <c r="P979" s="2522"/>
      <c r="Q979" s="2522"/>
      <c r="R979" s="2522"/>
      <c r="S979" s="2522"/>
      <c r="T979" s="2522"/>
      <c r="U979" s="2522"/>
      <c r="V979" s="2522"/>
      <c r="W979" s="2522"/>
      <c r="X979" s="2522"/>
      <c r="Y979" s="2522"/>
      <c r="Z979" s="2522"/>
      <c r="AA979" s="2522"/>
      <c r="AB979" s="2522"/>
      <c r="AC979" s="2522"/>
      <c r="AD979" s="2522"/>
      <c r="AE979" s="2523"/>
      <c r="AF979" s="115"/>
      <c r="AG979" s="11"/>
      <c r="AH979" s="11"/>
      <c r="AI979" s="116"/>
      <c r="AJ979" s="2483"/>
      <c r="AK979" s="2484"/>
      <c r="AL979" s="2484"/>
      <c r="AM979" s="2484"/>
      <c r="AN979" s="2484"/>
      <c r="AO979" s="2484"/>
      <c r="AP979" s="2484"/>
      <c r="AQ979" s="2485"/>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41" t="s">
        <v>1530</v>
      </c>
      <c r="E980" s="2442"/>
      <c r="F980" s="2442"/>
      <c r="G980" s="2442"/>
      <c r="H980" s="2442"/>
      <c r="I980" s="2442"/>
      <c r="J980" s="2442"/>
      <c r="K980" s="2442"/>
      <c r="L980" s="2442"/>
      <c r="M980" s="2442"/>
      <c r="N980" s="2442"/>
      <c r="O980" s="2442"/>
      <c r="P980" s="2442"/>
      <c r="Q980" s="2442"/>
      <c r="R980" s="2442"/>
      <c r="S980" s="2442"/>
      <c r="T980" s="2442"/>
      <c r="U980" s="2442"/>
      <c r="V980" s="2442"/>
      <c r="W980" s="2442"/>
      <c r="X980" s="2442"/>
      <c r="Y980" s="2442"/>
      <c r="Z980" s="2442"/>
      <c r="AA980" s="2442"/>
      <c r="AB980" s="2442"/>
      <c r="AC980" s="2442"/>
      <c r="AD980" s="2442"/>
      <c r="AE980" s="2443"/>
      <c r="AF980" s="117"/>
      <c r="AG980" s="2453" t="s">
        <v>705</v>
      </c>
      <c r="AH980" s="2454"/>
      <c r="AI980" s="125"/>
      <c r="AJ980" s="2478">
        <f>ROUND(IF(AG980="yes",AJ975*0.05,0),0)</f>
        <v>0</v>
      </c>
      <c r="AK980" s="2479"/>
      <c r="AL980" s="2479"/>
      <c r="AM980" s="2479"/>
      <c r="AN980" s="2479"/>
      <c r="AO980" s="2479"/>
      <c r="AP980" s="2479"/>
      <c r="AQ980" s="2480"/>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18" t="s">
        <v>1528</v>
      </c>
      <c r="E981" s="2519"/>
      <c r="F981" s="2519"/>
      <c r="G981" s="2519"/>
      <c r="H981" s="2519"/>
      <c r="I981" s="2519"/>
      <c r="J981" s="2519"/>
      <c r="K981" s="2519"/>
      <c r="L981" s="2519"/>
      <c r="M981" s="2519"/>
      <c r="N981" s="2519"/>
      <c r="O981" s="2519"/>
      <c r="P981" s="2519"/>
      <c r="Q981" s="2519"/>
      <c r="R981" s="2519"/>
      <c r="S981" s="2519"/>
      <c r="T981" s="2519"/>
      <c r="U981" s="2519"/>
      <c r="V981" s="2519"/>
      <c r="W981" s="2519"/>
      <c r="X981" s="2519"/>
      <c r="Y981" s="2519"/>
      <c r="Z981" s="2519"/>
      <c r="AA981" s="2519"/>
      <c r="AB981" s="2519"/>
      <c r="AC981" s="2519"/>
      <c r="AD981" s="2519"/>
      <c r="AE981" s="2520"/>
      <c r="AF981" s="110"/>
      <c r="AG981" s="112"/>
      <c r="AH981" s="112"/>
      <c r="AI981" s="121"/>
      <c r="AJ981" s="2481"/>
      <c r="AK981" s="2148"/>
      <c r="AL981" s="2148"/>
      <c r="AM981" s="2148"/>
      <c r="AN981" s="2148"/>
      <c r="AO981" s="2148"/>
      <c r="AP981" s="2148"/>
      <c r="AQ981" s="2482"/>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8"/>
      <c r="E982" s="2519"/>
      <c r="F982" s="2519"/>
      <c r="G982" s="2519"/>
      <c r="H982" s="2519"/>
      <c r="I982" s="2519"/>
      <c r="J982" s="2519"/>
      <c r="K982" s="2519"/>
      <c r="L982" s="2519"/>
      <c r="M982" s="2519"/>
      <c r="N982" s="2519"/>
      <c r="O982" s="2519"/>
      <c r="P982" s="2519"/>
      <c r="Q982" s="2519"/>
      <c r="R982" s="2519"/>
      <c r="S982" s="2519"/>
      <c r="T982" s="2519"/>
      <c r="U982" s="2519"/>
      <c r="V982" s="2519"/>
      <c r="W982" s="2519"/>
      <c r="X982" s="2519"/>
      <c r="Y982" s="2519"/>
      <c r="Z982" s="2519"/>
      <c r="AA982" s="2519"/>
      <c r="AB982" s="2519"/>
      <c r="AC982" s="2519"/>
      <c r="AD982" s="2519"/>
      <c r="AE982" s="2520"/>
      <c r="AF982" s="110"/>
      <c r="AG982" s="112"/>
      <c r="AH982" s="112"/>
      <c r="AI982" s="121"/>
      <c r="AJ982" s="2481"/>
      <c r="AK982" s="2148"/>
      <c r="AL982" s="2148"/>
      <c r="AM982" s="2148"/>
      <c r="AN982" s="2148"/>
      <c r="AO982" s="2148"/>
      <c r="AP982" s="2148"/>
      <c r="AQ982" s="2482"/>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8"/>
      <c r="E983" s="2519"/>
      <c r="F983" s="2519"/>
      <c r="G983" s="2519"/>
      <c r="H983" s="2519"/>
      <c r="I983" s="2519"/>
      <c r="J983" s="2519"/>
      <c r="K983" s="2519"/>
      <c r="L983" s="2519"/>
      <c r="M983" s="2519"/>
      <c r="N983" s="2519"/>
      <c r="O983" s="2519"/>
      <c r="P983" s="2519"/>
      <c r="Q983" s="2519"/>
      <c r="R983" s="2519"/>
      <c r="S983" s="2519"/>
      <c r="T983" s="2519"/>
      <c r="U983" s="2519"/>
      <c r="V983" s="2519"/>
      <c r="W983" s="2519"/>
      <c r="X983" s="2519"/>
      <c r="Y983" s="2519"/>
      <c r="Z983" s="2519"/>
      <c r="AA983" s="2519"/>
      <c r="AB983" s="2519"/>
      <c r="AC983" s="2519"/>
      <c r="AD983" s="2519"/>
      <c r="AE983" s="2520"/>
      <c r="AF983" s="110"/>
      <c r="AG983" s="112"/>
      <c r="AH983" s="112"/>
      <c r="AI983" s="121"/>
      <c r="AJ983" s="2481"/>
      <c r="AK983" s="2148"/>
      <c r="AL983" s="2148"/>
      <c r="AM983" s="2148"/>
      <c r="AN983" s="2148"/>
      <c r="AO983" s="2148"/>
      <c r="AP983" s="2148"/>
      <c r="AQ983" s="2482"/>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8"/>
      <c r="E984" s="2519"/>
      <c r="F984" s="2519"/>
      <c r="G984" s="2519"/>
      <c r="H984" s="2519"/>
      <c r="I984" s="2519"/>
      <c r="J984" s="2519"/>
      <c r="K984" s="2519"/>
      <c r="L984" s="2519"/>
      <c r="M984" s="2519"/>
      <c r="N984" s="2519"/>
      <c r="O984" s="2519"/>
      <c r="P984" s="2519"/>
      <c r="Q984" s="2519"/>
      <c r="R984" s="2519"/>
      <c r="S984" s="2519"/>
      <c r="T984" s="2519"/>
      <c r="U984" s="2519"/>
      <c r="V984" s="2519"/>
      <c r="W984" s="2519"/>
      <c r="X984" s="2519"/>
      <c r="Y984" s="2519"/>
      <c r="Z984" s="2519"/>
      <c r="AA984" s="2519"/>
      <c r="AB984" s="2519"/>
      <c r="AC984" s="2519"/>
      <c r="AD984" s="2519"/>
      <c r="AE984" s="2520"/>
      <c r="AF984" s="110"/>
      <c r="AG984" s="112"/>
      <c r="AH984" s="112"/>
      <c r="AI984" s="121"/>
      <c r="AJ984" s="2481"/>
      <c r="AK984" s="2148"/>
      <c r="AL984" s="2148"/>
      <c r="AM984" s="2148"/>
      <c r="AN984" s="2148"/>
      <c r="AO984" s="2148"/>
      <c r="AP984" s="2148"/>
      <c r="AQ984" s="2482"/>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4"/>
      <c r="E985" s="2525"/>
      <c r="F985" s="2525"/>
      <c r="G985" s="2525"/>
      <c r="H985" s="2525"/>
      <c r="I985" s="2525"/>
      <c r="J985" s="2525"/>
      <c r="K985" s="2525"/>
      <c r="L985" s="2525"/>
      <c r="M985" s="2525"/>
      <c r="N985" s="2525"/>
      <c r="O985" s="2525"/>
      <c r="P985" s="2525"/>
      <c r="Q985" s="2525"/>
      <c r="R985" s="2525"/>
      <c r="S985" s="2525"/>
      <c r="T985" s="2525"/>
      <c r="U985" s="2525"/>
      <c r="V985" s="2525"/>
      <c r="W985" s="2525"/>
      <c r="X985" s="2525"/>
      <c r="Y985" s="2525"/>
      <c r="Z985" s="2525"/>
      <c r="AA985" s="2525"/>
      <c r="AB985" s="2525"/>
      <c r="AC985" s="2525"/>
      <c r="AD985" s="2525"/>
      <c r="AE985" s="2526"/>
      <c r="AF985" s="115"/>
      <c r="AG985" s="11"/>
      <c r="AH985" s="11"/>
      <c r="AI985" s="116"/>
      <c r="AJ985" s="2483"/>
      <c r="AK985" s="2484"/>
      <c r="AL985" s="2484"/>
      <c r="AM985" s="2484"/>
      <c r="AN985" s="2484"/>
      <c r="AO985" s="2484"/>
      <c r="AP985" s="2484"/>
      <c r="AQ985" s="2485"/>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41" t="s">
        <v>2171</v>
      </c>
      <c r="E986" s="2442"/>
      <c r="F986" s="2442"/>
      <c r="G986" s="2442"/>
      <c r="H986" s="2442"/>
      <c r="I986" s="2442"/>
      <c r="J986" s="2442"/>
      <c r="K986" s="2442"/>
      <c r="L986" s="2442"/>
      <c r="M986" s="2442"/>
      <c r="N986" s="2442"/>
      <c r="O986" s="2442"/>
      <c r="P986" s="2442"/>
      <c r="Q986" s="2442"/>
      <c r="R986" s="2442"/>
      <c r="S986" s="2442"/>
      <c r="T986" s="2442"/>
      <c r="U986" s="2442"/>
      <c r="V986" s="2442"/>
      <c r="W986" s="2442"/>
      <c r="X986" s="2442"/>
      <c r="Y986" s="2442"/>
      <c r="Z986" s="2442"/>
      <c r="AA986" s="2442"/>
      <c r="AB986" s="2442"/>
      <c r="AC986" s="2442"/>
      <c r="AD986" s="2442"/>
      <c r="AE986" s="2443"/>
      <c r="AF986" s="124"/>
      <c r="AG986" s="2453" t="s">
        <v>577</v>
      </c>
      <c r="AH986" s="2454"/>
      <c r="AI986" s="125"/>
      <c r="AJ986" s="2478">
        <f>ROUND(IF(AG986="yes",AJ975*0.1,0),0)</f>
        <v>7389043</v>
      </c>
      <c r="AK986" s="2479"/>
      <c r="AL986" s="2479"/>
      <c r="AM986" s="2479"/>
      <c r="AN986" s="2479"/>
      <c r="AO986" s="2479"/>
      <c r="AP986" s="2479"/>
      <c r="AQ986" s="2480"/>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44" t="s">
        <v>1529</v>
      </c>
      <c r="E987" s="2445"/>
      <c r="F987" s="2445"/>
      <c r="G987" s="2445"/>
      <c r="H987" s="2445"/>
      <c r="I987" s="2445"/>
      <c r="J987" s="2445"/>
      <c r="K987" s="2445"/>
      <c r="L987" s="2445"/>
      <c r="M987" s="2445"/>
      <c r="N987" s="2445"/>
      <c r="O987" s="2445"/>
      <c r="P987" s="2445"/>
      <c r="Q987" s="2445"/>
      <c r="R987" s="2445"/>
      <c r="S987" s="2445"/>
      <c r="T987" s="2445"/>
      <c r="U987" s="2445"/>
      <c r="V987" s="2445"/>
      <c r="W987" s="2445"/>
      <c r="X987" s="2445"/>
      <c r="Y987" s="2445"/>
      <c r="Z987" s="2445"/>
      <c r="AA987" s="2445"/>
      <c r="AB987" s="2445"/>
      <c r="AC987" s="2445"/>
      <c r="AD987" s="2445"/>
      <c r="AE987" s="2446"/>
      <c r="AF987" s="110"/>
      <c r="AG987" s="25"/>
      <c r="AH987" s="25"/>
      <c r="AI987" s="121"/>
      <c r="AJ987" s="2481"/>
      <c r="AK987" s="2148"/>
      <c r="AL987" s="2148"/>
      <c r="AM987" s="2148"/>
      <c r="AN987" s="2148"/>
      <c r="AO987" s="2148"/>
      <c r="AP987" s="2148"/>
      <c r="AQ987" s="2482"/>
      <c r="AR987" s="1583"/>
      <c r="AS987" s="1583"/>
      <c r="AT987" s="1583"/>
      <c r="AU987" s="1583"/>
      <c r="AV987" s="1583"/>
      <c r="AW987" s="1583"/>
      <c r="AX987" s="1583"/>
      <c r="AY987" s="1583"/>
      <c r="AZ987" s="61"/>
      <c r="BA987" s="1612">
        <f>G753+O796</f>
        <v>150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44"/>
      <c r="E988" s="2445"/>
      <c r="F988" s="2445"/>
      <c r="G988" s="2445"/>
      <c r="H988" s="2445"/>
      <c r="I988" s="2445"/>
      <c r="J988" s="2445"/>
      <c r="K988" s="2445"/>
      <c r="L988" s="2445"/>
      <c r="M988" s="2445"/>
      <c r="N988" s="2445"/>
      <c r="O988" s="2445"/>
      <c r="P988" s="2445"/>
      <c r="Q988" s="2445"/>
      <c r="R988" s="2445"/>
      <c r="S988" s="2445"/>
      <c r="T988" s="2445"/>
      <c r="U988" s="2445"/>
      <c r="V988" s="2445"/>
      <c r="W988" s="2445"/>
      <c r="X988" s="2445"/>
      <c r="Y988" s="2445"/>
      <c r="Z988" s="2445"/>
      <c r="AA988" s="2445"/>
      <c r="AB988" s="2445"/>
      <c r="AC988" s="2445"/>
      <c r="AD988" s="2445"/>
      <c r="AE988" s="2446"/>
      <c r="AF988" s="110"/>
      <c r="AG988" s="112"/>
      <c r="AH988" s="112"/>
      <c r="AI988" s="121"/>
      <c r="AJ988" s="2481"/>
      <c r="AK988" s="2148"/>
      <c r="AL988" s="2148"/>
      <c r="AM988" s="2148"/>
      <c r="AN988" s="2148"/>
      <c r="AO988" s="2148"/>
      <c r="AP988" s="2148"/>
      <c r="AQ988" s="2482"/>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7"/>
      <c r="E989" s="2458"/>
      <c r="F989" s="2458"/>
      <c r="G989" s="2458"/>
      <c r="H989" s="2458"/>
      <c r="I989" s="2458"/>
      <c r="J989" s="2458"/>
      <c r="K989" s="2458"/>
      <c r="L989" s="2458"/>
      <c r="M989" s="2458"/>
      <c r="N989" s="2458"/>
      <c r="O989" s="2458"/>
      <c r="P989" s="2458"/>
      <c r="Q989" s="2458"/>
      <c r="R989" s="2458"/>
      <c r="S989" s="2458"/>
      <c r="T989" s="2458"/>
      <c r="U989" s="2458"/>
      <c r="V989" s="2458"/>
      <c r="W989" s="2458"/>
      <c r="X989" s="2458"/>
      <c r="Y989" s="2458"/>
      <c r="Z989" s="2458"/>
      <c r="AA989" s="2458"/>
      <c r="AB989" s="2458"/>
      <c r="AC989" s="2458"/>
      <c r="AD989" s="2458"/>
      <c r="AE989" s="2459"/>
      <c r="AF989" s="115"/>
      <c r="AG989" s="11"/>
      <c r="AH989" s="11"/>
      <c r="AI989" s="116"/>
      <c r="AJ989" s="2483"/>
      <c r="AK989" s="2484"/>
      <c r="AL989" s="2484"/>
      <c r="AM989" s="2484"/>
      <c r="AN989" s="2484"/>
      <c r="AO989" s="2484"/>
      <c r="AP989" s="2484"/>
      <c r="AQ989" s="2485"/>
      <c r="AR989" s="1583"/>
      <c r="AS989" s="1583"/>
      <c r="AT989" s="1583"/>
      <c r="AU989" s="1583"/>
      <c r="AV989" s="1583"/>
      <c r="AW989" s="1583"/>
      <c r="AX989" s="1583"/>
      <c r="AY989" s="1583"/>
      <c r="AZ989" s="61"/>
      <c r="BA989" s="1611">
        <f>ROUNDDOWN(X1027/I1027,2)</f>
        <v>0.4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1" t="s">
        <v>1531</v>
      </c>
      <c r="E990" s="2442"/>
      <c r="F990" s="2442"/>
      <c r="G990" s="2442"/>
      <c r="H990" s="2442"/>
      <c r="I990" s="2442"/>
      <c r="J990" s="2442"/>
      <c r="K990" s="2442"/>
      <c r="L990" s="2442"/>
      <c r="M990" s="2442"/>
      <c r="N990" s="2442"/>
      <c r="O990" s="2442"/>
      <c r="P990" s="2442"/>
      <c r="Q990" s="2442"/>
      <c r="R990" s="2442"/>
      <c r="S990" s="2442"/>
      <c r="T990" s="2442"/>
      <c r="U990" s="2442"/>
      <c r="V990" s="2442"/>
      <c r="W990" s="2442"/>
      <c r="X990" s="2442"/>
      <c r="Y990" s="2442"/>
      <c r="Z990" s="2442"/>
      <c r="AA990" s="2442"/>
      <c r="AB990" s="2442"/>
      <c r="AC990" s="2442"/>
      <c r="AD990" s="2442"/>
      <c r="AE990" s="2443"/>
      <c r="AF990" s="117"/>
      <c r="AG990" s="2453" t="s">
        <v>705</v>
      </c>
      <c r="AH990" s="2454"/>
      <c r="AI990" s="125"/>
      <c r="AJ990" s="2478">
        <f>ROUND(IF(AG990="yes",AJ975*0.02,0),0)</f>
        <v>0</v>
      </c>
      <c r="AK990" s="2479"/>
      <c r="AL990" s="2479"/>
      <c r="AM990" s="2479"/>
      <c r="AN990" s="2479"/>
      <c r="AO990" s="2479"/>
      <c r="AP990" s="2479"/>
      <c r="AQ990" s="2480"/>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7" t="s">
        <v>1532</v>
      </c>
      <c r="E991" s="2458"/>
      <c r="F991" s="2458"/>
      <c r="G991" s="2458"/>
      <c r="H991" s="2458"/>
      <c r="I991" s="2458"/>
      <c r="J991" s="2458"/>
      <c r="K991" s="2458"/>
      <c r="L991" s="2458"/>
      <c r="M991" s="2458"/>
      <c r="N991" s="2458"/>
      <c r="O991" s="2458"/>
      <c r="P991" s="2458"/>
      <c r="Q991" s="2458"/>
      <c r="R991" s="2458"/>
      <c r="S991" s="2458"/>
      <c r="T991" s="2458"/>
      <c r="U991" s="2458"/>
      <c r="V991" s="2458"/>
      <c r="W991" s="2458"/>
      <c r="X991" s="2458"/>
      <c r="Y991" s="2458"/>
      <c r="Z991" s="2458"/>
      <c r="AA991" s="2458"/>
      <c r="AB991" s="2458"/>
      <c r="AC991" s="2458"/>
      <c r="AD991" s="2458"/>
      <c r="AE991" s="2459"/>
      <c r="AF991" s="115"/>
      <c r="AG991" s="11"/>
      <c r="AH991" s="11"/>
      <c r="AI991" s="116"/>
      <c r="AJ991" s="2483"/>
      <c r="AK991" s="2484"/>
      <c r="AL991" s="2484"/>
      <c r="AM991" s="2484"/>
      <c r="AN991" s="2484"/>
      <c r="AO991" s="2484"/>
      <c r="AP991" s="2484"/>
      <c r="AQ991" s="2485"/>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41" t="s">
        <v>1533</v>
      </c>
      <c r="E992" s="2442"/>
      <c r="F992" s="2442"/>
      <c r="G992" s="2442"/>
      <c r="H992" s="2442"/>
      <c r="I992" s="2442"/>
      <c r="J992" s="2442"/>
      <c r="K992" s="2442"/>
      <c r="L992" s="2442"/>
      <c r="M992" s="2442"/>
      <c r="N992" s="2442"/>
      <c r="O992" s="2442"/>
      <c r="P992" s="2442"/>
      <c r="Q992" s="2442"/>
      <c r="R992" s="2442"/>
      <c r="S992" s="2442"/>
      <c r="T992" s="2442"/>
      <c r="U992" s="2442"/>
      <c r="V992" s="2442"/>
      <c r="W992" s="2442"/>
      <c r="X992" s="2442"/>
      <c r="Y992" s="2442"/>
      <c r="Z992" s="2442"/>
      <c r="AA992" s="2442"/>
      <c r="AB992" s="2442"/>
      <c r="AC992" s="2442"/>
      <c r="AD992" s="2442"/>
      <c r="AE992" s="2443"/>
      <c r="AF992" s="117"/>
      <c r="AG992" s="2453" t="s">
        <v>705</v>
      </c>
      <c r="AH992" s="2454"/>
      <c r="AI992" s="117"/>
      <c r="AJ992" s="2478">
        <f>ROUND(IF(AG992="yes",AJ975*0.02,0),0)</f>
        <v>0</v>
      </c>
      <c r="AK992" s="2479"/>
      <c r="AL992" s="2479"/>
      <c r="AM992" s="2479"/>
      <c r="AN992" s="2479"/>
      <c r="AO992" s="2479"/>
      <c r="AP992" s="2479"/>
      <c r="AQ992" s="2480"/>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44" t="s">
        <v>1534</v>
      </c>
      <c r="E993" s="2445"/>
      <c r="F993" s="2445"/>
      <c r="G993" s="2445"/>
      <c r="H993" s="2445"/>
      <c r="I993" s="2445"/>
      <c r="J993" s="2445"/>
      <c r="K993" s="2445"/>
      <c r="L993" s="2445"/>
      <c r="M993" s="2445"/>
      <c r="N993" s="2445"/>
      <c r="O993" s="2445"/>
      <c r="P993" s="2445"/>
      <c r="Q993" s="2445"/>
      <c r="R993" s="2445"/>
      <c r="S993" s="2445"/>
      <c r="T993" s="2445"/>
      <c r="U993" s="2445"/>
      <c r="V993" s="2445"/>
      <c r="W993" s="2445"/>
      <c r="X993" s="2445"/>
      <c r="Y993" s="2445"/>
      <c r="Z993" s="2445"/>
      <c r="AA993" s="2445"/>
      <c r="AB993" s="2445"/>
      <c r="AC993" s="2445"/>
      <c r="AD993" s="2445"/>
      <c r="AE993" s="2446"/>
      <c r="AF993" s="110"/>
      <c r="AG993" s="25"/>
      <c r="AH993" s="25"/>
      <c r="AI993" s="112"/>
      <c r="AJ993" s="2481"/>
      <c r="AK993" s="2148"/>
      <c r="AL993" s="2148"/>
      <c r="AM993" s="2148"/>
      <c r="AN993" s="2148"/>
      <c r="AO993" s="2148"/>
      <c r="AP993" s="2148"/>
      <c r="AQ993" s="2482"/>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7"/>
      <c r="E994" s="2458"/>
      <c r="F994" s="2458"/>
      <c r="G994" s="2458"/>
      <c r="H994" s="2458"/>
      <c r="I994" s="2458"/>
      <c r="J994" s="2458"/>
      <c r="K994" s="2458"/>
      <c r="L994" s="2458"/>
      <c r="M994" s="2458"/>
      <c r="N994" s="2458"/>
      <c r="O994" s="2458"/>
      <c r="P994" s="2458"/>
      <c r="Q994" s="2458"/>
      <c r="R994" s="2458"/>
      <c r="S994" s="2458"/>
      <c r="T994" s="2458"/>
      <c r="U994" s="2458"/>
      <c r="V994" s="2458"/>
      <c r="W994" s="2458"/>
      <c r="X994" s="2458"/>
      <c r="Y994" s="2458"/>
      <c r="Z994" s="2458"/>
      <c r="AA994" s="2458"/>
      <c r="AB994" s="2458"/>
      <c r="AC994" s="2458"/>
      <c r="AD994" s="2458"/>
      <c r="AE994" s="2459"/>
      <c r="AF994" s="115"/>
      <c r="AG994" s="11"/>
      <c r="AH994" s="11"/>
      <c r="AI994" s="116"/>
      <c r="AJ994" s="2483"/>
      <c r="AK994" s="2484"/>
      <c r="AL994" s="2484"/>
      <c r="AM994" s="2484"/>
      <c r="AN994" s="2484"/>
      <c r="AO994" s="2484"/>
      <c r="AP994" s="2484"/>
      <c r="AQ994" s="2485"/>
      <c r="AR994" s="1583"/>
      <c r="AS994" s="1583"/>
      <c r="AT994" s="1583"/>
      <c r="AU994" s="1583"/>
      <c r="AV994" s="1583"/>
      <c r="AW994" s="1583"/>
      <c r="AX994" s="1583"/>
      <c r="AY994" s="1583"/>
    </row>
    <row r="995" spans="1:96" s="719" customFormat="1" ht="12.75" customHeight="1">
      <c r="A995" s="51"/>
      <c r="B995" s="117"/>
      <c r="C995" s="118" t="s">
        <v>224</v>
      </c>
      <c r="D995" s="2489" t="s">
        <v>1535</v>
      </c>
      <c r="E995" s="2490"/>
      <c r="F995" s="2490"/>
      <c r="G995" s="2490"/>
      <c r="H995" s="2490"/>
      <c r="I995" s="2490"/>
      <c r="J995" s="2490"/>
      <c r="K995" s="2490"/>
      <c r="L995" s="2490"/>
      <c r="M995" s="2490"/>
      <c r="N995" s="2490"/>
      <c r="O995" s="2490"/>
      <c r="P995" s="2490"/>
      <c r="Q995" s="2490"/>
      <c r="R995" s="2490"/>
      <c r="S995" s="2490"/>
      <c r="T995" s="2490"/>
      <c r="U995" s="2490"/>
      <c r="V995" s="2490"/>
      <c r="W995" s="2490"/>
      <c r="X995" s="2490"/>
      <c r="Y995" s="2490"/>
      <c r="Z995" s="2490"/>
      <c r="AA995" s="2490"/>
      <c r="AB995" s="2490"/>
      <c r="AC995" s="2490"/>
      <c r="AD995" s="2490"/>
      <c r="AE995" s="2491"/>
      <c r="AF995" s="117"/>
      <c r="AG995" s="2453" t="s">
        <v>705</v>
      </c>
      <c r="AH995" s="2454"/>
      <c r="AI995" s="125"/>
      <c r="AJ995" s="2478">
        <f>IF(AG995="yes",AJ975*BA995,0)</f>
        <v>0</v>
      </c>
      <c r="AK995" s="2479"/>
      <c r="AL995" s="2479"/>
      <c r="AM995" s="2479"/>
      <c r="AN995" s="2479"/>
      <c r="AO995" s="2479"/>
      <c r="AP995" s="2479"/>
      <c r="AQ995" s="2480"/>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44" t="s">
        <v>1536</v>
      </c>
      <c r="E996" s="2445"/>
      <c r="F996" s="2445"/>
      <c r="G996" s="2445"/>
      <c r="H996" s="2445"/>
      <c r="I996" s="2445"/>
      <c r="J996" s="2445"/>
      <c r="K996" s="2445"/>
      <c r="L996" s="2445"/>
      <c r="M996" s="2445"/>
      <c r="N996" s="2445"/>
      <c r="O996" s="2445"/>
      <c r="P996" s="2445"/>
      <c r="Q996" s="2445"/>
      <c r="R996" s="2445"/>
      <c r="S996" s="2445"/>
      <c r="T996" s="2445"/>
      <c r="U996" s="2445"/>
      <c r="V996" s="2445"/>
      <c r="W996" s="2445"/>
      <c r="X996" s="2445"/>
      <c r="Y996" s="2445"/>
      <c r="Z996" s="2445"/>
      <c r="AA996" s="2445"/>
      <c r="AB996" s="2445"/>
      <c r="AC996" s="2445"/>
      <c r="AD996" s="2445"/>
      <c r="AE996" s="2446"/>
      <c r="AF996" s="110"/>
      <c r="AG996" s="112"/>
      <c r="AH996" s="112"/>
      <c r="AI996" s="121"/>
      <c r="AJ996" s="2481"/>
      <c r="AK996" s="2148"/>
      <c r="AL996" s="2148"/>
      <c r="AM996" s="2148"/>
      <c r="AN996" s="2148"/>
      <c r="AO996" s="2148"/>
      <c r="AP996" s="2148"/>
      <c r="AQ996" s="2482"/>
      <c r="AR996" s="1583"/>
      <c r="AS996" s="1583"/>
      <c r="AT996" s="1583"/>
      <c r="AU996" s="1583"/>
      <c r="AV996" s="1583"/>
      <c r="AW996" s="1583"/>
      <c r="AX996" s="1583"/>
      <c r="AY996" s="1583"/>
    </row>
    <row r="997" spans="1:96" ht="12.75" customHeight="1">
      <c r="A997" s="51"/>
      <c r="B997" s="110"/>
      <c r="C997" s="111"/>
      <c r="D997" s="2444"/>
      <c r="E997" s="2445"/>
      <c r="F997" s="2445"/>
      <c r="G997" s="2445"/>
      <c r="H997" s="2445"/>
      <c r="I997" s="2445"/>
      <c r="J997" s="2445"/>
      <c r="K997" s="2445"/>
      <c r="L997" s="2445"/>
      <c r="M997" s="2445"/>
      <c r="N997" s="2445"/>
      <c r="O997" s="2445"/>
      <c r="P997" s="2445"/>
      <c r="Q997" s="2445"/>
      <c r="R997" s="2445"/>
      <c r="S997" s="2445"/>
      <c r="T997" s="2445"/>
      <c r="U997" s="2445"/>
      <c r="V997" s="2445"/>
      <c r="W997" s="2445"/>
      <c r="X997" s="2445"/>
      <c r="Y997" s="2445"/>
      <c r="Z997" s="2445"/>
      <c r="AA997" s="2445"/>
      <c r="AB997" s="2445"/>
      <c r="AC997" s="2445"/>
      <c r="AD997" s="2445"/>
      <c r="AE997" s="2446"/>
      <c r="AF997" s="110"/>
      <c r="AG997" s="112"/>
      <c r="AH997" s="112"/>
      <c r="AI997" s="121"/>
      <c r="AJ997" s="2481"/>
      <c r="AK997" s="2148"/>
      <c r="AL997" s="2148"/>
      <c r="AM997" s="2148"/>
      <c r="AN997" s="2148"/>
      <c r="AO997" s="2148"/>
      <c r="AP997" s="2148"/>
      <c r="AQ997" s="2482"/>
      <c r="AR997" s="1583"/>
      <c r="AS997" s="1583"/>
      <c r="AT997" s="1583"/>
      <c r="AU997" s="1583"/>
      <c r="AV997" s="1583"/>
      <c r="AW997" s="1583"/>
      <c r="AX997" s="1583"/>
      <c r="AY997" s="1583"/>
      <c r="BA997" s="320">
        <f>IF(A1044="Yes",0.05,0)</f>
        <v>0</v>
      </c>
    </row>
    <row r="998" spans="1:96" ht="15" customHeight="1">
      <c r="A998" s="51"/>
      <c r="B998" s="119"/>
      <c r="C998" s="120"/>
      <c r="D998" s="2457"/>
      <c r="E998" s="2458"/>
      <c r="F998" s="2458"/>
      <c r="G998" s="2458"/>
      <c r="H998" s="2458"/>
      <c r="I998" s="2458"/>
      <c r="J998" s="2458"/>
      <c r="K998" s="2458"/>
      <c r="L998" s="2458"/>
      <c r="M998" s="2458"/>
      <c r="N998" s="2458"/>
      <c r="O998" s="2458"/>
      <c r="P998" s="2458"/>
      <c r="Q998" s="2458"/>
      <c r="R998" s="2458"/>
      <c r="S998" s="2458"/>
      <c r="T998" s="2458"/>
      <c r="U998" s="2458"/>
      <c r="V998" s="2458"/>
      <c r="W998" s="2458"/>
      <c r="X998" s="2458"/>
      <c r="Y998" s="2458"/>
      <c r="Z998" s="2458"/>
      <c r="AA998" s="2458"/>
      <c r="AB998" s="2458"/>
      <c r="AC998" s="2458"/>
      <c r="AD998" s="2458"/>
      <c r="AE998" s="2459"/>
      <c r="AF998" s="115"/>
      <c r="AG998" s="11"/>
      <c r="AH998" s="11"/>
      <c r="AI998" s="116"/>
      <c r="AJ998" s="2483"/>
      <c r="AK998" s="2484"/>
      <c r="AL998" s="2484"/>
      <c r="AM998" s="2484"/>
      <c r="AN998" s="2484"/>
      <c r="AO998" s="2484"/>
      <c r="AP998" s="2484"/>
      <c r="AQ998" s="2485"/>
      <c r="AR998" s="1583"/>
      <c r="AS998" s="1583"/>
      <c r="AT998" s="1583"/>
      <c r="AU998" s="1583"/>
      <c r="AV998" s="1583"/>
      <c r="AW998" s="1583"/>
      <c r="AX998" s="1583"/>
      <c r="AY998" s="1583"/>
      <c r="BA998" s="320">
        <f>IF(A1050="Yes",0.02,0)</f>
        <v>0</v>
      </c>
    </row>
    <row r="999" spans="1:96" s="719" customFormat="1" ht="15" customHeight="1">
      <c r="A999" s="51"/>
      <c r="B999" s="117"/>
      <c r="C999" s="118" t="s">
        <v>229</v>
      </c>
      <c r="D999" s="2539" t="s">
        <v>1537</v>
      </c>
      <c r="E999" s="2540"/>
      <c r="F999" s="2540"/>
      <c r="G999" s="2540"/>
      <c r="H999" s="2540"/>
      <c r="I999" s="2540"/>
      <c r="J999" s="2540"/>
      <c r="K999" s="2540"/>
      <c r="L999" s="2540"/>
      <c r="M999" s="2540"/>
      <c r="N999" s="2540"/>
      <c r="O999" s="2540"/>
      <c r="P999" s="2540"/>
      <c r="Q999" s="2540"/>
      <c r="R999" s="2540"/>
      <c r="S999" s="2540"/>
      <c r="T999" s="2540"/>
      <c r="U999" s="2540"/>
      <c r="V999" s="2540"/>
      <c r="W999" s="2540"/>
      <c r="X999" s="2540"/>
      <c r="Y999" s="2540"/>
      <c r="Z999" s="2540"/>
      <c r="AA999" s="2540"/>
      <c r="AB999" s="2540"/>
      <c r="AC999" s="2540"/>
      <c r="AD999" s="2540"/>
      <c r="AE999" s="2541"/>
      <c r="AF999" s="117"/>
      <c r="AG999" s="2453" t="s">
        <v>705</v>
      </c>
      <c r="AH999" s="2454"/>
      <c r="AI999" s="125"/>
      <c r="AJ999" s="2506"/>
      <c r="AK999" s="2507"/>
      <c r="AL999" s="2507"/>
      <c r="AM999" s="2507"/>
      <c r="AN999" s="2507"/>
      <c r="AO999" s="2507"/>
      <c r="AP999" s="2507"/>
      <c r="AQ999" s="2508"/>
      <c r="AR999" s="1583"/>
      <c r="AS999" s="1583"/>
      <c r="AT999" s="1583"/>
      <c r="AU999" s="1583"/>
      <c r="AV999" s="1583"/>
      <c r="AW999" s="1583"/>
      <c r="AX999" s="1583"/>
      <c r="AY999" s="1583"/>
      <c r="BA999" s="320">
        <f>IF(A1056="Yes",0.04,0)</f>
        <v>0</v>
      </c>
      <c r="CR999" s="25"/>
    </row>
    <row r="1000" spans="1:96" ht="12.5">
      <c r="A1000" s="51"/>
      <c r="B1000" s="119"/>
      <c r="C1000" s="122"/>
      <c r="D1000" s="2542"/>
      <c r="E1000" s="2543"/>
      <c r="F1000" s="2543"/>
      <c r="G1000" s="2543"/>
      <c r="H1000" s="2543"/>
      <c r="I1000" s="2543"/>
      <c r="J1000" s="2543"/>
      <c r="K1000" s="2543"/>
      <c r="L1000" s="2543"/>
      <c r="M1000" s="2543"/>
      <c r="N1000" s="2543"/>
      <c r="O1000" s="2543"/>
      <c r="P1000" s="2543"/>
      <c r="Q1000" s="2543"/>
      <c r="R1000" s="2543"/>
      <c r="S1000" s="2543"/>
      <c r="T1000" s="2543"/>
      <c r="U1000" s="2543"/>
      <c r="V1000" s="2543"/>
      <c r="W1000" s="2543"/>
      <c r="X1000" s="2543"/>
      <c r="Y1000" s="2543"/>
      <c r="Z1000" s="2543"/>
      <c r="AA1000" s="2543"/>
      <c r="AB1000" s="2543"/>
      <c r="AC1000" s="2543"/>
      <c r="AD1000" s="2543"/>
      <c r="AE1000" s="2544"/>
      <c r="AF1000" s="2527">
        <f>IF(AG999="yes","Please Select Type and Enter Amount:",0)</f>
        <v>0</v>
      </c>
      <c r="AG1000" s="2528"/>
      <c r="AH1000" s="2528"/>
      <c r="AI1000" s="2529"/>
      <c r="AJ1000" s="2509"/>
      <c r="AK1000" s="2510"/>
      <c r="AL1000" s="2510"/>
      <c r="AM1000" s="2510"/>
      <c r="AN1000" s="2510"/>
      <c r="AO1000" s="2510"/>
      <c r="AP1000" s="2510"/>
      <c r="AQ1000" s="2511"/>
      <c r="AR1000" s="1583"/>
      <c r="AS1000" s="1583"/>
      <c r="AT1000" s="1583"/>
      <c r="AU1000" s="1583"/>
      <c r="AV1000" s="1583"/>
      <c r="AW1000" s="1583"/>
      <c r="AX1000" s="1583"/>
      <c r="AY1000" s="1583"/>
      <c r="BA1000" s="320">
        <f>IF(A1063="Yes",0.04,0)</f>
        <v>0</v>
      </c>
    </row>
    <row r="1001" spans="1:96" ht="12.75" customHeight="1">
      <c r="A1001" s="51"/>
      <c r="B1001" s="119"/>
      <c r="C1001" s="122"/>
      <c r="D1001" s="2444" t="s">
        <v>1538</v>
      </c>
      <c r="E1001" s="2445"/>
      <c r="F1001" s="2445"/>
      <c r="G1001" s="2445"/>
      <c r="H1001" s="2445"/>
      <c r="I1001" s="2445"/>
      <c r="J1001" s="2445"/>
      <c r="K1001" s="2445"/>
      <c r="L1001" s="2445"/>
      <c r="M1001" s="2445"/>
      <c r="N1001" s="2445"/>
      <c r="O1001" s="2445"/>
      <c r="P1001" s="2445"/>
      <c r="Q1001" s="2445"/>
      <c r="R1001" s="2445"/>
      <c r="S1001" s="2445"/>
      <c r="T1001" s="2445"/>
      <c r="U1001" s="2445"/>
      <c r="V1001" s="2445"/>
      <c r="W1001" s="2445"/>
      <c r="X1001" s="2445"/>
      <c r="Y1001" s="2445"/>
      <c r="Z1001" s="2445"/>
      <c r="AA1001" s="2445"/>
      <c r="AB1001" s="2445"/>
      <c r="AC1001" s="2445"/>
      <c r="AD1001" s="2445"/>
      <c r="AE1001" s="2446"/>
      <c r="AF1001" s="2527"/>
      <c r="AG1001" s="2528"/>
      <c r="AH1001" s="2528"/>
      <c r="AI1001" s="2529"/>
      <c r="AJ1001" s="2509"/>
      <c r="AK1001" s="2510"/>
      <c r="AL1001" s="2510"/>
      <c r="AM1001" s="2510"/>
      <c r="AN1001" s="2510"/>
      <c r="AO1001" s="2510"/>
      <c r="AP1001" s="2510"/>
      <c r="AQ1001" s="2511"/>
      <c r="AR1001" s="1583"/>
      <c r="AS1001" s="1583"/>
      <c r="AT1001" s="1583"/>
      <c r="AU1001" s="1583"/>
      <c r="AV1001" s="1583"/>
      <c r="AW1001" s="1583"/>
      <c r="AX1001" s="1583"/>
      <c r="AY1001" s="1583"/>
      <c r="BA1001" s="320">
        <f>IF(A1066="Yes",0.01,0)</f>
        <v>0</v>
      </c>
    </row>
    <row r="1002" spans="1:96" ht="12.75" customHeight="1">
      <c r="A1002" s="51"/>
      <c r="B1002" s="119"/>
      <c r="C1002" s="122"/>
      <c r="D1002" s="2444"/>
      <c r="E1002" s="2445"/>
      <c r="F1002" s="2445"/>
      <c r="G1002" s="2445"/>
      <c r="H1002" s="2445"/>
      <c r="I1002" s="2445"/>
      <c r="J1002" s="2445"/>
      <c r="K1002" s="2445"/>
      <c r="L1002" s="2445"/>
      <c r="M1002" s="2445"/>
      <c r="N1002" s="2445"/>
      <c r="O1002" s="2445"/>
      <c r="P1002" s="2445"/>
      <c r="Q1002" s="2445"/>
      <c r="R1002" s="2445"/>
      <c r="S1002" s="2445"/>
      <c r="T1002" s="2445"/>
      <c r="U1002" s="2445"/>
      <c r="V1002" s="2445"/>
      <c r="W1002" s="2445"/>
      <c r="X1002" s="2445"/>
      <c r="Y1002" s="2445"/>
      <c r="Z1002" s="2445"/>
      <c r="AA1002" s="2445"/>
      <c r="AB1002" s="2445"/>
      <c r="AC1002" s="2445"/>
      <c r="AD1002" s="2445"/>
      <c r="AE1002" s="2446"/>
      <c r="AF1002" s="2527"/>
      <c r="AG1002" s="2528"/>
      <c r="AH1002" s="2528"/>
      <c r="AI1002" s="2529"/>
      <c r="AJ1002" s="2509"/>
      <c r="AK1002" s="2510"/>
      <c r="AL1002" s="2510"/>
      <c r="AM1002" s="2510"/>
      <c r="AN1002" s="2510"/>
      <c r="AO1002" s="2510"/>
      <c r="AP1002" s="2510"/>
      <c r="AQ1002" s="2511"/>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495" t="s">
        <v>625</v>
      </c>
      <c r="K1003" s="2496"/>
      <c r="L1003" s="2496"/>
      <c r="M1003" s="2496"/>
      <c r="N1003" s="2496"/>
      <c r="O1003" s="2496"/>
      <c r="P1003" s="2496"/>
      <c r="Q1003" s="2496"/>
      <c r="R1003" s="2496"/>
      <c r="S1003" s="2496"/>
      <c r="T1003" s="2496"/>
      <c r="U1003" s="2496"/>
      <c r="V1003" s="2496"/>
      <c r="W1003" s="2496"/>
      <c r="X1003" s="2496"/>
      <c r="Y1003" s="2496"/>
      <c r="Z1003" s="2496"/>
      <c r="AA1003" s="2496"/>
      <c r="AB1003" s="2496"/>
      <c r="AC1003" s="2496"/>
      <c r="AD1003" s="2496"/>
      <c r="AE1003" s="2497"/>
      <c r="AF1003" s="2530"/>
      <c r="AG1003" s="2531"/>
      <c r="AH1003" s="2531"/>
      <c r="AI1003" s="2532"/>
      <c r="AJ1003" s="2512"/>
      <c r="AK1003" s="2513"/>
      <c r="AL1003" s="2513"/>
      <c r="AM1003" s="2513"/>
      <c r="AN1003" s="2513"/>
      <c r="AO1003" s="2513"/>
      <c r="AP1003" s="2513"/>
      <c r="AQ1003" s="2514"/>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41" t="s">
        <v>1539</v>
      </c>
      <c r="E1004" s="2442"/>
      <c r="F1004" s="2442"/>
      <c r="G1004" s="2442"/>
      <c r="H1004" s="2442"/>
      <c r="I1004" s="2442"/>
      <c r="J1004" s="2442"/>
      <c r="K1004" s="2442"/>
      <c r="L1004" s="2442"/>
      <c r="M1004" s="2442"/>
      <c r="N1004" s="2442"/>
      <c r="O1004" s="2442"/>
      <c r="P1004" s="2442"/>
      <c r="Q1004" s="2442"/>
      <c r="R1004" s="2442"/>
      <c r="S1004" s="2442"/>
      <c r="T1004" s="2442"/>
      <c r="U1004" s="2442"/>
      <c r="V1004" s="2442"/>
      <c r="W1004" s="2442"/>
      <c r="X1004" s="2442"/>
      <c r="Y1004" s="2442"/>
      <c r="Z1004" s="2442"/>
      <c r="AA1004" s="2442"/>
      <c r="AB1004" s="2442"/>
      <c r="AC1004" s="2442"/>
      <c r="AD1004" s="2442"/>
      <c r="AE1004" s="2443"/>
      <c r="AF1004" s="117"/>
      <c r="AG1004" s="2453" t="s">
        <v>577</v>
      </c>
      <c r="AH1004" s="2454"/>
      <c r="AI1004" s="125"/>
      <c r="AJ1004" s="2506">
        <f>'Sources and Uses Budget'!C85</f>
        <v>5617951</v>
      </c>
      <c r="AK1004" s="2507"/>
      <c r="AL1004" s="2507"/>
      <c r="AM1004" s="2507"/>
      <c r="AN1004" s="2507"/>
      <c r="AO1004" s="2507"/>
      <c r="AP1004" s="2507"/>
      <c r="AQ1004" s="2508"/>
      <c r="AR1004" s="1583"/>
      <c r="AS1004" s="1583"/>
      <c r="AT1004" s="1583"/>
      <c r="AU1004" s="1583"/>
      <c r="AV1004" s="1583"/>
      <c r="AW1004" s="1583"/>
      <c r="AX1004" s="1583"/>
      <c r="AY1004" s="1583"/>
      <c r="BA1004" s="320">
        <f>IF(A1078="Yes",0.02,0)</f>
        <v>0</v>
      </c>
    </row>
    <row r="1005" spans="1:96" ht="12.75" customHeight="1">
      <c r="A1005" s="51"/>
      <c r="B1005" s="110"/>
      <c r="C1005" s="111"/>
      <c r="D1005" s="2444" t="s">
        <v>2178</v>
      </c>
      <c r="E1005" s="2445"/>
      <c r="F1005" s="2445"/>
      <c r="G1005" s="2445"/>
      <c r="H1005" s="2445"/>
      <c r="I1005" s="2445"/>
      <c r="J1005" s="2445"/>
      <c r="K1005" s="2445"/>
      <c r="L1005" s="2445"/>
      <c r="M1005" s="2445"/>
      <c r="N1005" s="2445"/>
      <c r="O1005" s="2445"/>
      <c r="P1005" s="2445"/>
      <c r="Q1005" s="2445"/>
      <c r="R1005" s="2445"/>
      <c r="S1005" s="2445"/>
      <c r="T1005" s="2445"/>
      <c r="U1005" s="2445"/>
      <c r="V1005" s="2445"/>
      <c r="W1005" s="2445"/>
      <c r="X1005" s="2445"/>
      <c r="Y1005" s="2445"/>
      <c r="Z1005" s="2445"/>
      <c r="AA1005" s="2445"/>
      <c r="AB1005" s="2445"/>
      <c r="AC1005" s="2445"/>
      <c r="AD1005" s="2445"/>
      <c r="AE1005" s="2446"/>
      <c r="AF1005" s="2533" t="str">
        <f>IF(AG1004="yes","Please Enter Amount:",0)</f>
        <v>Please Enter Amount:</v>
      </c>
      <c r="AG1005" s="2534"/>
      <c r="AH1005" s="2534"/>
      <c r="AI1005" s="2535"/>
      <c r="AJ1005" s="2509"/>
      <c r="AK1005" s="2510"/>
      <c r="AL1005" s="2510"/>
      <c r="AM1005" s="2510"/>
      <c r="AN1005" s="2510"/>
      <c r="AO1005" s="2510"/>
      <c r="AP1005" s="2510"/>
      <c r="AQ1005" s="2511"/>
      <c r="AR1005" s="1583"/>
      <c r="AS1005" s="1583"/>
      <c r="AT1005" s="1583"/>
      <c r="AU1005" s="1583"/>
      <c r="AV1005" s="1583"/>
      <c r="AW1005" s="1583"/>
      <c r="AX1005" s="1583"/>
      <c r="AY1005" s="1583"/>
      <c r="BA1005" s="321">
        <f>IF(A1082="Yes",0.02,0)</f>
        <v>0</v>
      </c>
    </row>
    <row r="1006" spans="1:96" ht="12.75" customHeight="1">
      <c r="A1006" s="51"/>
      <c r="B1006" s="110"/>
      <c r="C1006" s="111"/>
      <c r="D1006" s="2444"/>
      <c r="E1006" s="2445"/>
      <c r="F1006" s="2445"/>
      <c r="G1006" s="2445"/>
      <c r="H1006" s="2445"/>
      <c r="I1006" s="2445"/>
      <c r="J1006" s="2445"/>
      <c r="K1006" s="2445"/>
      <c r="L1006" s="2445"/>
      <c r="M1006" s="2445"/>
      <c r="N1006" s="2445"/>
      <c r="O1006" s="2445"/>
      <c r="P1006" s="2445"/>
      <c r="Q1006" s="2445"/>
      <c r="R1006" s="2445"/>
      <c r="S1006" s="2445"/>
      <c r="T1006" s="2445"/>
      <c r="U1006" s="2445"/>
      <c r="V1006" s="2445"/>
      <c r="W1006" s="2445"/>
      <c r="X1006" s="2445"/>
      <c r="Y1006" s="2445"/>
      <c r="Z1006" s="2445"/>
      <c r="AA1006" s="2445"/>
      <c r="AB1006" s="2445"/>
      <c r="AC1006" s="2445"/>
      <c r="AD1006" s="2445"/>
      <c r="AE1006" s="2446"/>
      <c r="AF1006" s="2533"/>
      <c r="AG1006" s="2534"/>
      <c r="AH1006" s="2534"/>
      <c r="AI1006" s="2535"/>
      <c r="AJ1006" s="2509"/>
      <c r="AK1006" s="2510"/>
      <c r="AL1006" s="2510"/>
      <c r="AM1006" s="2510"/>
      <c r="AN1006" s="2510"/>
      <c r="AO1006" s="2510"/>
      <c r="AP1006" s="2510"/>
      <c r="AQ1006" s="2511"/>
      <c r="AR1006" s="1583"/>
      <c r="AS1006" s="1583"/>
      <c r="AT1006" s="1583"/>
      <c r="AU1006" s="1583"/>
      <c r="AV1006" s="1583"/>
      <c r="AW1006" s="1583"/>
      <c r="AX1006" s="1583"/>
      <c r="AY1006" s="1583"/>
    </row>
    <row r="1007" spans="1:96" ht="12.75" customHeight="1">
      <c r="A1007" s="51"/>
      <c r="B1007" s="123"/>
      <c r="C1007" s="122"/>
      <c r="D1007" s="2457"/>
      <c r="E1007" s="2458"/>
      <c r="F1007" s="2458"/>
      <c r="G1007" s="2458"/>
      <c r="H1007" s="2458"/>
      <c r="I1007" s="2458"/>
      <c r="J1007" s="2458"/>
      <c r="K1007" s="2458"/>
      <c r="L1007" s="2458"/>
      <c r="M1007" s="2458"/>
      <c r="N1007" s="2458"/>
      <c r="O1007" s="2458"/>
      <c r="P1007" s="2458"/>
      <c r="Q1007" s="2458"/>
      <c r="R1007" s="2458"/>
      <c r="S1007" s="2458"/>
      <c r="T1007" s="2458"/>
      <c r="U1007" s="2458"/>
      <c r="V1007" s="2458"/>
      <c r="W1007" s="2458"/>
      <c r="X1007" s="2458"/>
      <c r="Y1007" s="2458"/>
      <c r="Z1007" s="2458"/>
      <c r="AA1007" s="2458"/>
      <c r="AB1007" s="2458"/>
      <c r="AC1007" s="2458"/>
      <c r="AD1007" s="2458"/>
      <c r="AE1007" s="2459"/>
      <c r="AF1007" s="2536"/>
      <c r="AG1007" s="2537"/>
      <c r="AH1007" s="2537"/>
      <c r="AI1007" s="2538"/>
      <c r="AJ1007" s="2512"/>
      <c r="AK1007" s="2513"/>
      <c r="AL1007" s="2513"/>
      <c r="AM1007" s="2513"/>
      <c r="AN1007" s="2513"/>
      <c r="AO1007" s="2513"/>
      <c r="AP1007" s="2513"/>
      <c r="AQ1007" s="2514"/>
      <c r="AR1007" s="1583"/>
      <c r="AS1007" s="1583"/>
      <c r="AT1007" s="1583"/>
      <c r="AU1007" s="1583"/>
      <c r="AV1007" s="1583"/>
      <c r="AW1007" s="1583"/>
      <c r="AX1007" s="1583"/>
      <c r="AY1007" s="1583"/>
    </row>
    <row r="1008" spans="1:96" s="719" customFormat="1" ht="12.75" customHeight="1">
      <c r="A1008" s="51"/>
      <c r="B1008" s="117"/>
      <c r="C1008" s="118" t="s">
        <v>240</v>
      </c>
      <c r="D1008" s="2489" t="s">
        <v>1540</v>
      </c>
      <c r="E1008" s="2490"/>
      <c r="F1008" s="2490"/>
      <c r="G1008" s="2490"/>
      <c r="H1008" s="2490"/>
      <c r="I1008" s="2490"/>
      <c r="J1008" s="2490"/>
      <c r="K1008" s="2490"/>
      <c r="L1008" s="2490"/>
      <c r="M1008" s="2490"/>
      <c r="N1008" s="2490"/>
      <c r="O1008" s="2490"/>
      <c r="P1008" s="2490"/>
      <c r="Q1008" s="2490"/>
      <c r="R1008" s="2490"/>
      <c r="S1008" s="2490"/>
      <c r="T1008" s="2490"/>
      <c r="U1008" s="2490"/>
      <c r="V1008" s="2490"/>
      <c r="W1008" s="2490"/>
      <c r="X1008" s="2490"/>
      <c r="Y1008" s="2490"/>
      <c r="Z1008" s="2490"/>
      <c r="AA1008" s="2490"/>
      <c r="AB1008" s="2490"/>
      <c r="AC1008" s="2490"/>
      <c r="AD1008" s="2490"/>
      <c r="AE1008" s="2491"/>
      <c r="AF1008" s="117"/>
      <c r="AG1008" s="2453" t="s">
        <v>577</v>
      </c>
      <c r="AH1008" s="2454"/>
      <c r="AI1008" s="125"/>
      <c r="AJ1008" s="2478">
        <f>ROUND(IF(AG1008="yes",(AJ975*0.1),0),0)</f>
        <v>7389043</v>
      </c>
      <c r="AK1008" s="2479"/>
      <c r="AL1008" s="2479"/>
      <c r="AM1008" s="2479"/>
      <c r="AN1008" s="2479"/>
      <c r="AO1008" s="2479"/>
      <c r="AP1008" s="2479"/>
      <c r="AQ1008" s="2480"/>
      <c r="AR1008" s="1583"/>
      <c r="AS1008" s="1583"/>
      <c r="AT1008" s="1583"/>
      <c r="AU1008" s="1583"/>
      <c r="AV1008" s="1583"/>
      <c r="AW1008" s="1583"/>
      <c r="AX1008" s="1583"/>
      <c r="AY1008" s="1583"/>
      <c r="CR1008" s="25"/>
    </row>
    <row r="1009" spans="1:96" ht="12.75" customHeight="1">
      <c r="A1009" s="51"/>
      <c r="B1009" s="110"/>
      <c r="C1009" s="111"/>
      <c r="D1009" s="2444" t="s">
        <v>1541</v>
      </c>
      <c r="E1009" s="2445"/>
      <c r="F1009" s="2445"/>
      <c r="G1009" s="2445"/>
      <c r="H1009" s="2445"/>
      <c r="I1009" s="2445"/>
      <c r="J1009" s="2445"/>
      <c r="K1009" s="2445"/>
      <c r="L1009" s="2445"/>
      <c r="M1009" s="2445"/>
      <c r="N1009" s="2445"/>
      <c r="O1009" s="2445"/>
      <c r="P1009" s="2445"/>
      <c r="Q1009" s="2445"/>
      <c r="R1009" s="2445"/>
      <c r="S1009" s="2445"/>
      <c r="T1009" s="2445"/>
      <c r="U1009" s="2445"/>
      <c r="V1009" s="2445"/>
      <c r="W1009" s="2445"/>
      <c r="X1009" s="2445"/>
      <c r="Y1009" s="2445"/>
      <c r="Z1009" s="2445"/>
      <c r="AA1009" s="2445"/>
      <c r="AB1009" s="2445"/>
      <c r="AC1009" s="2445"/>
      <c r="AD1009" s="2445"/>
      <c r="AE1009" s="2446"/>
      <c r="AF1009" s="110"/>
      <c r="AG1009" s="112"/>
      <c r="AH1009" s="112"/>
      <c r="AI1009" s="121"/>
      <c r="AJ1009" s="2481"/>
      <c r="AK1009" s="2148"/>
      <c r="AL1009" s="2148"/>
      <c r="AM1009" s="2148"/>
      <c r="AN1009" s="2148"/>
      <c r="AO1009" s="2148"/>
      <c r="AP1009" s="2148"/>
      <c r="AQ1009" s="2482"/>
      <c r="AR1009" s="1583"/>
      <c r="AS1009" s="1583"/>
      <c r="AT1009" s="1583"/>
      <c r="AU1009" s="1583"/>
      <c r="AV1009" s="1583"/>
      <c r="AW1009" s="1583"/>
      <c r="AX1009" s="1583"/>
      <c r="AY1009" s="1583"/>
    </row>
    <row r="1010" spans="1:96" ht="12.75" customHeight="1">
      <c r="A1010" s="51"/>
      <c r="B1010" s="115"/>
      <c r="C1010" s="111"/>
      <c r="D1010" s="2457"/>
      <c r="E1010" s="2458"/>
      <c r="F1010" s="2458"/>
      <c r="G1010" s="2458"/>
      <c r="H1010" s="2458"/>
      <c r="I1010" s="2458"/>
      <c r="J1010" s="2458"/>
      <c r="K1010" s="2458"/>
      <c r="L1010" s="2458"/>
      <c r="M1010" s="2458"/>
      <c r="N1010" s="2458"/>
      <c r="O1010" s="2458"/>
      <c r="P1010" s="2458"/>
      <c r="Q1010" s="2458"/>
      <c r="R1010" s="2458"/>
      <c r="S1010" s="2458"/>
      <c r="T1010" s="2458"/>
      <c r="U1010" s="2458"/>
      <c r="V1010" s="2458"/>
      <c r="W1010" s="2458"/>
      <c r="X1010" s="2458"/>
      <c r="Y1010" s="2458"/>
      <c r="Z1010" s="2458"/>
      <c r="AA1010" s="2458"/>
      <c r="AB1010" s="2458"/>
      <c r="AC1010" s="2458"/>
      <c r="AD1010" s="2458"/>
      <c r="AE1010" s="2459"/>
      <c r="AF1010" s="110"/>
      <c r="AG1010" s="112"/>
      <c r="AH1010" s="112"/>
      <c r="AI1010" s="121"/>
      <c r="AJ1010" s="2483"/>
      <c r="AK1010" s="2484"/>
      <c r="AL1010" s="2484"/>
      <c r="AM1010" s="2484"/>
      <c r="AN1010" s="2484"/>
      <c r="AO1010" s="2484"/>
      <c r="AP1010" s="2484"/>
      <c r="AQ1010" s="2485"/>
      <c r="AR1010" s="1583"/>
      <c r="AS1010" s="1583"/>
      <c r="AT1010" s="1583"/>
      <c r="AU1010" s="1583"/>
      <c r="AV1010" s="1583"/>
      <c r="AW1010" s="1583"/>
      <c r="AX1010" s="1583"/>
      <c r="AY1010" s="1583"/>
    </row>
    <row r="1011" spans="1:96" s="719" customFormat="1" ht="12.75" customHeight="1">
      <c r="A1011" s="51"/>
      <c r="B1011" s="110"/>
      <c r="C1011" s="531" t="s">
        <v>724</v>
      </c>
      <c r="D1011" s="2441" t="s">
        <v>2174</v>
      </c>
      <c r="E1011" s="2442"/>
      <c r="F1011" s="2442"/>
      <c r="G1011" s="2442"/>
      <c r="H1011" s="2442"/>
      <c r="I1011" s="2442"/>
      <c r="J1011" s="2442"/>
      <c r="K1011" s="2442"/>
      <c r="L1011" s="2442"/>
      <c r="M1011" s="2442"/>
      <c r="N1011" s="2442"/>
      <c r="O1011" s="2442"/>
      <c r="P1011" s="2442"/>
      <c r="Q1011" s="2442"/>
      <c r="R1011" s="2442"/>
      <c r="S1011" s="2442"/>
      <c r="T1011" s="2442"/>
      <c r="U1011" s="2442"/>
      <c r="V1011" s="2442"/>
      <c r="W1011" s="2442"/>
      <c r="X1011" s="2442"/>
      <c r="Y1011" s="2442"/>
      <c r="Z1011" s="2442"/>
      <c r="AA1011" s="2442"/>
      <c r="AB1011" s="2442"/>
      <c r="AC1011" s="2442"/>
      <c r="AD1011" s="2442"/>
      <c r="AE1011" s="2443"/>
      <c r="AF1011" s="117"/>
      <c r="AG1011" s="2453" t="s">
        <v>705</v>
      </c>
      <c r="AH1011" s="2454"/>
      <c r="AI1011" s="125"/>
      <c r="AJ1011" s="2478">
        <f>ROUND(IF(AG1011="yes",(AJ975*0.15),0),0)</f>
        <v>0</v>
      </c>
      <c r="AK1011" s="2479"/>
      <c r="AL1011" s="2479"/>
      <c r="AM1011" s="2479"/>
      <c r="AN1011" s="2479"/>
      <c r="AO1011" s="2479"/>
      <c r="AP1011" s="2479"/>
      <c r="AQ1011" s="2480"/>
      <c r="AR1011" s="1583"/>
      <c r="AS1011" s="1583"/>
      <c r="AT1011" s="1583"/>
      <c r="AU1011" s="1583"/>
      <c r="AV1011" s="1583"/>
      <c r="AW1011" s="1583"/>
      <c r="AX1011" s="1583"/>
      <c r="AY1011" s="1583"/>
      <c r="CR1011" s="25"/>
    </row>
    <row r="1012" spans="1:96" s="719" customFormat="1" ht="12.75" customHeight="1">
      <c r="A1012" s="51"/>
      <c r="B1012" s="110"/>
      <c r="C1012" s="111"/>
      <c r="D1012" s="2472" t="s">
        <v>2175</v>
      </c>
      <c r="E1012" s="2473"/>
      <c r="F1012" s="2473"/>
      <c r="G1012" s="2473"/>
      <c r="H1012" s="2473"/>
      <c r="I1012" s="2473"/>
      <c r="J1012" s="2473"/>
      <c r="K1012" s="2473"/>
      <c r="L1012" s="2473"/>
      <c r="M1012" s="2473"/>
      <c r="N1012" s="2473"/>
      <c r="O1012" s="2473"/>
      <c r="P1012" s="2473"/>
      <c r="Q1012" s="2473"/>
      <c r="R1012" s="2473"/>
      <c r="S1012" s="2473"/>
      <c r="T1012" s="2473"/>
      <c r="U1012" s="2473"/>
      <c r="V1012" s="2473"/>
      <c r="W1012" s="2473"/>
      <c r="X1012" s="2473"/>
      <c r="Y1012" s="2473"/>
      <c r="Z1012" s="2473"/>
      <c r="AA1012" s="2473"/>
      <c r="AB1012" s="2473"/>
      <c r="AC1012" s="2473"/>
      <c r="AD1012" s="2473"/>
      <c r="AE1012" s="2474"/>
      <c r="AF1012" s="1613"/>
      <c r="AG1012" s="1614"/>
      <c r="AH1012" s="1614"/>
      <c r="AI1012" s="1615"/>
      <c r="AJ1012" s="2481"/>
      <c r="AK1012" s="2148"/>
      <c r="AL1012" s="2148"/>
      <c r="AM1012" s="2148"/>
      <c r="AN1012" s="2148"/>
      <c r="AO1012" s="2148"/>
      <c r="AP1012" s="2148"/>
      <c r="AQ1012" s="2482"/>
      <c r="AR1012" s="1583"/>
      <c r="AS1012" s="1583"/>
      <c r="AT1012" s="1583"/>
      <c r="AU1012" s="1583"/>
      <c r="AV1012" s="1583"/>
      <c r="AW1012" s="1583"/>
      <c r="AX1012" s="1583"/>
      <c r="AY1012" s="1583"/>
      <c r="CR1012" s="25"/>
    </row>
    <row r="1013" spans="1:96" s="719" customFormat="1" ht="12.75" customHeight="1">
      <c r="A1013" s="51"/>
      <c r="B1013" s="110"/>
      <c r="C1013" s="111"/>
      <c r="D1013" s="2472"/>
      <c r="E1013" s="2473"/>
      <c r="F1013" s="2473"/>
      <c r="G1013" s="2473"/>
      <c r="H1013" s="2473"/>
      <c r="I1013" s="2473"/>
      <c r="J1013" s="2473"/>
      <c r="K1013" s="2473"/>
      <c r="L1013" s="2473"/>
      <c r="M1013" s="2473"/>
      <c r="N1013" s="2473"/>
      <c r="O1013" s="2473"/>
      <c r="P1013" s="2473"/>
      <c r="Q1013" s="2473"/>
      <c r="R1013" s="2473"/>
      <c r="S1013" s="2473"/>
      <c r="T1013" s="2473"/>
      <c r="U1013" s="2473"/>
      <c r="V1013" s="2473"/>
      <c r="W1013" s="2473"/>
      <c r="X1013" s="2473"/>
      <c r="Y1013" s="2473"/>
      <c r="Z1013" s="2473"/>
      <c r="AA1013" s="2473"/>
      <c r="AB1013" s="2473"/>
      <c r="AC1013" s="2473"/>
      <c r="AD1013" s="2473"/>
      <c r="AE1013" s="2474"/>
      <c r="AF1013" s="1613"/>
      <c r="AG1013" s="1614"/>
      <c r="AH1013" s="1614"/>
      <c r="AI1013" s="1615"/>
      <c r="AJ1013" s="2481"/>
      <c r="AK1013" s="2148"/>
      <c r="AL1013" s="2148"/>
      <c r="AM1013" s="2148"/>
      <c r="AN1013" s="2148"/>
      <c r="AO1013" s="2148"/>
      <c r="AP1013" s="2148"/>
      <c r="AQ1013" s="2482"/>
      <c r="AR1013" s="1583"/>
      <c r="AS1013" s="1583"/>
      <c r="AT1013" s="1583"/>
      <c r="AU1013" s="1583"/>
      <c r="AV1013" s="1583"/>
      <c r="AW1013" s="1583"/>
      <c r="AX1013" s="1583"/>
      <c r="AY1013" s="1583"/>
      <c r="CR1013" s="25"/>
    </row>
    <row r="1014" spans="1:96" s="719" customFormat="1" ht="12.75" customHeight="1">
      <c r="A1014" s="51"/>
      <c r="B1014" s="110"/>
      <c r="C1014" s="111"/>
      <c r="D1014" s="2475"/>
      <c r="E1014" s="2476"/>
      <c r="F1014" s="2476"/>
      <c r="G1014" s="2476"/>
      <c r="H1014" s="2476"/>
      <c r="I1014" s="2476"/>
      <c r="J1014" s="2476"/>
      <c r="K1014" s="2476"/>
      <c r="L1014" s="2476"/>
      <c r="M1014" s="2476"/>
      <c r="N1014" s="2476"/>
      <c r="O1014" s="2476"/>
      <c r="P1014" s="2476"/>
      <c r="Q1014" s="2476"/>
      <c r="R1014" s="2476"/>
      <c r="S1014" s="2476"/>
      <c r="T1014" s="2476"/>
      <c r="U1014" s="2476"/>
      <c r="V1014" s="2476"/>
      <c r="W1014" s="2476"/>
      <c r="X1014" s="2476"/>
      <c r="Y1014" s="2476"/>
      <c r="Z1014" s="2476"/>
      <c r="AA1014" s="2476"/>
      <c r="AB1014" s="2476"/>
      <c r="AC1014" s="2476"/>
      <c r="AD1014" s="2476"/>
      <c r="AE1014" s="2477"/>
      <c r="AF1014" s="1616"/>
      <c r="AG1014" s="1617"/>
      <c r="AH1014" s="1617"/>
      <c r="AI1014" s="1618"/>
      <c r="AJ1014" s="2483"/>
      <c r="AK1014" s="2484"/>
      <c r="AL1014" s="2484"/>
      <c r="AM1014" s="2484"/>
      <c r="AN1014" s="2484"/>
      <c r="AO1014" s="2484"/>
      <c r="AP1014" s="2484"/>
      <c r="AQ1014" s="2485"/>
      <c r="AR1014" s="1583"/>
      <c r="AS1014" s="1583"/>
      <c r="AT1014" s="1583"/>
      <c r="AU1014" s="1583"/>
      <c r="AV1014" s="1583"/>
      <c r="AW1014" s="1583"/>
      <c r="AX1014" s="1583"/>
      <c r="AY1014" s="1583"/>
      <c r="CR1014" s="25"/>
    </row>
    <row r="1015" spans="1:96" s="719" customFormat="1" ht="12.75" customHeight="1">
      <c r="A1015" s="51"/>
      <c r="B1015" s="110"/>
      <c r="C1015" s="531" t="s">
        <v>724</v>
      </c>
      <c r="D1015" s="2489" t="s">
        <v>2176</v>
      </c>
      <c r="E1015" s="2490"/>
      <c r="F1015" s="2490"/>
      <c r="G1015" s="2490"/>
      <c r="H1015" s="2490"/>
      <c r="I1015" s="2490"/>
      <c r="J1015" s="2490"/>
      <c r="K1015" s="2490"/>
      <c r="L1015" s="2490"/>
      <c r="M1015" s="2490"/>
      <c r="N1015" s="2490"/>
      <c r="O1015" s="2490"/>
      <c r="P1015" s="2490"/>
      <c r="Q1015" s="2490"/>
      <c r="R1015" s="2490"/>
      <c r="S1015" s="2490"/>
      <c r="T1015" s="2490"/>
      <c r="U1015" s="2490"/>
      <c r="V1015" s="2490"/>
      <c r="W1015" s="2490"/>
      <c r="X1015" s="2490"/>
      <c r="Y1015" s="2490"/>
      <c r="Z1015" s="2490"/>
      <c r="AA1015" s="2490"/>
      <c r="AB1015" s="2490"/>
      <c r="AC1015" s="2490"/>
      <c r="AD1015" s="2490"/>
      <c r="AE1015" s="2491"/>
      <c r="AF1015" s="110"/>
      <c r="AG1015" s="2455" t="s">
        <v>577</v>
      </c>
      <c r="AH1015" s="2456"/>
      <c r="AI1015" s="121"/>
      <c r="AJ1015" s="2478">
        <f>ROUND(IF(AG1015="yes",(AJ975*0.1),0),0)</f>
        <v>7389043</v>
      </c>
      <c r="AK1015" s="2479"/>
      <c r="AL1015" s="2479"/>
      <c r="AM1015" s="2479"/>
      <c r="AN1015" s="2479"/>
      <c r="AO1015" s="2479"/>
      <c r="AP1015" s="2479"/>
      <c r="AQ1015" s="2480"/>
      <c r="AR1015" s="1583"/>
      <c r="AS1015" s="1583"/>
      <c r="AT1015" s="1583"/>
      <c r="AU1015" s="1583"/>
      <c r="AV1015" s="1583"/>
      <c r="AW1015" s="1583"/>
      <c r="AX1015" s="1583"/>
      <c r="AY1015" s="1583"/>
      <c r="CR1015" s="25"/>
    </row>
    <row r="1016" spans="1:96" s="719" customFormat="1" ht="12.75" customHeight="1">
      <c r="A1016" s="51"/>
      <c r="B1016" s="110"/>
      <c r="C1016" s="111"/>
      <c r="D1016" s="2472" t="s">
        <v>2177</v>
      </c>
      <c r="E1016" s="2473"/>
      <c r="F1016" s="2473"/>
      <c r="G1016" s="2473"/>
      <c r="H1016" s="2473"/>
      <c r="I1016" s="2473"/>
      <c r="J1016" s="2473"/>
      <c r="K1016" s="2473"/>
      <c r="L1016" s="2473"/>
      <c r="M1016" s="2473"/>
      <c r="N1016" s="2473"/>
      <c r="O1016" s="2473"/>
      <c r="P1016" s="2473"/>
      <c r="Q1016" s="2473"/>
      <c r="R1016" s="2473"/>
      <c r="S1016" s="2473"/>
      <c r="T1016" s="2473"/>
      <c r="U1016" s="2473"/>
      <c r="V1016" s="2473"/>
      <c r="W1016" s="2473"/>
      <c r="X1016" s="2473"/>
      <c r="Y1016" s="2473"/>
      <c r="Z1016" s="2473"/>
      <c r="AA1016" s="2473"/>
      <c r="AB1016" s="2473"/>
      <c r="AC1016" s="2473"/>
      <c r="AD1016" s="2473"/>
      <c r="AE1016" s="2474"/>
      <c r="AF1016" s="110"/>
      <c r="AG1016" s="112"/>
      <c r="AH1016" s="112"/>
      <c r="AI1016" s="121"/>
      <c r="AJ1016" s="2481"/>
      <c r="AK1016" s="2148"/>
      <c r="AL1016" s="2148"/>
      <c r="AM1016" s="2148"/>
      <c r="AN1016" s="2148"/>
      <c r="AO1016" s="2148"/>
      <c r="AP1016" s="2148"/>
      <c r="AQ1016" s="2482"/>
      <c r="AR1016" s="1583"/>
      <c r="AS1016" s="1583"/>
      <c r="AT1016" s="1583"/>
      <c r="AU1016" s="1583"/>
      <c r="AV1016" s="1583"/>
      <c r="AW1016" s="1583"/>
      <c r="AX1016" s="1583"/>
      <c r="AY1016" s="1583"/>
      <c r="CR1016" s="25"/>
    </row>
    <row r="1017" spans="1:96" s="719" customFormat="1" ht="12.75" customHeight="1">
      <c r="A1017" s="51"/>
      <c r="B1017" s="110"/>
      <c r="C1017" s="111"/>
      <c r="D1017" s="2472"/>
      <c r="E1017" s="2473"/>
      <c r="F1017" s="2473"/>
      <c r="G1017" s="2473"/>
      <c r="H1017" s="2473"/>
      <c r="I1017" s="2473"/>
      <c r="J1017" s="2473"/>
      <c r="K1017" s="2473"/>
      <c r="L1017" s="2473"/>
      <c r="M1017" s="2473"/>
      <c r="N1017" s="2473"/>
      <c r="O1017" s="2473"/>
      <c r="P1017" s="2473"/>
      <c r="Q1017" s="2473"/>
      <c r="R1017" s="2473"/>
      <c r="S1017" s="2473"/>
      <c r="T1017" s="2473"/>
      <c r="U1017" s="2473"/>
      <c r="V1017" s="2473"/>
      <c r="W1017" s="2473"/>
      <c r="X1017" s="2473"/>
      <c r="Y1017" s="2473"/>
      <c r="Z1017" s="2473"/>
      <c r="AA1017" s="2473"/>
      <c r="AB1017" s="2473"/>
      <c r="AC1017" s="2473"/>
      <c r="AD1017" s="2473"/>
      <c r="AE1017" s="2474"/>
      <c r="AF1017" s="110"/>
      <c r="AG1017" s="112"/>
      <c r="AH1017" s="112"/>
      <c r="AI1017" s="121"/>
      <c r="AJ1017" s="2481"/>
      <c r="AK1017" s="2148"/>
      <c r="AL1017" s="2148"/>
      <c r="AM1017" s="2148"/>
      <c r="AN1017" s="2148"/>
      <c r="AO1017" s="2148"/>
      <c r="AP1017" s="2148"/>
      <c r="AQ1017" s="2482"/>
      <c r="AR1017" s="1583"/>
      <c r="AS1017" s="1583"/>
      <c r="AT1017" s="1583"/>
      <c r="AU1017" s="1583"/>
      <c r="AV1017" s="1583"/>
      <c r="AW1017" s="1583"/>
      <c r="AX1017" s="1583"/>
      <c r="AY1017" s="1583"/>
      <c r="CR1017" s="25"/>
    </row>
    <row r="1018" spans="1:96" s="719" customFormat="1" ht="12.75" customHeight="1">
      <c r="A1018" s="51"/>
      <c r="B1018" s="110"/>
      <c r="C1018" s="111"/>
      <c r="D1018" s="2472"/>
      <c r="E1018" s="2473"/>
      <c r="F1018" s="2473"/>
      <c r="G1018" s="2473"/>
      <c r="H1018" s="2473"/>
      <c r="I1018" s="2473"/>
      <c r="J1018" s="2473"/>
      <c r="K1018" s="2473"/>
      <c r="L1018" s="2473"/>
      <c r="M1018" s="2473"/>
      <c r="N1018" s="2473"/>
      <c r="O1018" s="2473"/>
      <c r="P1018" s="2473"/>
      <c r="Q1018" s="2473"/>
      <c r="R1018" s="2473"/>
      <c r="S1018" s="2473"/>
      <c r="T1018" s="2473"/>
      <c r="U1018" s="2473"/>
      <c r="V1018" s="2473"/>
      <c r="W1018" s="2473"/>
      <c r="X1018" s="2473"/>
      <c r="Y1018" s="2473"/>
      <c r="Z1018" s="2473"/>
      <c r="AA1018" s="2473"/>
      <c r="AB1018" s="2473"/>
      <c r="AC1018" s="2473"/>
      <c r="AD1018" s="2473"/>
      <c r="AE1018" s="2474"/>
      <c r="AF1018" s="110"/>
      <c r="AG1018" s="112"/>
      <c r="AH1018" s="112"/>
      <c r="AI1018" s="121"/>
      <c r="AJ1018" s="2481"/>
      <c r="AK1018" s="2148"/>
      <c r="AL1018" s="2148"/>
      <c r="AM1018" s="2148"/>
      <c r="AN1018" s="2148"/>
      <c r="AO1018" s="2148"/>
      <c r="AP1018" s="2148"/>
      <c r="AQ1018" s="2482"/>
      <c r="AR1018" s="1583"/>
      <c r="AS1018" s="1583"/>
      <c r="AT1018" s="1583"/>
      <c r="AU1018" s="1583"/>
      <c r="AV1018" s="1583"/>
      <c r="AW1018" s="1583"/>
      <c r="AX1018" s="1583"/>
      <c r="AY1018" s="1583"/>
      <c r="CR1018" s="25"/>
    </row>
    <row r="1019" spans="1:96" s="719" customFormat="1" ht="12.75" customHeight="1">
      <c r="A1019" s="51"/>
      <c r="B1019" s="110"/>
      <c r="C1019" s="111"/>
      <c r="D1019" s="2475"/>
      <c r="E1019" s="2476"/>
      <c r="F1019" s="2476"/>
      <c r="G1019" s="2476"/>
      <c r="H1019" s="2476"/>
      <c r="I1019" s="2476"/>
      <c r="J1019" s="2476"/>
      <c r="K1019" s="2476"/>
      <c r="L1019" s="2476"/>
      <c r="M1019" s="2476"/>
      <c r="N1019" s="2476"/>
      <c r="O1019" s="2476"/>
      <c r="P1019" s="2476"/>
      <c r="Q1019" s="2476"/>
      <c r="R1019" s="2476"/>
      <c r="S1019" s="2476"/>
      <c r="T1019" s="2476"/>
      <c r="U1019" s="2476"/>
      <c r="V1019" s="2476"/>
      <c r="W1019" s="2476"/>
      <c r="X1019" s="2476"/>
      <c r="Y1019" s="2476"/>
      <c r="Z1019" s="2476"/>
      <c r="AA1019" s="2476"/>
      <c r="AB1019" s="2476"/>
      <c r="AC1019" s="2476"/>
      <c r="AD1019" s="2476"/>
      <c r="AE1019" s="2477"/>
      <c r="AF1019" s="110"/>
      <c r="AG1019" s="112"/>
      <c r="AH1019" s="112"/>
      <c r="AI1019" s="121"/>
      <c r="AJ1019" s="2481"/>
      <c r="AK1019" s="2148"/>
      <c r="AL1019" s="2148"/>
      <c r="AM1019" s="2148"/>
      <c r="AN1019" s="2148"/>
      <c r="AO1019" s="2148"/>
      <c r="AP1019" s="2148"/>
      <c r="AQ1019" s="2482"/>
      <c r="AR1019" s="1583"/>
      <c r="AS1019" s="1583"/>
      <c r="AT1019" s="1583"/>
      <c r="AU1019" s="1583"/>
      <c r="AV1019" s="1583"/>
      <c r="AW1019" s="1583"/>
      <c r="AX1019" s="1583"/>
      <c r="AY1019" s="1583"/>
      <c r="CR1019" s="25"/>
    </row>
    <row r="1020" spans="1:96" s="719" customFormat="1" ht="12.75" customHeight="1">
      <c r="A1020" s="51"/>
      <c r="B1020" s="117"/>
      <c r="C1020" s="198" t="s">
        <v>1116</v>
      </c>
      <c r="D1020" s="2441" t="s">
        <v>1542</v>
      </c>
      <c r="E1020" s="2442"/>
      <c r="F1020" s="2442"/>
      <c r="G1020" s="2442"/>
      <c r="H1020" s="2442"/>
      <c r="I1020" s="2442"/>
      <c r="J1020" s="2442"/>
      <c r="K1020" s="2442"/>
      <c r="L1020" s="2442"/>
      <c r="M1020" s="2442"/>
      <c r="N1020" s="2442"/>
      <c r="O1020" s="2442"/>
      <c r="P1020" s="2442"/>
      <c r="Q1020" s="2442"/>
      <c r="R1020" s="2442"/>
      <c r="S1020" s="2442"/>
      <c r="T1020" s="2442"/>
      <c r="U1020" s="2442"/>
      <c r="V1020" s="2442"/>
      <c r="W1020" s="2442"/>
      <c r="X1020" s="2442"/>
      <c r="Y1020" s="2442"/>
      <c r="Z1020" s="2442"/>
      <c r="AA1020" s="2442"/>
      <c r="AB1020" s="2442"/>
      <c r="AC1020" s="2442"/>
      <c r="AD1020" s="2442"/>
      <c r="AE1020" s="2443"/>
      <c r="AF1020" s="117"/>
      <c r="AG1020" s="2453" t="s">
        <v>705</v>
      </c>
      <c r="AH1020" s="2454"/>
      <c r="AI1020" s="125"/>
      <c r="AJ1020" s="2478">
        <f>ROUND(IF(AG1020="yes",(AJ975*0.1),0),0)</f>
        <v>0</v>
      </c>
      <c r="AK1020" s="2479"/>
      <c r="AL1020" s="2479"/>
      <c r="AM1020" s="2479"/>
      <c r="AN1020" s="2479"/>
      <c r="AO1020" s="2479"/>
      <c r="AP1020" s="2479"/>
      <c r="AQ1020" s="2480"/>
      <c r="AR1020" s="1583"/>
      <c r="AS1020" s="1583"/>
      <c r="AT1020" s="1583"/>
      <c r="AU1020" s="1583"/>
      <c r="AV1020" s="1583"/>
      <c r="AW1020" s="1583"/>
      <c r="AX1020" s="1583"/>
      <c r="AY1020" s="1583"/>
      <c r="CR1020" s="25"/>
    </row>
    <row r="1021" spans="1:96" ht="12.75" customHeight="1">
      <c r="A1021" s="51"/>
      <c r="B1021" s="110"/>
      <c r="C1021" s="111"/>
      <c r="D1021" s="2444" t="s">
        <v>1543</v>
      </c>
      <c r="E1021" s="2445"/>
      <c r="F1021" s="2445"/>
      <c r="G1021" s="2445"/>
      <c r="H1021" s="2445"/>
      <c r="I1021" s="2445"/>
      <c r="J1021" s="2445"/>
      <c r="K1021" s="2445"/>
      <c r="L1021" s="2445"/>
      <c r="M1021" s="2445"/>
      <c r="N1021" s="2445"/>
      <c r="O1021" s="2445"/>
      <c r="P1021" s="2445"/>
      <c r="Q1021" s="2445"/>
      <c r="R1021" s="2445"/>
      <c r="S1021" s="2445"/>
      <c r="T1021" s="2445"/>
      <c r="U1021" s="2445"/>
      <c r="V1021" s="2445"/>
      <c r="W1021" s="2445"/>
      <c r="X1021" s="2445"/>
      <c r="Y1021" s="2445"/>
      <c r="Z1021" s="2445"/>
      <c r="AA1021" s="2445"/>
      <c r="AB1021" s="2445"/>
      <c r="AC1021" s="2445"/>
      <c r="AD1021" s="2445"/>
      <c r="AE1021" s="2446"/>
      <c r="AF1021" s="110"/>
      <c r="AG1021" s="112"/>
      <c r="AH1021" s="112"/>
      <c r="AI1021" s="121"/>
      <c r="AJ1021" s="2481"/>
      <c r="AK1021" s="2148"/>
      <c r="AL1021" s="2148"/>
      <c r="AM1021" s="2148"/>
      <c r="AN1021" s="2148"/>
      <c r="AO1021" s="2148"/>
      <c r="AP1021" s="2148"/>
      <c r="AQ1021" s="2482"/>
      <c r="AR1021" s="1583"/>
      <c r="AS1021" s="1583"/>
      <c r="AT1021" s="1583"/>
      <c r="AU1021" s="1583"/>
      <c r="AV1021" s="1583"/>
      <c r="AW1021" s="1583"/>
      <c r="AX1021" s="1583"/>
      <c r="AY1021" s="1583"/>
    </row>
    <row r="1022" spans="1:96" ht="12.75" customHeight="1">
      <c r="A1022" s="51"/>
      <c r="B1022" s="110"/>
      <c r="C1022" s="111"/>
      <c r="D1022" s="2444"/>
      <c r="E1022" s="2445"/>
      <c r="F1022" s="2445"/>
      <c r="G1022" s="2445"/>
      <c r="H1022" s="2445"/>
      <c r="I1022" s="2445"/>
      <c r="J1022" s="2445"/>
      <c r="K1022" s="2445"/>
      <c r="L1022" s="2445"/>
      <c r="M1022" s="2445"/>
      <c r="N1022" s="2445"/>
      <c r="O1022" s="2445"/>
      <c r="P1022" s="2445"/>
      <c r="Q1022" s="2445"/>
      <c r="R1022" s="2445"/>
      <c r="S1022" s="2445"/>
      <c r="T1022" s="2445"/>
      <c r="U1022" s="2445"/>
      <c r="V1022" s="2445"/>
      <c r="W1022" s="2445"/>
      <c r="X1022" s="2445"/>
      <c r="Y1022" s="2445"/>
      <c r="Z1022" s="2445"/>
      <c r="AA1022" s="2445"/>
      <c r="AB1022" s="2445"/>
      <c r="AC1022" s="2445"/>
      <c r="AD1022" s="2445"/>
      <c r="AE1022" s="2446"/>
      <c r="AF1022" s="110"/>
      <c r="AG1022" s="112"/>
      <c r="AH1022" s="112"/>
      <c r="AI1022" s="121"/>
      <c r="AJ1022" s="2481"/>
      <c r="AK1022" s="2148"/>
      <c r="AL1022" s="2148"/>
      <c r="AM1022" s="2148"/>
      <c r="AN1022" s="2148"/>
      <c r="AO1022" s="2148"/>
      <c r="AP1022" s="2148"/>
      <c r="AQ1022" s="2482"/>
      <c r="AR1022" s="1583"/>
      <c r="AS1022" s="1583"/>
      <c r="AT1022" s="1583"/>
      <c r="AU1022" s="1583"/>
      <c r="AV1022" s="1583"/>
      <c r="AW1022" s="1583"/>
      <c r="AX1022" s="1583"/>
      <c r="AY1022" s="1583"/>
    </row>
    <row r="1023" spans="1:96" s="682" customFormat="1" ht="12.75" customHeight="1">
      <c r="A1023" s="51"/>
      <c r="B1023" s="110"/>
      <c r="C1023" s="111"/>
      <c r="D1023" s="2457"/>
      <c r="E1023" s="2458"/>
      <c r="F1023" s="2458"/>
      <c r="G1023" s="2458"/>
      <c r="H1023" s="2458"/>
      <c r="I1023" s="2458"/>
      <c r="J1023" s="2458"/>
      <c r="K1023" s="2458"/>
      <c r="L1023" s="2458"/>
      <c r="M1023" s="2458"/>
      <c r="N1023" s="2458"/>
      <c r="O1023" s="2458"/>
      <c r="P1023" s="2458"/>
      <c r="Q1023" s="2458"/>
      <c r="R1023" s="2458"/>
      <c r="S1023" s="2458"/>
      <c r="T1023" s="2458"/>
      <c r="U1023" s="2458"/>
      <c r="V1023" s="2458"/>
      <c r="W1023" s="2458"/>
      <c r="X1023" s="2458"/>
      <c r="Y1023" s="2458"/>
      <c r="Z1023" s="2458"/>
      <c r="AA1023" s="2458"/>
      <c r="AB1023" s="2458"/>
      <c r="AC1023" s="2458"/>
      <c r="AD1023" s="2458"/>
      <c r="AE1023" s="2459"/>
      <c r="AF1023" s="110"/>
      <c r="AG1023" s="112"/>
      <c r="AH1023" s="112"/>
      <c r="AI1023" s="121"/>
      <c r="AJ1023" s="2483"/>
      <c r="AK1023" s="2484"/>
      <c r="AL1023" s="2484"/>
      <c r="AM1023" s="2484"/>
      <c r="AN1023" s="2484"/>
      <c r="AO1023" s="2484"/>
      <c r="AP1023" s="2484"/>
      <c r="AQ1023" s="2485"/>
      <c r="AR1023" s="1583"/>
      <c r="AS1023" s="1583"/>
      <c r="AT1023" s="1583"/>
      <c r="AU1023" s="1583"/>
      <c r="AV1023" s="1583"/>
      <c r="AW1023" s="1583"/>
      <c r="AX1023" s="1583"/>
      <c r="AY1023" s="1583"/>
      <c r="CR1023" s="25"/>
    </row>
    <row r="1024" spans="1:96" ht="12.75" customHeight="1">
      <c r="A1024" s="51"/>
      <c r="B1024" s="117"/>
      <c r="C1024" s="198" t="s">
        <v>2172</v>
      </c>
      <c r="D1024" s="2489" t="s">
        <v>2393</v>
      </c>
      <c r="E1024" s="2490"/>
      <c r="F1024" s="2490"/>
      <c r="G1024" s="2490"/>
      <c r="H1024" s="2490"/>
      <c r="I1024" s="2490"/>
      <c r="J1024" s="2490"/>
      <c r="K1024" s="2490"/>
      <c r="L1024" s="2490"/>
      <c r="M1024" s="2490"/>
      <c r="N1024" s="2490"/>
      <c r="O1024" s="2490"/>
      <c r="P1024" s="2490"/>
      <c r="Q1024" s="2490"/>
      <c r="R1024" s="2490"/>
      <c r="S1024" s="2490"/>
      <c r="T1024" s="2490"/>
      <c r="U1024" s="2490"/>
      <c r="V1024" s="2490"/>
      <c r="W1024" s="2490"/>
      <c r="X1024" s="2490"/>
      <c r="Y1024" s="2490"/>
      <c r="Z1024" s="2490"/>
      <c r="AA1024" s="2490"/>
      <c r="AB1024" s="2490"/>
      <c r="AC1024" s="2490"/>
      <c r="AD1024" s="2490"/>
      <c r="AE1024" s="2491"/>
      <c r="AF1024" s="117"/>
      <c r="AG1024" s="2451" t="str">
        <f>IF(X1027&gt;0,"Yes","No")</f>
        <v>Yes</v>
      </c>
      <c r="AH1024" s="2452"/>
      <c r="AI1024" s="125"/>
      <c r="AJ1024" s="2460">
        <f>IF((X1027=0),0,BA989*AJ975)</f>
        <v>29556172.800000001</v>
      </c>
      <c r="AK1024" s="2461"/>
      <c r="AL1024" s="2461"/>
      <c r="AM1024" s="2461"/>
      <c r="AN1024" s="2461"/>
      <c r="AO1024" s="2461"/>
      <c r="AP1024" s="2461"/>
      <c r="AQ1024" s="2462"/>
      <c r="AR1024" s="1583"/>
      <c r="AS1024" s="1583"/>
      <c r="AT1024" s="1583"/>
      <c r="AU1024" s="1583"/>
      <c r="AV1024" s="1583"/>
      <c r="AW1024" s="1583"/>
      <c r="AX1024" s="1583"/>
      <c r="AY1024" s="1583"/>
    </row>
    <row r="1025" spans="1:96" ht="12.75" customHeight="1">
      <c r="A1025" s="51"/>
      <c r="B1025" s="110"/>
      <c r="C1025" s="702"/>
      <c r="D1025" s="2444" t="s">
        <v>1545</v>
      </c>
      <c r="E1025" s="2445"/>
      <c r="F1025" s="2445"/>
      <c r="G1025" s="2445"/>
      <c r="H1025" s="2445"/>
      <c r="I1025" s="2445"/>
      <c r="J1025" s="2445"/>
      <c r="K1025" s="2445"/>
      <c r="L1025" s="2445"/>
      <c r="M1025" s="2445"/>
      <c r="N1025" s="2445"/>
      <c r="O1025" s="2445"/>
      <c r="P1025" s="2445"/>
      <c r="Q1025" s="2445"/>
      <c r="R1025" s="2445"/>
      <c r="S1025" s="2445"/>
      <c r="T1025" s="2445"/>
      <c r="U1025" s="2445"/>
      <c r="V1025" s="2445"/>
      <c r="W1025" s="2445"/>
      <c r="X1025" s="2445"/>
      <c r="Y1025" s="2445"/>
      <c r="Z1025" s="2445"/>
      <c r="AA1025" s="2445"/>
      <c r="AB1025" s="2445"/>
      <c r="AC1025" s="2445"/>
      <c r="AD1025" s="2445"/>
      <c r="AE1025" s="2446"/>
      <c r="AF1025" s="110"/>
      <c r="AG1025" s="703"/>
      <c r="AH1025" s="703"/>
      <c r="AI1025" s="121"/>
      <c r="AJ1025" s="2463"/>
      <c r="AK1025" s="2464"/>
      <c r="AL1025" s="2464"/>
      <c r="AM1025" s="2464"/>
      <c r="AN1025" s="2464"/>
      <c r="AO1025" s="2464"/>
      <c r="AP1025" s="2464"/>
      <c r="AQ1025" s="2465"/>
      <c r="AR1025" s="1583"/>
      <c r="AS1025" s="1583"/>
      <c r="AT1025" s="1583"/>
      <c r="AU1025" s="1583"/>
      <c r="AV1025" s="1583"/>
      <c r="AW1025" s="1583"/>
      <c r="AX1025" s="1583"/>
      <c r="AY1025" s="1583"/>
    </row>
    <row r="1026" spans="1:96" ht="12.75" customHeight="1">
      <c r="A1026" s="51"/>
      <c r="B1026" s="110"/>
      <c r="C1026" s="702"/>
      <c r="D1026" s="2444"/>
      <c r="E1026" s="2445"/>
      <c r="F1026" s="2445"/>
      <c r="G1026" s="2445"/>
      <c r="H1026" s="2445"/>
      <c r="I1026" s="2445"/>
      <c r="J1026" s="2445"/>
      <c r="K1026" s="2445"/>
      <c r="L1026" s="2445"/>
      <c r="M1026" s="2445"/>
      <c r="N1026" s="2445"/>
      <c r="O1026" s="2445"/>
      <c r="P1026" s="2445"/>
      <c r="Q1026" s="2445"/>
      <c r="R1026" s="2445"/>
      <c r="S1026" s="2445"/>
      <c r="T1026" s="2445"/>
      <c r="U1026" s="2445"/>
      <c r="V1026" s="2445"/>
      <c r="W1026" s="2445"/>
      <c r="X1026" s="2445"/>
      <c r="Y1026" s="2445"/>
      <c r="Z1026" s="2445"/>
      <c r="AA1026" s="2445"/>
      <c r="AB1026" s="2445"/>
      <c r="AC1026" s="2445"/>
      <c r="AD1026" s="2445"/>
      <c r="AE1026" s="2446"/>
      <c r="AF1026" s="110"/>
      <c r="AG1026" s="703"/>
      <c r="AH1026" s="703"/>
      <c r="AI1026" s="121"/>
      <c r="AJ1026" s="2463"/>
      <c r="AK1026" s="2464"/>
      <c r="AL1026" s="2464"/>
      <c r="AM1026" s="2464"/>
      <c r="AN1026" s="2464"/>
      <c r="AO1026" s="2464"/>
      <c r="AP1026" s="2464"/>
      <c r="AQ1026" s="2465"/>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449">
        <f>BA987</f>
        <v>150</v>
      </c>
      <c r="J1027" s="2450"/>
      <c r="K1027" s="11"/>
      <c r="L1027" s="200"/>
      <c r="M1027" s="200"/>
      <c r="N1027" s="200"/>
      <c r="O1027" s="200"/>
      <c r="P1027" s="200"/>
      <c r="Q1027" s="200"/>
      <c r="R1027" s="200"/>
      <c r="S1027" s="200"/>
      <c r="T1027" s="200"/>
      <c r="U1027" s="200"/>
      <c r="V1027" s="201" t="s">
        <v>1051</v>
      </c>
      <c r="W1027" s="80"/>
      <c r="X1027" s="2447">
        <f>BG635</f>
        <v>60</v>
      </c>
      <c r="Y1027" s="2448"/>
      <c r="Z1027" s="80"/>
      <c r="AA1027" s="80"/>
      <c r="AB1027" s="80"/>
      <c r="AC1027" s="80"/>
      <c r="AD1027" s="80"/>
      <c r="AE1027" s="81"/>
      <c r="AF1027" s="1622"/>
      <c r="AG1027" s="1623"/>
      <c r="AH1027" s="1623"/>
      <c r="AI1027" s="1624"/>
      <c r="AJ1027" s="2466"/>
      <c r="AK1027" s="2467"/>
      <c r="AL1027" s="2467"/>
      <c r="AM1027" s="2467"/>
      <c r="AN1027" s="2467"/>
      <c r="AO1027" s="2467"/>
      <c r="AP1027" s="2467"/>
      <c r="AQ1027" s="2468"/>
      <c r="AR1027" s="1583"/>
      <c r="AS1027" s="1583"/>
      <c r="AT1027" s="1583"/>
      <c r="AU1027" s="1583"/>
      <c r="AV1027" s="1583"/>
      <c r="AW1027" s="1583"/>
      <c r="AX1027" s="1583"/>
      <c r="AY1027" s="1583"/>
      <c r="CR1027" s="25"/>
    </row>
    <row r="1028" spans="1:96" ht="12.75" customHeight="1">
      <c r="A1028" s="51"/>
      <c r="B1028" s="117"/>
      <c r="C1028" s="198" t="s">
        <v>2173</v>
      </c>
      <c r="D1028" s="2441" t="s">
        <v>2394</v>
      </c>
      <c r="E1028" s="2442"/>
      <c r="F1028" s="2442"/>
      <c r="G1028" s="2442"/>
      <c r="H1028" s="2442"/>
      <c r="I1028" s="2442"/>
      <c r="J1028" s="2442"/>
      <c r="K1028" s="2442"/>
      <c r="L1028" s="2442"/>
      <c r="M1028" s="2442"/>
      <c r="N1028" s="2442"/>
      <c r="O1028" s="2442"/>
      <c r="P1028" s="2442"/>
      <c r="Q1028" s="2442"/>
      <c r="R1028" s="2442"/>
      <c r="S1028" s="2442"/>
      <c r="T1028" s="2442"/>
      <c r="U1028" s="2442"/>
      <c r="V1028" s="2442"/>
      <c r="W1028" s="2442"/>
      <c r="X1028" s="2442"/>
      <c r="Y1028" s="2442"/>
      <c r="Z1028" s="2442"/>
      <c r="AA1028" s="2442"/>
      <c r="AB1028" s="2442"/>
      <c r="AC1028" s="2442"/>
      <c r="AD1028" s="2442"/>
      <c r="AE1028" s="2443"/>
      <c r="AF1028" s="110"/>
      <c r="AG1028" s="2451" t="str">
        <f>IF(X1031&gt;0,"Yes","No")</f>
        <v>Yes</v>
      </c>
      <c r="AH1028" s="2452"/>
      <c r="AI1028" s="121"/>
      <c r="AJ1028" s="2460">
        <f>IF((X1031=0),0,(2*BA990)*AJ975)</f>
        <v>14778086.4</v>
      </c>
      <c r="AK1028" s="2461"/>
      <c r="AL1028" s="2461"/>
      <c r="AM1028" s="2461"/>
      <c r="AN1028" s="2461"/>
      <c r="AO1028" s="2461"/>
      <c r="AP1028" s="2461"/>
      <c r="AQ1028" s="2462"/>
      <c r="AR1028" s="1583"/>
      <c r="AS1028" s="1583"/>
      <c r="AT1028" s="1583"/>
      <c r="AU1028" s="1583"/>
      <c r="AV1028" s="1583"/>
      <c r="AW1028" s="1583"/>
      <c r="AX1028" s="1583"/>
      <c r="AY1028" s="1583"/>
    </row>
    <row r="1029" spans="1:96" ht="12.75" customHeight="1">
      <c r="A1029" s="51"/>
      <c r="B1029" s="110"/>
      <c r="C1029" s="702"/>
      <c r="D1029" s="2444" t="s">
        <v>1544</v>
      </c>
      <c r="E1029" s="2445"/>
      <c r="F1029" s="2445"/>
      <c r="G1029" s="2445"/>
      <c r="H1029" s="2445"/>
      <c r="I1029" s="2445"/>
      <c r="J1029" s="2445"/>
      <c r="K1029" s="2445"/>
      <c r="L1029" s="2445"/>
      <c r="M1029" s="2445"/>
      <c r="N1029" s="2445"/>
      <c r="O1029" s="2445"/>
      <c r="P1029" s="2445"/>
      <c r="Q1029" s="2445"/>
      <c r="R1029" s="2445"/>
      <c r="S1029" s="2445"/>
      <c r="T1029" s="2445"/>
      <c r="U1029" s="2445"/>
      <c r="V1029" s="2445"/>
      <c r="W1029" s="2445"/>
      <c r="X1029" s="2445"/>
      <c r="Y1029" s="2445"/>
      <c r="Z1029" s="2445"/>
      <c r="AA1029" s="2445"/>
      <c r="AB1029" s="2445"/>
      <c r="AC1029" s="2445"/>
      <c r="AD1029" s="2445"/>
      <c r="AE1029" s="2446"/>
      <c r="AF1029" s="110"/>
      <c r="AG1029" s="703"/>
      <c r="AH1029" s="703"/>
      <c r="AI1029" s="121"/>
      <c r="AJ1029" s="2463"/>
      <c r="AK1029" s="2464"/>
      <c r="AL1029" s="2464"/>
      <c r="AM1029" s="2464"/>
      <c r="AN1029" s="2464"/>
      <c r="AO1029" s="2464"/>
      <c r="AP1029" s="2464"/>
      <c r="AQ1029" s="2465"/>
      <c r="AR1029" s="1583"/>
      <c r="AS1029" s="1583"/>
      <c r="AT1029" s="1583"/>
      <c r="AU1029" s="1583"/>
      <c r="AV1029" s="1583"/>
      <c r="AW1029" s="1583"/>
      <c r="AX1029" s="1583"/>
      <c r="AY1029" s="1583"/>
    </row>
    <row r="1030" spans="1:96" ht="12.75" customHeight="1">
      <c r="A1030" s="51"/>
      <c r="B1030" s="110"/>
      <c r="C1030" s="121"/>
      <c r="D1030" s="2444"/>
      <c r="E1030" s="2445"/>
      <c r="F1030" s="2445"/>
      <c r="G1030" s="2445"/>
      <c r="H1030" s="2445"/>
      <c r="I1030" s="2445"/>
      <c r="J1030" s="2445"/>
      <c r="K1030" s="2445"/>
      <c r="L1030" s="2445"/>
      <c r="M1030" s="2445"/>
      <c r="N1030" s="2445"/>
      <c r="O1030" s="2445"/>
      <c r="P1030" s="2445"/>
      <c r="Q1030" s="2445"/>
      <c r="R1030" s="2445"/>
      <c r="S1030" s="2445"/>
      <c r="T1030" s="2445"/>
      <c r="U1030" s="2445"/>
      <c r="V1030" s="2445"/>
      <c r="W1030" s="2445"/>
      <c r="X1030" s="2445"/>
      <c r="Y1030" s="2445"/>
      <c r="Z1030" s="2445"/>
      <c r="AA1030" s="2445"/>
      <c r="AB1030" s="2445"/>
      <c r="AC1030" s="2445"/>
      <c r="AD1030" s="2445"/>
      <c r="AE1030" s="2446"/>
      <c r="AF1030" s="1619"/>
      <c r="AG1030" s="1620"/>
      <c r="AH1030" s="1620"/>
      <c r="AI1030" s="1621"/>
      <c r="AJ1030" s="2463"/>
      <c r="AK1030" s="2464"/>
      <c r="AL1030" s="2464"/>
      <c r="AM1030" s="2464"/>
      <c r="AN1030" s="2464"/>
      <c r="AO1030" s="2464"/>
      <c r="AP1030" s="2464"/>
      <c r="AQ1030" s="2465"/>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449">
        <f>BA987</f>
        <v>150</v>
      </c>
      <c r="J1031" s="2450"/>
      <c r="K1031" s="51"/>
      <c r="L1031" s="200"/>
      <c r="M1031" s="200"/>
      <c r="N1031" s="200"/>
      <c r="O1031" s="200"/>
      <c r="P1031" s="200"/>
      <c r="Q1031" s="200"/>
      <c r="R1031" s="200"/>
      <c r="S1031" s="200"/>
      <c r="T1031" s="200"/>
      <c r="U1031" s="200"/>
      <c r="V1031" s="201" t="s">
        <v>1052</v>
      </c>
      <c r="X1031" s="2447">
        <f>BK635</f>
        <v>15</v>
      </c>
      <c r="Y1031" s="2448"/>
      <c r="AF1031" s="1622"/>
      <c r="AG1031" s="1623"/>
      <c r="AH1031" s="1623"/>
      <c r="AI1031" s="1624"/>
      <c r="AJ1031" s="2466"/>
      <c r="AK1031" s="2467"/>
      <c r="AL1031" s="2467"/>
      <c r="AM1031" s="2467"/>
      <c r="AN1031" s="2467"/>
      <c r="AO1031" s="2467"/>
      <c r="AP1031" s="2467"/>
      <c r="AQ1031" s="2468"/>
      <c r="AR1031" s="1583"/>
      <c r="AS1031" s="1583"/>
      <c r="AT1031" s="1583"/>
      <c r="AU1031" s="1583"/>
      <c r="AV1031" s="1583"/>
      <c r="AW1031" s="1583"/>
      <c r="AX1031" s="1583"/>
      <c r="AY1031" s="1583"/>
      <c r="CR1031" s="25"/>
    </row>
    <row r="1032" spans="1:96" ht="12.75" customHeight="1">
      <c r="A1032" s="51"/>
      <c r="B1032" s="158"/>
      <c r="C1032" s="159"/>
      <c r="D1032" s="2439" t="s">
        <v>545</v>
      </c>
      <c r="E1032" s="2439"/>
      <c r="F1032" s="2439"/>
      <c r="G1032" s="2439"/>
      <c r="H1032" s="2439"/>
      <c r="I1032" s="2439"/>
      <c r="J1032" s="2439"/>
      <c r="K1032" s="2439"/>
      <c r="L1032" s="2439"/>
      <c r="M1032" s="2439"/>
      <c r="N1032" s="2439"/>
      <c r="O1032" s="2439"/>
      <c r="P1032" s="2439"/>
      <c r="Q1032" s="2439"/>
      <c r="R1032" s="2439"/>
      <c r="S1032" s="2439"/>
      <c r="T1032" s="2439"/>
      <c r="U1032" s="2439"/>
      <c r="V1032" s="2439"/>
      <c r="W1032" s="2439"/>
      <c r="X1032" s="2439"/>
      <c r="Y1032" s="2439"/>
      <c r="Z1032" s="2439"/>
      <c r="AA1032" s="2439"/>
      <c r="AB1032" s="2439"/>
      <c r="AC1032" s="2439"/>
      <c r="AD1032" s="2439"/>
      <c r="AE1032" s="2439"/>
      <c r="AF1032" s="2439"/>
      <c r="AG1032" s="2439"/>
      <c r="AH1032" s="2439"/>
      <c r="AI1032" s="2440"/>
      <c r="AJ1032" s="2469">
        <f>SUM(AJ975:AQ1031)</f>
        <v>146009771.19999999</v>
      </c>
      <c r="AK1032" s="2470"/>
      <c r="AL1032" s="2470"/>
      <c r="AM1032" s="2470"/>
      <c r="AN1032" s="2470"/>
      <c r="AO1032" s="2470"/>
      <c r="AP1032" s="2470"/>
      <c r="AQ1032" s="2471"/>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098" t="s">
        <v>1931</v>
      </c>
      <c r="C1034" s="2098"/>
      <c r="D1034" s="2098"/>
      <c r="E1034" s="2098"/>
      <c r="F1034" s="2098"/>
      <c r="G1034" s="2098"/>
      <c r="H1034" s="2098"/>
      <c r="I1034" s="2098"/>
      <c r="J1034" s="2098"/>
      <c r="K1034" s="2098"/>
      <c r="L1034" s="2098"/>
      <c r="M1034" s="2098"/>
      <c r="N1034" s="2098"/>
      <c r="O1034" s="2098"/>
      <c r="P1034" s="2098"/>
      <c r="Q1034" s="2098"/>
      <c r="R1034" s="2098"/>
      <c r="S1034" s="2098"/>
      <c r="T1034" s="2098"/>
      <c r="U1034" s="2098"/>
      <c r="V1034" s="2098"/>
      <c r="W1034" s="2098"/>
      <c r="X1034" s="2098"/>
      <c r="Y1034" s="2098"/>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4"/>
      <c r="Y1035" s="2384"/>
      <c r="Z1035" s="2384"/>
      <c r="AA1035" s="2384"/>
      <c r="AB1035" s="2384"/>
      <c r="AC1035" s="2384"/>
      <c r="AD1035" s="2118">
        <f>R971</f>
        <v>612000</v>
      </c>
      <c r="AE1035" s="2119"/>
      <c r="AF1035" s="2119"/>
      <c r="AG1035" s="2119"/>
      <c r="AH1035" s="2119"/>
      <c r="AI1035" s="2119"/>
      <c r="AJ1035" s="2119"/>
      <c r="AK1035" s="2119"/>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5"/>
      <c r="Y1036" s="2385"/>
      <c r="Z1036" s="2385"/>
      <c r="AA1036" s="2385"/>
      <c r="AB1036" s="2385"/>
      <c r="AC1036" s="2385"/>
      <c r="AD1036" s="2148">
        <f>MEDIAN((BR809:BR866))</f>
        <v>364800</v>
      </c>
      <c r="AE1036" s="2148"/>
      <c r="AF1036" s="2148"/>
      <c r="AG1036" s="2148"/>
      <c r="AH1036" s="2148"/>
      <c r="AI1036" s="2148"/>
      <c r="AJ1036" s="2148"/>
      <c r="AK1036" s="2148"/>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0" t="s">
        <v>1933</v>
      </c>
      <c r="C1037" s="2120"/>
      <c r="D1037" s="2120"/>
      <c r="E1037" s="2120"/>
      <c r="F1037" s="2120"/>
      <c r="G1037" s="2120"/>
      <c r="H1037" s="2120"/>
      <c r="I1037" s="2120"/>
      <c r="J1037" s="2120"/>
      <c r="K1037" s="2120"/>
      <c r="L1037" s="2120"/>
      <c r="M1037" s="2120"/>
      <c r="N1037" s="2120"/>
      <c r="O1037" s="2120"/>
      <c r="P1037" s="2120"/>
      <c r="Q1037" s="2120"/>
      <c r="R1037" s="2120"/>
      <c r="S1037" s="2120"/>
      <c r="T1037" s="2120"/>
      <c r="U1037" s="2120"/>
      <c r="V1037" s="2120"/>
      <c r="W1037" s="2120"/>
      <c r="X1037" s="2120"/>
      <c r="Y1037" s="2120"/>
      <c r="Z1037" s="1416"/>
      <c r="AA1037" s="1416"/>
      <c r="AB1037" s="1416"/>
      <c r="AC1037" s="1416"/>
      <c r="AD1037" s="2115">
        <f>IF(((AD1035-AD1036)/AD1036)&gt;0.3,0.3,((AD1035-AD1036)/AD1036))</f>
        <v>0.3</v>
      </c>
      <c r="AE1037" s="2116"/>
      <c r="AF1037" s="2116"/>
      <c r="AG1037" s="2116"/>
      <c r="AH1037" s="2116"/>
      <c r="AI1037" s="2116"/>
      <c r="AJ1037" s="2116"/>
      <c r="AK1037" s="2117"/>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82">
        <f>IF(ISNA(IF((AJ999&gt;(AJ975*0.15)),"(f) cannot be greater than 15% of unadjusted eligible basis.",0)),"",(IF((AJ999&gt;(AJ975*0.15)),"(f) cannot be greater than 15% of unadjusted eligible basis.",0)))</f>
        <v>0</v>
      </c>
      <c r="C1039" s="2382"/>
      <c r="D1039" s="2382"/>
      <c r="E1039" s="2382"/>
      <c r="F1039" s="2382"/>
      <c r="G1039" s="2382"/>
      <c r="H1039" s="2382"/>
      <c r="I1039" s="2382"/>
      <c r="J1039" s="2382"/>
      <c r="K1039" s="2382"/>
      <c r="L1039" s="2382"/>
      <c r="M1039" s="2382"/>
      <c r="N1039" s="2382"/>
      <c r="O1039" s="2382"/>
      <c r="P1039" s="2382"/>
      <c r="Q1039" s="2382"/>
      <c r="R1039" s="2382"/>
      <c r="S1039" s="2382"/>
      <c r="T1039" s="2382"/>
      <c r="U1039" s="2382"/>
      <c r="V1039" s="2382"/>
      <c r="W1039" s="2382"/>
      <c r="X1039" s="2382"/>
      <c r="Y1039" s="2382"/>
      <c r="Z1039" s="2382"/>
      <c r="AA1039" s="2382"/>
      <c r="AB1039" s="2382"/>
      <c r="AC1039" s="2382"/>
      <c r="AD1039" s="2382"/>
      <c r="AE1039" s="2382"/>
      <c r="AF1039" s="2382"/>
      <c r="AG1039" s="2382"/>
      <c r="AH1039" s="2382"/>
      <c r="AI1039" s="2382"/>
      <c r="AJ1039" s="2382"/>
      <c r="AK1039" s="2382"/>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55" t="s">
        <v>851</v>
      </c>
      <c r="B1040" s="2355"/>
      <c r="C1040" s="2355"/>
      <c r="D1040" s="2355"/>
      <c r="E1040" s="2355"/>
      <c r="F1040" s="2355"/>
      <c r="G1040" s="2355"/>
      <c r="H1040" s="2355"/>
      <c r="I1040" s="2355"/>
      <c r="J1040" s="2355"/>
      <c r="K1040" s="2355"/>
      <c r="L1040" s="2355"/>
      <c r="M1040" s="2355"/>
      <c r="N1040" s="2355"/>
      <c r="O1040" s="2355"/>
      <c r="P1040" s="2355"/>
      <c r="Q1040" s="2355"/>
      <c r="R1040" s="2355"/>
      <c r="S1040" s="2355"/>
      <c r="T1040" s="2355"/>
      <c r="U1040" s="2355"/>
      <c r="V1040" s="2355"/>
      <c r="W1040" s="2355"/>
      <c r="X1040" s="2355"/>
      <c r="Y1040" s="2355"/>
      <c r="Z1040" s="2355"/>
      <c r="AA1040" s="2355"/>
      <c r="AB1040" s="2355"/>
      <c r="AC1040" s="2355"/>
      <c r="AD1040" s="2355"/>
      <c r="AE1040" s="2355"/>
      <c r="AF1040" s="2355"/>
      <c r="AG1040" s="2355"/>
      <c r="AH1040" s="2355"/>
      <c r="AI1040" s="2355"/>
      <c r="AJ1040" s="2355"/>
      <c r="AK1040" s="2355"/>
      <c r="AL1040" s="2355"/>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7" t="s">
        <v>625</v>
      </c>
      <c r="B1044" s="2037"/>
      <c r="C1044" s="13">
        <v>1</v>
      </c>
      <c r="D1044" s="1881" t="s">
        <v>1222</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7" t="s">
        <v>625</v>
      </c>
      <c r="B1050" s="2037"/>
      <c r="C1050" s="13">
        <v>2</v>
      </c>
      <c r="D1050" s="1881" t="s">
        <v>1221</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65" customHeight="1">
      <c r="A1056" s="2037" t="s">
        <v>625</v>
      </c>
      <c r="B1056" s="2037"/>
      <c r="C1056" s="13">
        <v>3</v>
      </c>
      <c r="D1056" s="1881" t="s">
        <v>1527</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65"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9"/>
    </row>
    <row r="1058" spans="1:96" ht="12.65"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9" customFormat="1" ht="12.65"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65"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65"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65" customHeight="1">
      <c r="A1063" s="2037" t="s">
        <v>625</v>
      </c>
      <c r="B1063" s="2037"/>
      <c r="C1063" s="13">
        <v>4</v>
      </c>
      <c r="D1063" s="1881" t="s">
        <v>1207</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65"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65"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2" customFormat="1" ht="12.65" customHeight="1">
      <c r="A1066" s="2037" t="s">
        <v>625</v>
      </c>
      <c r="B1066" s="2037"/>
      <c r="C1066" s="13">
        <v>5</v>
      </c>
      <c r="D1066" s="1881" t="s">
        <v>1416</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65"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65"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2"/>
    </row>
    <row r="1070" spans="1:96" ht="12.65"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65" customHeight="1">
      <c r="A1071" s="2037" t="s">
        <v>625</v>
      </c>
      <c r="B1071" s="2037"/>
      <c r="C1071" s="13">
        <v>6</v>
      </c>
      <c r="D1071" s="1881" t="s">
        <v>1208</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65"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65"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65" customHeight="1">
      <c r="A1074" s="2037" t="s">
        <v>625</v>
      </c>
      <c r="B1074" s="2037"/>
      <c r="C1074" s="318">
        <v>7</v>
      </c>
      <c r="D1074" s="1881" t="s">
        <v>1210</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65"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2" customFormat="1" ht="12.65"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65" customHeight="1">
      <c r="A1078" s="2037" t="s">
        <v>625</v>
      </c>
      <c r="B1078" s="2037"/>
      <c r="C1078" s="318">
        <v>8</v>
      </c>
      <c r="D1078" s="2383" t="s">
        <v>2168</v>
      </c>
      <c r="E1078" s="2383"/>
      <c r="F1078" s="2383"/>
      <c r="G1078" s="2383"/>
      <c r="H1078" s="2383"/>
      <c r="I1078" s="2383"/>
      <c r="J1078" s="2383"/>
      <c r="K1078" s="2383"/>
      <c r="L1078" s="2383"/>
      <c r="M1078" s="2383"/>
      <c r="N1078" s="2383"/>
      <c r="O1078" s="2383"/>
      <c r="P1078" s="2383"/>
      <c r="Q1078" s="2383"/>
      <c r="R1078" s="2383"/>
      <c r="S1078" s="2383"/>
      <c r="T1078" s="2383"/>
      <c r="U1078" s="2383"/>
      <c r="V1078" s="2383"/>
      <c r="W1078" s="2383"/>
      <c r="X1078" s="2383"/>
      <c r="Y1078" s="2383"/>
      <c r="Z1078" s="2383"/>
      <c r="AA1078" s="2383"/>
      <c r="AB1078" s="2383"/>
      <c r="AC1078" s="2383"/>
      <c r="AD1078" s="2383"/>
      <c r="AE1078" s="2383"/>
      <c r="AF1078" s="2383"/>
      <c r="AG1078" s="2383"/>
      <c r="AH1078" s="2383"/>
      <c r="AI1078" s="2383"/>
      <c r="AJ1078" s="2383"/>
      <c r="AK1078" s="2383"/>
    </row>
    <row r="1079" spans="1:96" ht="12.65" customHeight="1">
      <c r="A1079" s="235"/>
      <c r="B1079" s="235"/>
      <c r="C1079" s="318"/>
      <c r="D1079" s="2383"/>
      <c r="E1079" s="2383"/>
      <c r="F1079" s="2383"/>
      <c r="G1079" s="2383"/>
      <c r="H1079" s="2383"/>
      <c r="I1079" s="2383"/>
      <c r="J1079" s="2383"/>
      <c r="K1079" s="2383"/>
      <c r="L1079" s="2383"/>
      <c r="M1079" s="2383"/>
      <c r="N1079" s="2383"/>
      <c r="O1079" s="2383"/>
      <c r="P1079" s="2383"/>
      <c r="Q1079" s="2383"/>
      <c r="R1079" s="2383"/>
      <c r="S1079" s="2383"/>
      <c r="T1079" s="2383"/>
      <c r="U1079" s="2383"/>
      <c r="V1079" s="2383"/>
      <c r="W1079" s="2383"/>
      <c r="X1079" s="2383"/>
      <c r="Y1079" s="2383"/>
      <c r="Z1079" s="2383"/>
      <c r="AA1079" s="2383"/>
      <c r="AB1079" s="2383"/>
      <c r="AC1079" s="2383"/>
      <c r="AD1079" s="2383"/>
      <c r="AE1079" s="2383"/>
      <c r="AF1079" s="2383"/>
      <c r="AG1079" s="2383"/>
      <c r="AH1079" s="2383"/>
      <c r="AI1079" s="2383"/>
      <c r="AJ1079" s="2383"/>
      <c r="AK1079" s="2383"/>
    </row>
    <row r="1080" spans="1:96" ht="12.65" customHeight="1">
      <c r="A1080" s="235"/>
      <c r="B1080" s="235"/>
      <c r="C1080" s="318"/>
      <c r="D1080" s="2383"/>
      <c r="E1080" s="2383"/>
      <c r="F1080" s="2383"/>
      <c r="G1080" s="2383"/>
      <c r="H1080" s="2383"/>
      <c r="I1080" s="2383"/>
      <c r="J1080" s="2383"/>
      <c r="K1080" s="2383"/>
      <c r="L1080" s="2383"/>
      <c r="M1080" s="2383"/>
      <c r="N1080" s="2383"/>
      <c r="O1080" s="2383"/>
      <c r="P1080" s="2383"/>
      <c r="Q1080" s="2383"/>
      <c r="R1080" s="2383"/>
      <c r="S1080" s="2383"/>
      <c r="T1080" s="2383"/>
      <c r="U1080" s="2383"/>
      <c r="V1080" s="2383"/>
      <c r="W1080" s="2383"/>
      <c r="X1080" s="2383"/>
      <c r="Y1080" s="2383"/>
      <c r="Z1080" s="2383"/>
      <c r="AA1080" s="2383"/>
      <c r="AB1080" s="2383"/>
      <c r="AC1080" s="2383"/>
      <c r="AD1080" s="2383"/>
      <c r="AE1080" s="2383"/>
      <c r="AF1080" s="2383"/>
      <c r="AG1080" s="2383"/>
      <c r="AH1080" s="2383"/>
      <c r="AI1080" s="2383"/>
      <c r="AJ1080" s="2383"/>
      <c r="AK1080" s="2383"/>
      <c r="AL1080" s="682"/>
    </row>
    <row r="1081" spans="1:96" ht="12" customHeight="1">
      <c r="A1081" s="62"/>
      <c r="B1081" s="66"/>
      <c r="C1081" s="318"/>
      <c r="D1081" s="2383"/>
      <c r="E1081" s="2383"/>
      <c r="F1081" s="2383"/>
      <c r="G1081" s="2383"/>
      <c r="H1081" s="2383"/>
      <c r="I1081" s="2383"/>
      <c r="J1081" s="2383"/>
      <c r="K1081" s="2383"/>
      <c r="L1081" s="2383"/>
      <c r="M1081" s="2383"/>
      <c r="N1081" s="2383"/>
      <c r="O1081" s="2383"/>
      <c r="P1081" s="2383"/>
      <c r="Q1081" s="2383"/>
      <c r="R1081" s="2383"/>
      <c r="S1081" s="2383"/>
      <c r="T1081" s="2383"/>
      <c r="U1081" s="2383"/>
      <c r="V1081" s="2383"/>
      <c r="W1081" s="2383"/>
      <c r="X1081" s="2383"/>
      <c r="Y1081" s="2383"/>
      <c r="Z1081" s="2383"/>
      <c r="AA1081" s="2383"/>
      <c r="AB1081" s="2383"/>
      <c r="AC1081" s="2383"/>
      <c r="AD1081" s="2383"/>
      <c r="AE1081" s="2383"/>
      <c r="AF1081" s="2383"/>
      <c r="AG1081" s="2383"/>
      <c r="AH1081" s="2383"/>
      <c r="AI1081" s="2383"/>
      <c r="AJ1081" s="2383"/>
      <c r="AK1081" s="2383"/>
    </row>
    <row r="1082" spans="1:96" ht="12.65" customHeight="1">
      <c r="A1082" s="2037" t="s">
        <v>625</v>
      </c>
      <c r="B1082" s="2037"/>
      <c r="C1082" s="318">
        <v>9</v>
      </c>
      <c r="D1082" s="1881" t="s">
        <v>1209</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DM658:DQ658"/>
    <mergeCell ref="DR658:DV658"/>
    <mergeCell ref="CS655:CW655"/>
    <mergeCell ref="CX655:DB655"/>
    <mergeCell ref="DC655:DG655"/>
    <mergeCell ref="DC653:DG653"/>
    <mergeCell ref="DH653:DL653"/>
    <mergeCell ref="DM653:DQ653"/>
    <mergeCell ref="DR653:DV653"/>
    <mergeCell ref="DR660:DV660"/>
    <mergeCell ref="CS658:CW658"/>
    <mergeCell ref="DH655:DL655"/>
    <mergeCell ref="DM655:DQ655"/>
    <mergeCell ref="DR655:DV655"/>
    <mergeCell ref="ER658:EV658"/>
    <mergeCell ref="DH651:DL651"/>
    <mergeCell ref="DM651:DQ651"/>
    <mergeCell ref="DR651:DV651"/>
    <mergeCell ref="CS652:CW652"/>
    <mergeCell ref="H413:AE414"/>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27:DQ627"/>
    <mergeCell ref="DH648:DL648"/>
    <mergeCell ref="DH654:DL654"/>
    <mergeCell ref="DM654:DQ654"/>
    <mergeCell ref="DH625:DL625"/>
    <mergeCell ref="DR630:DV630"/>
    <mergeCell ref="DR629:DV629"/>
    <mergeCell ref="CS630:CW630"/>
    <mergeCell ref="CX630:DB630"/>
    <mergeCell ref="DC630:DG630"/>
    <mergeCell ref="CS625:CW625"/>
    <mergeCell ref="ER653:EV653"/>
    <mergeCell ref="EC652:EG652"/>
    <mergeCell ref="EH653:EL653"/>
    <mergeCell ref="EM653:EQ653"/>
    <mergeCell ref="DC649:DG649"/>
    <mergeCell ref="EC651:EG651"/>
    <mergeCell ref="DX646:EB646"/>
    <mergeCell ref="EH654:EL654"/>
    <mergeCell ref="ER648:EV648"/>
    <mergeCell ref="DX625:EB625"/>
    <mergeCell ref="EC625:EG625"/>
    <mergeCell ref="EH625:EL625"/>
    <mergeCell ref="EM625:EQ625"/>
    <mergeCell ref="ER625:EV625"/>
    <mergeCell ref="CX628:DB628"/>
    <mergeCell ref="DC628:DG628"/>
    <mergeCell ref="DH628:DL628"/>
    <mergeCell ref="DR627:DV627"/>
    <mergeCell ref="DM628:DQ628"/>
    <mergeCell ref="DM635:DQ635"/>
    <mergeCell ref="DC634:DG634"/>
    <mergeCell ref="DH649:DL649"/>
    <mergeCell ref="DM649:DQ649"/>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BX655:CB655"/>
    <mergeCell ref="BX656:CB656"/>
    <mergeCell ref="CM655:CQ655"/>
    <mergeCell ref="CM656:CQ656"/>
    <mergeCell ref="CH654:CL654"/>
    <mergeCell ref="CH653:CL653"/>
    <mergeCell ref="BS654:BW654"/>
    <mergeCell ref="CM653:CQ653"/>
    <mergeCell ref="CX651:DB651"/>
    <mergeCell ref="DC651:DG651"/>
    <mergeCell ref="DR654:DV654"/>
    <mergeCell ref="BN650:BR650"/>
    <mergeCell ref="BX654:CB654"/>
    <mergeCell ref="CM651:CQ651"/>
    <mergeCell ref="DM648:DQ648"/>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3:Y573"/>
    <mergeCell ref="P582:R582"/>
    <mergeCell ref="CX627:DB627"/>
    <mergeCell ref="CS619:CW619"/>
    <mergeCell ref="CS609:CW609"/>
    <mergeCell ref="G591:L591"/>
    <mergeCell ref="G587:R587"/>
    <mergeCell ref="G598:R598"/>
    <mergeCell ref="BX616:CB616"/>
    <mergeCell ref="BS616:BW616"/>
    <mergeCell ref="BK616:BL616"/>
    <mergeCell ref="BG613:BH613"/>
    <mergeCell ref="BI613:BJ613"/>
    <mergeCell ref="BN616:BR616"/>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BX649:CB649"/>
    <mergeCell ref="BS649:BW649"/>
    <mergeCell ref="G582:L582"/>
    <mergeCell ref="G597:R597"/>
    <mergeCell ref="G588:R588"/>
    <mergeCell ref="DM634:DQ634"/>
    <mergeCell ref="DH634:DL634"/>
    <mergeCell ref="DR634:DV634"/>
    <mergeCell ref="DR633:DV633"/>
    <mergeCell ref="DH633:DL633"/>
    <mergeCell ref="DM631:DQ631"/>
    <mergeCell ref="DR631:DV631"/>
    <mergeCell ref="DM632:DQ632"/>
    <mergeCell ref="DR632:DV632"/>
    <mergeCell ref="DM630:DQ630"/>
    <mergeCell ref="R647:T647"/>
    <mergeCell ref="R648:T648"/>
    <mergeCell ref="X638:AB638"/>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O646:Q646"/>
    <mergeCell ref="AC642:AE642"/>
    <mergeCell ref="AC643:AE643"/>
    <mergeCell ref="AC644:AE644"/>
    <mergeCell ref="AC645:AE645"/>
    <mergeCell ref="AO640:AS640"/>
    <mergeCell ref="AF644:AJ64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BN634:BR634"/>
    <mergeCell ref="AC639:AE639"/>
    <mergeCell ref="AO642:AS642"/>
    <mergeCell ref="AF645:AJ645"/>
    <mergeCell ref="AO645:AS645"/>
    <mergeCell ref="AO643:AS643"/>
    <mergeCell ref="X644:AB644"/>
    <mergeCell ref="X645:AB645"/>
    <mergeCell ref="R646:T646"/>
    <mergeCell ref="X639:AB639"/>
    <mergeCell ref="X640:AB640"/>
    <mergeCell ref="X641:AB641"/>
    <mergeCell ref="X642:AB642"/>
    <mergeCell ref="X643:AB643"/>
    <mergeCell ref="U637:W637"/>
    <mergeCell ref="AF643:AJ643"/>
    <mergeCell ref="R642:T642"/>
    <mergeCell ref="AO638:AS638"/>
    <mergeCell ref="AO641:AS641"/>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CM636:CQ636"/>
    <mergeCell ref="BX635:CB635"/>
    <mergeCell ref="CC635:CG635"/>
    <mergeCell ref="CM640:CQ640"/>
    <mergeCell ref="X634:AB636"/>
    <mergeCell ref="CM644:CQ644"/>
    <mergeCell ref="X648:AB648"/>
    <mergeCell ref="AO647:AS647"/>
    <mergeCell ref="DR648:DV648"/>
    <mergeCell ref="AC634:AE636"/>
    <mergeCell ref="U642:W642"/>
    <mergeCell ref="BN648:BR648"/>
    <mergeCell ref="BN641:BR641"/>
    <mergeCell ref="AF639:AJ639"/>
    <mergeCell ref="U641:W641"/>
    <mergeCell ref="U640:W640"/>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DX656:EB656"/>
    <mergeCell ref="EC656:EG656"/>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61:EV661"/>
    <mergeCell ref="EW662:FA662"/>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M655:EQ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Y828:AB828"/>
    <mergeCell ref="AA953:AG953"/>
    <mergeCell ref="T956:Z956"/>
    <mergeCell ref="AA928:AF928"/>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D1001:AE1002"/>
    <mergeCell ref="J1003:AE1003"/>
    <mergeCell ref="D1004:AE1004"/>
    <mergeCell ref="B975:AI975"/>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J975:AQ975"/>
    <mergeCell ref="AJ976:AQ976"/>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B741:F741"/>
    <mergeCell ref="M824:P824"/>
    <mergeCell ref="AH750:AL750"/>
    <mergeCell ref="AH751:AL751"/>
    <mergeCell ref="AH747:AL747"/>
    <mergeCell ref="AC750:AG750"/>
    <mergeCell ref="J789:N789"/>
    <mergeCell ref="AH792:AL792"/>
    <mergeCell ref="AH793:AL793"/>
    <mergeCell ref="AH794:AL794"/>
    <mergeCell ref="B748:F748"/>
    <mergeCell ref="J791:N791"/>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M959:S959"/>
    <mergeCell ref="M953:S953"/>
    <mergeCell ref="M952:S952"/>
    <mergeCell ref="AC885:AH885"/>
    <mergeCell ref="AE943:AK943"/>
    <mergeCell ref="W958:AG958"/>
    <mergeCell ref="AA955:AG955"/>
    <mergeCell ref="AE946:AK946"/>
    <mergeCell ref="AA922:AF922"/>
    <mergeCell ref="AE942:AK942"/>
    <mergeCell ref="AA952:AG952"/>
    <mergeCell ref="AE939:AK939"/>
    <mergeCell ref="M942:S942"/>
    <mergeCell ref="W876:AC876"/>
    <mergeCell ref="M873:V873"/>
    <mergeCell ref="W875:AC875"/>
    <mergeCell ref="AA690:AK690"/>
    <mergeCell ref="AM739:AO739"/>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O752:S752"/>
    <mergeCell ref="O789:S789"/>
    <mergeCell ref="AC796:AG796"/>
    <mergeCell ref="AC786:AG786"/>
    <mergeCell ref="M828:P828"/>
    <mergeCell ref="J793:N793"/>
    <mergeCell ref="AH748:AL748"/>
    <mergeCell ref="K748:N748"/>
    <mergeCell ref="K749:N749"/>
    <mergeCell ref="C835:AJ835"/>
    <mergeCell ref="AH795:AL795"/>
    <mergeCell ref="B749:F749"/>
    <mergeCell ref="X776:AB776"/>
    <mergeCell ref="X768:AB771"/>
    <mergeCell ref="K750:N750"/>
    <mergeCell ref="M869:V869"/>
    <mergeCell ref="C637:N637"/>
    <mergeCell ref="C638:N638"/>
    <mergeCell ref="C639:N639"/>
    <mergeCell ref="Z898:AE898"/>
    <mergeCell ref="AC751:AG751"/>
    <mergeCell ref="AC752:AG752"/>
    <mergeCell ref="AM740:AO740"/>
    <mergeCell ref="Z812:AE812"/>
    <mergeCell ref="W843:AC843"/>
    <mergeCell ref="AM733:AO733"/>
    <mergeCell ref="AM729:AO729"/>
    <mergeCell ref="AC728:AG728"/>
    <mergeCell ref="G686:R686"/>
    <mergeCell ref="U928:Z928"/>
    <mergeCell ref="AG821:AJ822"/>
    <mergeCell ref="W852:AC852"/>
    <mergeCell ref="W860:AC860"/>
    <mergeCell ref="M859:V859"/>
    <mergeCell ref="K741:N741"/>
    <mergeCell ref="K742:N742"/>
    <mergeCell ref="K743:N743"/>
    <mergeCell ref="T741:X741"/>
    <mergeCell ref="AH729:AL729"/>
    <mergeCell ref="G687:R687"/>
    <mergeCell ref="Y730:AB730"/>
    <mergeCell ref="Z688:AK688"/>
    <mergeCell ref="G695:R695"/>
    <mergeCell ref="H698:R698"/>
    <mergeCell ref="K738:N738"/>
    <mergeCell ref="K739:N739"/>
    <mergeCell ref="Z686:AK686"/>
    <mergeCell ref="AI697:AK697"/>
    <mergeCell ref="E717:AK717"/>
    <mergeCell ref="W716:AK716"/>
    <mergeCell ref="AA698:AK698"/>
    <mergeCell ref="O743:S743"/>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H682:R682"/>
    <mergeCell ref="B740:F740"/>
    <mergeCell ref="O634:Q636"/>
    <mergeCell ref="R634:T636"/>
    <mergeCell ref="B634:N636"/>
    <mergeCell ref="AM737:AO737"/>
    <mergeCell ref="G679:R679"/>
    <mergeCell ref="AH749:AL74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N675:O675"/>
    <mergeCell ref="T742:X742"/>
    <mergeCell ref="T743:X743"/>
    <mergeCell ref="T744:X744"/>
    <mergeCell ref="O740:S740"/>
    <mergeCell ref="O741:S741"/>
    <mergeCell ref="Z695:AK695"/>
    <mergeCell ref="K734:N734"/>
    <mergeCell ref="K735:N735"/>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H728:AL728"/>
    <mergeCell ref="AM743:AO743"/>
    <mergeCell ref="AH753:AL753"/>
    <mergeCell ref="AJ974:AQ974"/>
    <mergeCell ref="O776:S776"/>
    <mergeCell ref="AC795:AG795"/>
    <mergeCell ref="AC787:AG787"/>
    <mergeCell ref="P673:R673"/>
    <mergeCell ref="G669:R669"/>
    <mergeCell ref="AI689:AK689"/>
    <mergeCell ref="AG667:AH667"/>
    <mergeCell ref="G671:R671"/>
    <mergeCell ref="G739:J739"/>
    <mergeCell ref="O734:S734"/>
    <mergeCell ref="Z680:AK680"/>
    <mergeCell ref="R715:T715"/>
    <mergeCell ref="G728:J728"/>
    <mergeCell ref="W713:AK713"/>
    <mergeCell ref="G688:R688"/>
    <mergeCell ref="T735:X735"/>
    <mergeCell ref="T736:X736"/>
    <mergeCell ref="T737:X737"/>
    <mergeCell ref="AC734:AG734"/>
    <mergeCell ref="G673:L673"/>
    <mergeCell ref="Z687:AK687"/>
    <mergeCell ref="G693:R693"/>
    <mergeCell ref="AI681:AK681"/>
    <mergeCell ref="G744:J744"/>
    <mergeCell ref="Y742:AB742"/>
    <mergeCell ref="Y741:AB741"/>
    <mergeCell ref="AC736:AG736"/>
    <mergeCell ref="Z696:AK696"/>
    <mergeCell ref="G681:L68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AF638:AJ638"/>
    <mergeCell ref="Z689:AE689"/>
    <mergeCell ref="BG851:BL851"/>
    <mergeCell ref="AM741:AO741"/>
    <mergeCell ref="Z677:AK677"/>
    <mergeCell ref="Z672:AK672"/>
    <mergeCell ref="AI665:AK665"/>
    <mergeCell ref="CH649:CL649"/>
    <mergeCell ref="BS650:BW650"/>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AK644:AN644"/>
    <mergeCell ref="AK645:AN645"/>
    <mergeCell ref="AK646:AN646"/>
    <mergeCell ref="AK647:AN647"/>
    <mergeCell ref="AK648:AN648"/>
    <mergeCell ref="CS635:CW635"/>
    <mergeCell ref="CX635:DB635"/>
    <mergeCell ref="AO648:AS648"/>
    <mergeCell ref="AO639:AS639"/>
    <mergeCell ref="CC650:CG650"/>
    <mergeCell ref="BG635:BH635"/>
    <mergeCell ref="CH644:CL644"/>
    <mergeCell ref="CC640:CG640"/>
    <mergeCell ref="BX644:CB644"/>
    <mergeCell ref="CC644:CG644"/>
    <mergeCell ref="CC642:CG642"/>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X625:DB625"/>
    <mergeCell ref="DR628:DV628"/>
    <mergeCell ref="DC627:DG627"/>
    <mergeCell ref="DH627:DL627"/>
    <mergeCell ref="DH626:DL626"/>
    <mergeCell ref="DC625:DG625"/>
    <mergeCell ref="DC618:DG618"/>
    <mergeCell ref="DH618:DL618"/>
    <mergeCell ref="DC609:DG609"/>
    <mergeCell ref="CX611:DB611"/>
    <mergeCell ref="DM622:DQ622"/>
    <mergeCell ref="DR622:DV622"/>
    <mergeCell ref="CX621:DB621"/>
    <mergeCell ref="CX622:DB622"/>
    <mergeCell ref="DC622:DG622"/>
    <mergeCell ref="DH622:DL622"/>
    <mergeCell ref="DC621:DG621"/>
    <mergeCell ref="DM623:DQ623"/>
    <mergeCell ref="DR623:DV623"/>
    <mergeCell ref="DH619:DL619"/>
    <mergeCell ref="DM621:DQ621"/>
    <mergeCell ref="DR621:DV621"/>
    <mergeCell ref="DC620:DG620"/>
    <mergeCell ref="DH620:DL620"/>
    <mergeCell ref="DM619:DQ619"/>
    <mergeCell ref="DR619:DV619"/>
    <mergeCell ref="DM620:DQ620"/>
    <mergeCell ref="DR620:DV620"/>
    <mergeCell ref="DM613:DQ613"/>
    <mergeCell ref="DR613:DV613"/>
    <mergeCell ref="CX612:DB612"/>
    <mergeCell ref="DC612:DG612"/>
    <mergeCell ref="CX619:DB619"/>
    <mergeCell ref="DC619:DG619"/>
    <mergeCell ref="DM616:DQ616"/>
    <mergeCell ref="DR616:DV616"/>
    <mergeCell ref="DM618:DQ618"/>
    <mergeCell ref="DR618:DV618"/>
    <mergeCell ref="CS617:CW617"/>
    <mergeCell ref="CX617:DB617"/>
    <mergeCell ref="CS626:CW626"/>
    <mergeCell ref="CX626:DB626"/>
    <mergeCell ref="DC626:DG626"/>
    <mergeCell ref="CS621:CW621"/>
    <mergeCell ref="CS622:CW622"/>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H617:DL617"/>
    <mergeCell ref="CX613:DB613"/>
    <mergeCell ref="CS614:CW614"/>
    <mergeCell ref="CX614:DB614"/>
    <mergeCell ref="DR610:DV610"/>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G596:R596"/>
    <mergeCell ref="AJ355:AK355"/>
    <mergeCell ref="H336:R336"/>
    <mergeCell ref="AA322:AF322"/>
    <mergeCell ref="P322:R322"/>
    <mergeCell ref="DH609:DL609"/>
    <mergeCell ref="AA318:AK318"/>
    <mergeCell ref="P345:AE345"/>
    <mergeCell ref="H340:R340"/>
    <mergeCell ref="P344:AE344"/>
    <mergeCell ref="AA340:AK340"/>
    <mergeCell ref="DR612:DV612"/>
    <mergeCell ref="AP204:AQ204"/>
    <mergeCell ref="I420:K420"/>
    <mergeCell ref="AA321:AK321"/>
    <mergeCell ref="H335:R335"/>
    <mergeCell ref="H327:R327"/>
    <mergeCell ref="T574:V574"/>
    <mergeCell ref="CS611:CW611"/>
    <mergeCell ref="CX609:DB609"/>
    <mergeCell ref="DH611:DL611"/>
    <mergeCell ref="AA334:AK334"/>
    <mergeCell ref="AA329:AK329"/>
    <mergeCell ref="H323:M323"/>
    <mergeCell ref="H318:R318"/>
    <mergeCell ref="AA320:AK320"/>
    <mergeCell ref="H324:R324"/>
    <mergeCell ref="N371:Q371"/>
    <mergeCell ref="AI330:AK330"/>
    <mergeCell ref="H313:R313"/>
    <mergeCell ref="CS612:CW612"/>
    <mergeCell ref="DH612:DL612"/>
    <mergeCell ref="Q364:AG364"/>
    <mergeCell ref="W468:Y468"/>
    <mergeCell ref="AG378:AH378"/>
    <mergeCell ref="DC611:DG611"/>
    <mergeCell ref="Q393:U393"/>
    <mergeCell ref="DM611:DQ611"/>
    <mergeCell ref="J366:K366"/>
    <mergeCell ref="DR611:DV611"/>
    <mergeCell ref="M357:N357"/>
    <mergeCell ref="DM612:DQ612"/>
    <mergeCell ref="P417:R417"/>
    <mergeCell ref="AF640:AJ640"/>
    <mergeCell ref="AF641:AJ641"/>
    <mergeCell ref="AF642:AJ642"/>
    <mergeCell ref="Z612:AK612"/>
    <mergeCell ref="Z623:AE623"/>
    <mergeCell ref="G620:R620"/>
    <mergeCell ref="H624:R624"/>
    <mergeCell ref="BE630:BF630"/>
    <mergeCell ref="BG630:BH630"/>
    <mergeCell ref="CH629:CL629"/>
    <mergeCell ref="AO646:AS646"/>
    <mergeCell ref="AO637:AS637"/>
    <mergeCell ref="AC640:AE640"/>
    <mergeCell ref="AC641:AE641"/>
    <mergeCell ref="DC614:DG614"/>
    <mergeCell ref="AO634:AS636"/>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Z613:AK613"/>
    <mergeCell ref="CH616:CL616"/>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CS615:CW615"/>
    <mergeCell ref="CX615:DB615"/>
    <mergeCell ref="CS620:CW620"/>
    <mergeCell ref="CX620:DB620"/>
    <mergeCell ref="R640:T640"/>
    <mergeCell ref="R641:T641"/>
    <mergeCell ref="AO649:AS649"/>
    <mergeCell ref="BS656:BW656"/>
    <mergeCell ref="BS657:BW657"/>
    <mergeCell ref="R643:T643"/>
    <mergeCell ref="R644:T644"/>
    <mergeCell ref="AO651:AS651"/>
    <mergeCell ref="Z663:AK663"/>
    <mergeCell ref="Z656:AK656"/>
    <mergeCell ref="G656:R656"/>
    <mergeCell ref="A627:AS628"/>
    <mergeCell ref="AF634:AJ636"/>
    <mergeCell ref="AF637:AJ637"/>
    <mergeCell ref="DC617:DG61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O729:S729"/>
    <mergeCell ref="N683:O683"/>
    <mergeCell ref="G662:R662"/>
    <mergeCell ref="H690:R690"/>
    <mergeCell ref="G672:R672"/>
    <mergeCell ref="P665:R665"/>
    <mergeCell ref="N659:O659"/>
    <mergeCell ref="AE708:AI708"/>
    <mergeCell ref="G670:R670"/>
    <mergeCell ref="G654:R654"/>
    <mergeCell ref="Z655:AK655"/>
    <mergeCell ref="H666:R666"/>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O739:S739"/>
    <mergeCell ref="AC737:AG737"/>
    <mergeCell ref="Y799:AC799"/>
    <mergeCell ref="J782:N785"/>
    <mergeCell ref="T753:X753"/>
    <mergeCell ref="Y744:AB744"/>
    <mergeCell ref="Y745:AB745"/>
    <mergeCell ref="T794:W79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Y740:AB740"/>
    <mergeCell ref="Y728:AB728"/>
    <mergeCell ref="B733:F733"/>
    <mergeCell ref="AC733:AG733"/>
    <mergeCell ref="T732:X732"/>
    <mergeCell ref="T733:X733"/>
    <mergeCell ref="T734:X734"/>
    <mergeCell ref="B732:F732"/>
    <mergeCell ref="AC740:AG740"/>
    <mergeCell ref="AC741:AG741"/>
    <mergeCell ref="K740:N740"/>
    <mergeCell ref="Y737:AB737"/>
    <mergeCell ref="O742:S7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AE944:AK944"/>
    <mergeCell ref="AE945:AK945"/>
    <mergeCell ref="AA932:AF932"/>
    <mergeCell ref="U932:Z932"/>
    <mergeCell ref="T957:Z957"/>
    <mergeCell ref="I931:T931"/>
    <mergeCell ref="U922:Z922"/>
    <mergeCell ref="M954:S954"/>
    <mergeCell ref="F912:T912"/>
    <mergeCell ref="I932:T932"/>
    <mergeCell ref="A963:AS964"/>
    <mergeCell ref="U926:Z926"/>
    <mergeCell ref="AA926:AF926"/>
    <mergeCell ref="AA915:AF915"/>
    <mergeCell ref="Z896:AE896"/>
    <mergeCell ref="W870:AC870"/>
    <mergeCell ref="AC882:AH882"/>
    <mergeCell ref="W873:AC873"/>
    <mergeCell ref="Z897:AE897"/>
    <mergeCell ref="AC886:AH886"/>
    <mergeCell ref="M876:V876"/>
    <mergeCell ref="AC881:AH881"/>
    <mergeCell ref="AA917:AF917"/>
    <mergeCell ref="AA951:AG951"/>
    <mergeCell ref="AA957:AG957"/>
    <mergeCell ref="M955:S955"/>
    <mergeCell ref="W877:AC877"/>
    <mergeCell ref="M951:S951"/>
    <mergeCell ref="M957:S957"/>
    <mergeCell ref="M956:S956"/>
    <mergeCell ref="M945:S945"/>
    <mergeCell ref="E883:AB883"/>
    <mergeCell ref="T856:V856"/>
    <mergeCell ref="T858:V858"/>
    <mergeCell ref="W865:AC865"/>
    <mergeCell ref="U919:Z919"/>
    <mergeCell ref="AA921:AF921"/>
    <mergeCell ref="A907:AL908"/>
    <mergeCell ref="AA956:AG956"/>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U920:Z920"/>
    <mergeCell ref="W867:AC867"/>
    <mergeCell ref="W864:AC864"/>
    <mergeCell ref="W863:AC863"/>
    <mergeCell ref="M940:S940"/>
    <mergeCell ref="AA933:AF933"/>
    <mergeCell ref="AA919:AF919"/>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AM738:AO738"/>
    <mergeCell ref="AO644:AS644"/>
    <mergeCell ref="AC730:AG730"/>
    <mergeCell ref="AC731:AG731"/>
    <mergeCell ref="T724:X727"/>
    <mergeCell ref="AC724:AG727"/>
    <mergeCell ref="O744:S744"/>
    <mergeCell ref="T738:X738"/>
    <mergeCell ref="AC735:AG735"/>
    <mergeCell ref="O647:Q647"/>
    <mergeCell ref="O648:Q648"/>
    <mergeCell ref="G697:L697"/>
    <mergeCell ref="T793:W793"/>
    <mergeCell ref="B649:AN649"/>
    <mergeCell ref="B650:AN650"/>
    <mergeCell ref="B651:AN651"/>
    <mergeCell ref="X773:AB773"/>
    <mergeCell ref="T746:X746"/>
    <mergeCell ref="P343:AE343"/>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N370:Q370"/>
    <mergeCell ref="V381:W381"/>
    <mergeCell ref="AE401:AJ401"/>
    <mergeCell ref="K403:AJ403"/>
    <mergeCell ref="AG394:AJ394"/>
    <mergeCell ref="AI391:AJ391"/>
    <mergeCell ref="AG392:AJ392"/>
    <mergeCell ref="AG390:AJ390"/>
    <mergeCell ref="P348:AE348"/>
    <mergeCell ref="AC369:AF369"/>
    <mergeCell ref="P347:Z347"/>
    <mergeCell ref="N372:AF373"/>
    <mergeCell ref="AG393:AJ393"/>
    <mergeCell ref="AJ354:AK354"/>
    <mergeCell ref="AF417:AH417"/>
    <mergeCell ref="Y363:Z363"/>
    <mergeCell ref="AG379:AH379"/>
    <mergeCell ref="N377:P377"/>
    <mergeCell ref="S412:T412"/>
    <mergeCell ref="AC386:AJ386"/>
    <mergeCell ref="V387:AJ387"/>
    <mergeCell ref="I391:N391"/>
    <mergeCell ref="AD411:AE411"/>
    <mergeCell ref="H337:R337"/>
    <mergeCell ref="H338:M338"/>
    <mergeCell ref="U175:V175"/>
    <mergeCell ref="I184:AE184"/>
    <mergeCell ref="AI178:AK178"/>
    <mergeCell ref="J174:Z174"/>
    <mergeCell ref="P423:Q423"/>
    <mergeCell ref="Q504:AK504"/>
    <mergeCell ref="AD493:AH493"/>
    <mergeCell ref="Y493:AC493"/>
    <mergeCell ref="AA237:AK237"/>
    <mergeCell ref="I185:AE185"/>
    <mergeCell ref="AA289:AK289"/>
    <mergeCell ref="AA286:AK286"/>
    <mergeCell ref="AA287:AK287"/>
    <mergeCell ref="AA288:AK288"/>
    <mergeCell ref="H297:R297"/>
    <mergeCell ref="H311:R311"/>
    <mergeCell ref="H304:R304"/>
    <mergeCell ref="AA299:AF299"/>
    <mergeCell ref="H305:R305"/>
    <mergeCell ref="AA313:AK313"/>
    <mergeCell ref="AA310:AK310"/>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X176:Y176"/>
    <mergeCell ref="X180:Y180"/>
    <mergeCell ref="AC244:AE244"/>
    <mergeCell ref="M245:AE245"/>
    <mergeCell ref="W244:X244"/>
    <mergeCell ref="U246:W246"/>
    <mergeCell ref="M236:AE236"/>
    <mergeCell ref="AI226:AJ226"/>
    <mergeCell ref="O157:X157"/>
    <mergeCell ref="O158:R158"/>
    <mergeCell ref="W159:X159"/>
    <mergeCell ref="O159:T159"/>
    <mergeCell ref="AH253:AK253"/>
    <mergeCell ref="AH261:AK261"/>
    <mergeCell ref="M262:R262"/>
    <mergeCell ref="M264:T264"/>
    <mergeCell ref="V275:W275"/>
    <mergeCell ref="H288:R288"/>
    <mergeCell ref="J173:S173"/>
    <mergeCell ref="AH196:AI196"/>
    <mergeCell ref="AI228:AJ228"/>
    <mergeCell ref="M235:R235"/>
    <mergeCell ref="Z235:AE235"/>
    <mergeCell ref="A221:AL222"/>
    <mergeCell ref="M237:T237"/>
    <mergeCell ref="Z203:AF205"/>
    <mergeCell ref="A169:AL170"/>
    <mergeCell ref="AA305:AK305"/>
    <mergeCell ref="AA302:AK302"/>
    <mergeCell ref="D269:H269"/>
    <mergeCell ref="X269:AC269"/>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H287:R287"/>
    <mergeCell ref="AI298:AK298"/>
    <mergeCell ref="H296:R296"/>
    <mergeCell ref="AI225:AJ225"/>
    <mergeCell ref="M234:AE234"/>
    <mergeCell ref="AF242:AK242"/>
    <mergeCell ref="AA307:AF307"/>
    <mergeCell ref="M231:AK231"/>
    <mergeCell ref="M232:AE232"/>
    <mergeCell ref="R177:S177"/>
    <mergeCell ref="U235:W235"/>
    <mergeCell ref="Z254:AE254"/>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98:AF298"/>
    <mergeCell ref="T266:X266"/>
    <mergeCell ref="AA311:AK311"/>
    <mergeCell ref="N191:AE192"/>
    <mergeCell ref="M233:T233"/>
    <mergeCell ref="W233:X233"/>
    <mergeCell ref="M263:AE263"/>
    <mergeCell ref="AA264:AK264"/>
    <mergeCell ref="T190:AE190"/>
    <mergeCell ref="D210:M210"/>
    <mergeCell ref="AI227:AJ227"/>
    <mergeCell ref="AA316:AK316"/>
    <mergeCell ref="AA324:AK324"/>
    <mergeCell ref="H314:M314"/>
    <mergeCell ref="AA315:AF315"/>
    <mergeCell ref="H316:R316"/>
    <mergeCell ref="L275:S275"/>
    <mergeCell ref="L277:Q277"/>
    <mergeCell ref="AA295:AK295"/>
    <mergeCell ref="M244:T244"/>
    <mergeCell ref="D207:M207"/>
    <mergeCell ref="Z246:AE246"/>
    <mergeCell ref="T193:AI193"/>
    <mergeCell ref="D204:M204"/>
    <mergeCell ref="T195:U195"/>
    <mergeCell ref="D219:Z219"/>
    <mergeCell ref="AC233:AE233"/>
    <mergeCell ref="H294:R294"/>
    <mergeCell ref="H295:R295"/>
    <mergeCell ref="H290:M290"/>
    <mergeCell ref="M254:R254"/>
    <mergeCell ref="P204:U204"/>
    <mergeCell ref="M238:AE238"/>
    <mergeCell ref="P290:R290"/>
    <mergeCell ref="AA296:AK296"/>
    <mergeCell ref="L273:AJ273"/>
    <mergeCell ref="H319:R319"/>
    <mergeCell ref="M260:T260"/>
    <mergeCell ref="W260:X260"/>
    <mergeCell ref="L274:AD274"/>
    <mergeCell ref="H289:R289"/>
    <mergeCell ref="L278:AD278"/>
    <mergeCell ref="H322:M322"/>
    <mergeCell ref="H330:M330"/>
    <mergeCell ref="U262:W262"/>
    <mergeCell ref="H334:R334"/>
    <mergeCell ref="C124:K124"/>
    <mergeCell ref="O160:T160"/>
    <mergeCell ref="O161:AH161"/>
    <mergeCell ref="D164:AH164"/>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T493:X493"/>
    <mergeCell ref="AH530:AK530"/>
    <mergeCell ref="AH526:AK526"/>
    <mergeCell ref="AC527:AF527"/>
    <mergeCell ref="AC526:AF526"/>
    <mergeCell ref="D449:AF449"/>
    <mergeCell ref="D450:AJ451"/>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D437:AF437"/>
    <mergeCell ref="D438:AF438"/>
    <mergeCell ref="T492:X492"/>
    <mergeCell ref="AH532:AK532"/>
    <mergeCell ref="D470:V470"/>
    <mergeCell ref="AC514:AF514"/>
    <mergeCell ref="AH512:AK512"/>
    <mergeCell ref="Q501:R502"/>
    <mergeCell ref="AC531:AF531"/>
    <mergeCell ref="AH519:AK519"/>
    <mergeCell ref="A478:AL479"/>
    <mergeCell ref="AC518:AF518"/>
    <mergeCell ref="AD484:AH485"/>
    <mergeCell ref="B501:P502"/>
    <mergeCell ref="T484:X485"/>
    <mergeCell ref="Y487:AC487"/>
    <mergeCell ref="AH516:AK516"/>
    <mergeCell ref="AH529:AK529"/>
    <mergeCell ref="Y494:AC494"/>
    <mergeCell ref="AG448:AJ448"/>
    <mergeCell ref="D464:V464"/>
    <mergeCell ref="W467:Y467"/>
    <mergeCell ref="Y484:AC485"/>
    <mergeCell ref="AC513:AF513"/>
    <mergeCell ref="W464:Y46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603:AK603"/>
    <mergeCell ref="G613:R613"/>
    <mergeCell ref="N617:O617"/>
    <mergeCell ref="P607:R607"/>
    <mergeCell ref="G599:L599"/>
    <mergeCell ref="O547:AA547"/>
    <mergeCell ref="AH548:AK548"/>
    <mergeCell ref="AH535:AK535"/>
    <mergeCell ref="CC611:CG611"/>
    <mergeCell ref="BS613:BW613"/>
    <mergeCell ref="BG611:BH611"/>
    <mergeCell ref="BG612:BH612"/>
    <mergeCell ref="BK613:BL613"/>
    <mergeCell ref="CC620:CG620"/>
    <mergeCell ref="W469:Y469"/>
    <mergeCell ref="AD492:AH492"/>
    <mergeCell ref="AC512:AF512"/>
    <mergeCell ref="AC534:AF534"/>
    <mergeCell ref="Y486:AC486"/>
    <mergeCell ref="T487:X487"/>
    <mergeCell ref="AH514:AK514"/>
    <mergeCell ref="AC515:AF515"/>
    <mergeCell ref="AH531:AK531"/>
    <mergeCell ref="AC511:AK511"/>
    <mergeCell ref="Y488:AC488"/>
    <mergeCell ref="AH518:AK518"/>
    <mergeCell ref="Y489:AC489"/>
    <mergeCell ref="AC545:AF545"/>
    <mergeCell ref="AH545:AK545"/>
    <mergeCell ref="AH547:AK547"/>
    <mergeCell ref="O538:AA538"/>
    <mergeCell ref="AH541:AK541"/>
    <mergeCell ref="AH517:AK517"/>
    <mergeCell ref="AC540:AF540"/>
    <mergeCell ref="AC543:AF543"/>
    <mergeCell ref="AH543:AK543"/>
    <mergeCell ref="AH515:AK515"/>
    <mergeCell ref="AC533:AF533"/>
    <mergeCell ref="T486:X486"/>
    <mergeCell ref="AD487:AH487"/>
    <mergeCell ref="BG609:BH609"/>
    <mergeCell ref="BN610:BR610"/>
    <mergeCell ref="BG610:BH610"/>
    <mergeCell ref="BI610:BJ610"/>
    <mergeCell ref="BK609:BL609"/>
    <mergeCell ref="BX609:CB609"/>
    <mergeCell ref="CC613:CG613"/>
    <mergeCell ref="BN614:BR614"/>
    <mergeCell ref="CC616:CG616"/>
    <mergeCell ref="CC610:CG610"/>
    <mergeCell ref="BE611:BF611"/>
    <mergeCell ref="AA608:AK608"/>
    <mergeCell ref="BE619:BF619"/>
    <mergeCell ref="BE614:BF614"/>
    <mergeCell ref="BE618:BF618"/>
    <mergeCell ref="BE616:BF616"/>
    <mergeCell ref="BX612:CB612"/>
    <mergeCell ref="CC612:CG612"/>
    <mergeCell ref="BE613:BF613"/>
    <mergeCell ref="BE612:BF612"/>
    <mergeCell ref="CC609:CG609"/>
    <mergeCell ref="BE617:BF617"/>
    <mergeCell ref="BN617:BR617"/>
    <mergeCell ref="BE610:BF610"/>
    <mergeCell ref="BE615:BF615"/>
    <mergeCell ref="BG615:BH615"/>
    <mergeCell ref="BI615:BJ615"/>
    <mergeCell ref="BI611:BJ611"/>
    <mergeCell ref="BK612:BL612"/>
    <mergeCell ref="BN612:BR612"/>
    <mergeCell ref="BS611:BW611"/>
    <mergeCell ref="BS612:BW612"/>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H615:CL615"/>
    <mergeCell ref="BK611:BL611"/>
    <mergeCell ref="CC618:CG618"/>
    <mergeCell ref="BS615:BW615"/>
    <mergeCell ref="BX615:CB615"/>
    <mergeCell ref="CC615:CG615"/>
    <mergeCell ref="BS617:BW617"/>
    <mergeCell ref="BK618:BL618"/>
    <mergeCell ref="CC619:CG619"/>
    <mergeCell ref="BK614:BL614"/>
    <mergeCell ref="BN615:BR615"/>
    <mergeCell ref="CH613:CL613"/>
    <mergeCell ref="BK615:BL615"/>
    <mergeCell ref="BG619:BH619"/>
    <mergeCell ref="BN625:BR625"/>
    <mergeCell ref="BE622:BF622"/>
    <mergeCell ref="BE621:BF621"/>
    <mergeCell ref="BE620:BF620"/>
    <mergeCell ref="BE623:BF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21:CL621"/>
    <mergeCell ref="CH622:CL622"/>
    <mergeCell ref="CH624:CL624"/>
    <mergeCell ref="BN611:BR611"/>
    <mergeCell ref="CH609:CL609"/>
    <mergeCell ref="CH610:CL610"/>
    <mergeCell ref="BX611:CB611"/>
    <mergeCell ref="BK610:BL610"/>
    <mergeCell ref="BK622:BL622"/>
    <mergeCell ref="BG624:BH624"/>
    <mergeCell ref="BX630:CB630"/>
    <mergeCell ref="BE629:BF629"/>
    <mergeCell ref="BI625:BJ625"/>
    <mergeCell ref="BK625:BL625"/>
    <mergeCell ref="BG625:BH625"/>
    <mergeCell ref="BG629:BH629"/>
    <mergeCell ref="BE628:BF628"/>
    <mergeCell ref="BG623:BH623"/>
    <mergeCell ref="BN628:BR628"/>
    <mergeCell ref="BG628:BH628"/>
    <mergeCell ref="BG627:BH627"/>
    <mergeCell ref="BN622:BR622"/>
    <mergeCell ref="BI628:BJ628"/>
    <mergeCell ref="BK628:BL628"/>
    <mergeCell ref="BS628:BW628"/>
    <mergeCell ref="BN624:BR624"/>
    <mergeCell ref="CM625:CQ625"/>
    <mergeCell ref="CM626:CQ626"/>
    <mergeCell ref="CM627:CQ627"/>
    <mergeCell ref="CM628:CQ628"/>
    <mergeCell ref="CH635:CL635"/>
    <mergeCell ref="CH634:CL634"/>
    <mergeCell ref="CM629:CQ629"/>
    <mergeCell ref="CM630:CQ630"/>
    <mergeCell ref="CM631:CQ631"/>
    <mergeCell ref="CC627:CG627"/>
    <mergeCell ref="BX628:CB628"/>
    <mergeCell ref="CC628:CG628"/>
    <mergeCell ref="BX625:CB625"/>
    <mergeCell ref="CC625:CG625"/>
    <mergeCell ref="CH626:CL626"/>
    <mergeCell ref="CH627:CL627"/>
    <mergeCell ref="CM632:CQ632"/>
    <mergeCell ref="CM633:CQ633"/>
    <mergeCell ref="CM634:CQ634"/>
    <mergeCell ref="CM635:CQ635"/>
    <mergeCell ref="BX634:CB634"/>
    <mergeCell ref="CC634:CG634"/>
    <mergeCell ref="BX633:CB633"/>
    <mergeCell ref="CH625:CL625"/>
    <mergeCell ref="BX626:CB626"/>
    <mergeCell ref="CC626:CG626"/>
    <mergeCell ref="BX627:CB627"/>
    <mergeCell ref="CH641:CL641"/>
    <mergeCell ref="CC633:CG633"/>
    <mergeCell ref="CH632:CL632"/>
    <mergeCell ref="BX632:CB632"/>
    <mergeCell ref="BN632:BR632"/>
    <mergeCell ref="BS632:BW632"/>
    <mergeCell ref="BK635:BL635"/>
    <mergeCell ref="BN635:BR635"/>
    <mergeCell ref="BS635:BW635"/>
    <mergeCell ref="BX640:CB640"/>
    <mergeCell ref="CH633:CL633"/>
    <mergeCell ref="CC632:CG632"/>
    <mergeCell ref="BK634:BL634"/>
    <mergeCell ref="BK631:BL631"/>
    <mergeCell ref="CH628:CL628"/>
    <mergeCell ref="CH630:CL630"/>
    <mergeCell ref="BN627:BR627"/>
    <mergeCell ref="BN629:BR629"/>
    <mergeCell ref="BS627:BW627"/>
    <mergeCell ref="BK630:BL630"/>
    <mergeCell ref="BN630:BR630"/>
    <mergeCell ref="BS630:BW630"/>
    <mergeCell ref="BK627:BL627"/>
    <mergeCell ref="CH617:CL617"/>
    <mergeCell ref="BG620:BH620"/>
    <mergeCell ref="BI620:BJ620"/>
    <mergeCell ref="BK632:BL632"/>
    <mergeCell ref="BK620:BL620"/>
    <mergeCell ref="BN620:BR620"/>
    <mergeCell ref="BN631:BR631"/>
    <mergeCell ref="BS631:BW631"/>
    <mergeCell ref="BS620:BW620"/>
    <mergeCell ref="BE626:BF626"/>
    <mergeCell ref="BE624:BF624"/>
    <mergeCell ref="BI621:BJ621"/>
    <mergeCell ref="BK621:BL621"/>
    <mergeCell ref="BI618:BJ618"/>
    <mergeCell ref="BN626:BR626"/>
    <mergeCell ref="BS623:BW623"/>
    <mergeCell ref="BG617:BH617"/>
    <mergeCell ref="BX621:CB621"/>
    <mergeCell ref="CC621:CG621"/>
    <mergeCell ref="BG621:BH621"/>
    <mergeCell ref="BI619:BJ619"/>
    <mergeCell ref="BS625:BW625"/>
    <mergeCell ref="BE625:BF625"/>
    <mergeCell ref="BX620:CB620"/>
    <mergeCell ref="BE627:BF627"/>
    <mergeCell ref="BI630:BJ630"/>
    <mergeCell ref="BI627:BJ627"/>
    <mergeCell ref="BI626:BJ626"/>
    <mergeCell ref="BK626:BL626"/>
    <mergeCell ref="BS624:BW624"/>
    <mergeCell ref="BX624:CB624"/>
    <mergeCell ref="BS622:BW622"/>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H655:CL655"/>
    <mergeCell ref="CH656:CL656"/>
    <mergeCell ref="CH657:CL657"/>
    <mergeCell ref="BS641:BW641"/>
    <mergeCell ref="BS653:BW653"/>
    <mergeCell ref="BS655:BW655"/>
    <mergeCell ref="BX631:CB631"/>
    <mergeCell ref="CC631:CG631"/>
    <mergeCell ref="CH631:CL631"/>
    <mergeCell ref="BI632:BJ632"/>
    <mergeCell ref="BG631:BH631"/>
    <mergeCell ref="AD494:AH494"/>
    <mergeCell ref="T564:V564"/>
    <mergeCell ref="B563:P563"/>
    <mergeCell ref="AH539:AK539"/>
    <mergeCell ref="O544:AA544"/>
    <mergeCell ref="AC549:AF549"/>
    <mergeCell ref="B526:H528"/>
    <mergeCell ref="O532:AA532"/>
    <mergeCell ref="AI567:AL567"/>
    <mergeCell ref="AC516:AF516"/>
    <mergeCell ref="AC520:AF520"/>
    <mergeCell ref="AH528:AK528"/>
    <mergeCell ref="AC519:AF519"/>
    <mergeCell ref="L520:AB520"/>
    <mergeCell ref="Z563:AD563"/>
    <mergeCell ref="AH527:AK527"/>
    <mergeCell ref="AC528:AF528"/>
    <mergeCell ref="AH534:AK534"/>
    <mergeCell ref="AC532:AF532"/>
    <mergeCell ref="AC554:AF554"/>
    <mergeCell ref="AE567:AH567"/>
    <mergeCell ref="AC521:AF521"/>
    <mergeCell ref="T495:X495"/>
    <mergeCell ref="B515:H520"/>
    <mergeCell ref="AC541:AF541"/>
    <mergeCell ref="AC550:AF550"/>
    <mergeCell ref="AC536:AF536"/>
    <mergeCell ref="Q566:S566"/>
    <mergeCell ref="AI563:AL563"/>
    <mergeCell ref="A556:AS557"/>
    <mergeCell ref="AC553:AF553"/>
    <mergeCell ref="T563:V563"/>
    <mergeCell ref="AH533:AK533"/>
    <mergeCell ref="AH554:AK554"/>
    <mergeCell ref="W563:Y563"/>
    <mergeCell ref="AC535:AF535"/>
    <mergeCell ref="BG632:BH632"/>
    <mergeCell ref="BX629:CB629"/>
    <mergeCell ref="CC629:CG629"/>
    <mergeCell ref="O541:AA541"/>
    <mergeCell ref="AH538:AK538"/>
    <mergeCell ref="C566:P566"/>
    <mergeCell ref="C567:P567"/>
    <mergeCell ref="C564:P564"/>
    <mergeCell ref="C565:P565"/>
    <mergeCell ref="C572:P572"/>
    <mergeCell ref="Q571:S571"/>
    <mergeCell ref="Q572:S572"/>
    <mergeCell ref="T573:V573"/>
    <mergeCell ref="Z571:AD571"/>
    <mergeCell ref="BI631:BJ631"/>
    <mergeCell ref="BG626:BH626"/>
    <mergeCell ref="BK624:BL624"/>
    <mergeCell ref="BS621:BW621"/>
    <mergeCell ref="BN621:BR621"/>
    <mergeCell ref="BI617:BJ617"/>
    <mergeCell ref="BS619:BW619"/>
    <mergeCell ref="CC622:CG622"/>
    <mergeCell ref="BN623:BR623"/>
    <mergeCell ref="CC624:CG624"/>
    <mergeCell ref="BX622:CB622"/>
    <mergeCell ref="BS626:BW626"/>
    <mergeCell ref="BI624:BJ624"/>
    <mergeCell ref="BG622:BH622"/>
    <mergeCell ref="AM564:AS564"/>
    <mergeCell ref="AM567:AS567"/>
    <mergeCell ref="Z598:AK598"/>
    <mergeCell ref="AM574:AS574"/>
    <mergeCell ref="AM566:AS566"/>
    <mergeCell ref="G611:R611"/>
    <mergeCell ref="G607:L607"/>
    <mergeCell ref="AI615:AK615"/>
    <mergeCell ref="H583:R583"/>
    <mergeCell ref="AG593:AH593"/>
    <mergeCell ref="AI591:AK591"/>
    <mergeCell ref="AM563:AS563"/>
    <mergeCell ref="AM575:AS575"/>
    <mergeCell ref="AI565:AL565"/>
    <mergeCell ref="AE566:AH566"/>
    <mergeCell ref="AC546:AF546"/>
    <mergeCell ref="AC542:AF542"/>
    <mergeCell ref="AH546:AK546"/>
    <mergeCell ref="AH549:AK549"/>
    <mergeCell ref="AI573:AL573"/>
    <mergeCell ref="AM572:AS572"/>
    <mergeCell ref="W566:Y566"/>
    <mergeCell ref="AI564:AL564"/>
    <mergeCell ref="AI566:AL566"/>
    <mergeCell ref="W568:Y568"/>
    <mergeCell ref="Q567:S567"/>
    <mergeCell ref="W570:Y570"/>
    <mergeCell ref="Q573:S573"/>
    <mergeCell ref="Q574:S574"/>
    <mergeCell ref="Q575:S575"/>
    <mergeCell ref="W571:Y571"/>
    <mergeCell ref="W572:Y572"/>
    <mergeCell ref="W564:Y564"/>
    <mergeCell ref="W565:Y565"/>
    <mergeCell ref="P599:R599"/>
    <mergeCell ref="Z568:AD568"/>
    <mergeCell ref="Z569:AD569"/>
    <mergeCell ref="Z570:AD570"/>
    <mergeCell ref="Z567:AD567"/>
    <mergeCell ref="AH542:AK542"/>
    <mergeCell ref="AI570:AL570"/>
    <mergeCell ref="C573:P573"/>
    <mergeCell ref="AC548:AF548"/>
    <mergeCell ref="AH551:AK551"/>
    <mergeCell ref="W574:Y574"/>
    <mergeCell ref="W575:Y575"/>
    <mergeCell ref="AI571:AL571"/>
    <mergeCell ref="AG617:AH617"/>
    <mergeCell ref="H616:R616"/>
    <mergeCell ref="P615:R615"/>
    <mergeCell ref="AI582:AK582"/>
    <mergeCell ref="AI599:AK599"/>
    <mergeCell ref="Z587:AK587"/>
    <mergeCell ref="Z588:AK588"/>
    <mergeCell ref="AC538:AF538"/>
    <mergeCell ref="AC544:AF544"/>
    <mergeCell ref="AC530:AF530"/>
    <mergeCell ref="T494:X494"/>
    <mergeCell ref="Y495:AC495"/>
    <mergeCell ref="Q498:AK498"/>
    <mergeCell ref="T565:V565"/>
    <mergeCell ref="T566:V566"/>
    <mergeCell ref="AE564:AH564"/>
    <mergeCell ref="G580:R580"/>
    <mergeCell ref="G581:R581"/>
    <mergeCell ref="Z580:AK580"/>
    <mergeCell ref="AE572:AH572"/>
    <mergeCell ref="AI572:AL572"/>
    <mergeCell ref="G595:R595"/>
    <mergeCell ref="B532:H554"/>
    <mergeCell ref="T572:V572"/>
    <mergeCell ref="AA592:AK592"/>
    <mergeCell ref="AH536:AK536"/>
    <mergeCell ref="C569:P569"/>
    <mergeCell ref="B529:H531"/>
    <mergeCell ref="AC537:AF537"/>
    <mergeCell ref="AH540:AK540"/>
    <mergeCell ref="Z566:AD566"/>
    <mergeCell ref="AE571:AH571"/>
    <mergeCell ref="AH544:AK544"/>
    <mergeCell ref="AG585:AH585"/>
    <mergeCell ref="AE575:AH575"/>
    <mergeCell ref="AE568:AH568"/>
    <mergeCell ref="AI568:AL568"/>
    <mergeCell ref="C568:P568"/>
    <mergeCell ref="T567:V567"/>
    <mergeCell ref="Z597:AK597"/>
    <mergeCell ref="Z582:AE582"/>
    <mergeCell ref="Z581:AK581"/>
    <mergeCell ref="Z578:AK578"/>
    <mergeCell ref="AM576:AS576"/>
    <mergeCell ref="C570:P570"/>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M573:AS573"/>
    <mergeCell ref="AM568:AS568"/>
    <mergeCell ref="T568:V568"/>
    <mergeCell ref="T569:V569"/>
    <mergeCell ref="T570:V570"/>
    <mergeCell ref="Q563:S563"/>
    <mergeCell ref="W567:Y567"/>
    <mergeCell ref="T575:V575"/>
    <mergeCell ref="W569:Y569"/>
    <mergeCell ref="AE563:AH563"/>
    <mergeCell ref="AC539:AF539"/>
    <mergeCell ref="AH537:AK537"/>
    <mergeCell ref="AC529:AF529"/>
    <mergeCell ref="AM570:AS570"/>
    <mergeCell ref="Z579:AK579"/>
    <mergeCell ref="Z572:AD572"/>
    <mergeCell ref="Z573:AD573"/>
    <mergeCell ref="AI575:AL575"/>
    <mergeCell ref="AI574:AL574"/>
    <mergeCell ref="Q569:S569"/>
    <mergeCell ref="Q570:S570"/>
    <mergeCell ref="Q565:S565"/>
    <mergeCell ref="T571:V571"/>
    <mergeCell ref="AM571:AS571"/>
    <mergeCell ref="AM569:AS569"/>
    <mergeCell ref="AE569:AH569"/>
    <mergeCell ref="AI569:AL569"/>
    <mergeCell ref="AE570:AH570"/>
    <mergeCell ref="Q568:S568"/>
    <mergeCell ref="B576:AL576"/>
    <mergeCell ref="C574:P574"/>
    <mergeCell ref="C575:P575"/>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AC522:AF522"/>
    <mergeCell ref="AH522:AK522"/>
    <mergeCell ref="AC524:AF524"/>
    <mergeCell ref="AH524:AK524"/>
    <mergeCell ref="AD1036:AK1036"/>
    <mergeCell ref="T491:X491"/>
    <mergeCell ref="T490:X490"/>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Y491:AC491"/>
    <mergeCell ref="AH521:AK521"/>
    <mergeCell ref="AE424:AF424"/>
    <mergeCell ref="D467:V467"/>
    <mergeCell ref="D442:AF442"/>
    <mergeCell ref="AG438:AJ438"/>
    <mergeCell ref="AG442:AJ442"/>
    <mergeCell ref="AG443:AJ443"/>
    <mergeCell ref="AC453:AF453"/>
    <mergeCell ref="Z433:AA433"/>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R411:S411"/>
    <mergeCell ref="AF429:AG429"/>
    <mergeCell ref="N369:Q369"/>
    <mergeCell ref="S376:T376"/>
    <mergeCell ref="J387:U387"/>
    <mergeCell ref="V376:W376"/>
    <mergeCell ref="Q392:U392"/>
    <mergeCell ref="AG400:AJ400"/>
    <mergeCell ref="A350:AL351"/>
    <mergeCell ref="AC384:AJ384"/>
    <mergeCell ref="AG376:AH376"/>
    <mergeCell ref="E417:G417"/>
    <mergeCell ref="AD410:AE410"/>
    <mergeCell ref="D448:AF448"/>
    <mergeCell ref="J386:U386"/>
    <mergeCell ref="AC385:AJ385"/>
    <mergeCell ref="D436:AF436"/>
    <mergeCell ref="Q499:AK499"/>
    <mergeCell ref="F426:AH427"/>
    <mergeCell ref="Q428:R428"/>
    <mergeCell ref="Q564:S564"/>
    <mergeCell ref="N601:O601"/>
    <mergeCell ref="AA583:AK58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500:AK500"/>
    <mergeCell ref="Q505:AK505"/>
    <mergeCell ref="D444:AF444"/>
    <mergeCell ref="B513:H514"/>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Z604:AK604"/>
    <mergeCell ref="I417:K417"/>
    <mergeCell ref="Z431:AA431"/>
    <mergeCell ref="AC455:AF455"/>
    <mergeCell ref="D443:AF443"/>
    <mergeCell ref="AE574:AH574"/>
    <mergeCell ref="AH553:AK553"/>
    <mergeCell ref="AC547:AF547"/>
    <mergeCell ref="D441:AF441"/>
    <mergeCell ref="AA600:AK600"/>
    <mergeCell ref="AH513:AK513"/>
    <mergeCell ref="P424:Q424"/>
    <mergeCell ref="T489:X489"/>
    <mergeCell ref="AE565:AH565"/>
    <mergeCell ref="O535:AA535"/>
    <mergeCell ref="G612:R612"/>
    <mergeCell ref="Z564:AD564"/>
    <mergeCell ref="Z565:AD565"/>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X657:CB657"/>
    <mergeCell ref="CC652:CG652"/>
    <mergeCell ref="CC653:CG653"/>
    <mergeCell ref="CC655:CG655"/>
    <mergeCell ref="CC656:CG656"/>
    <mergeCell ref="CC657:CG657"/>
    <mergeCell ref="CM657:CQ657"/>
    <mergeCell ref="BN655:BR655"/>
    <mergeCell ref="BN656:BR656"/>
    <mergeCell ref="BN657:BR657"/>
    <mergeCell ref="BS652:BW652"/>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0" zoomScaleNormal="100" zoomScaleSheetLayoutView="100" workbookViewId="0">
      <selection activeCell="S31" sqref="S31"/>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581</v>
      </c>
      <c r="B1" s="189"/>
      <c r="C1" s="189"/>
      <c r="D1" s="189"/>
      <c r="E1" s="190"/>
      <c r="F1" s="2577" t="s">
        <v>655</v>
      </c>
      <c r="G1" s="2578"/>
      <c r="H1" s="2578"/>
      <c r="I1" s="2578"/>
      <c r="J1" s="2578"/>
      <c r="K1" s="2578"/>
      <c r="L1" s="2578"/>
      <c r="M1" s="2578"/>
      <c r="N1" s="2578"/>
      <c r="O1" s="2578"/>
      <c r="P1" s="2578"/>
      <c r="Q1" s="2578"/>
      <c r="R1" s="2579"/>
      <c r="S1" s="168"/>
      <c r="T1" s="167"/>
      <c r="U1" s="169"/>
    </row>
    <row r="2" spans="1:21" s="208" customFormat="1" ht="71.25" customHeight="1">
      <c r="A2" s="207"/>
      <c r="B2" s="208" t="s">
        <v>24</v>
      </c>
      <c r="C2" s="208" t="s">
        <v>392</v>
      </c>
      <c r="D2" s="208" t="s">
        <v>391</v>
      </c>
      <c r="E2" s="208" t="s">
        <v>25</v>
      </c>
      <c r="F2" s="209" t="str">
        <f>Application!B637&amp;Application!C637</f>
        <v>1)Citibank, N.A. - Tax Exempt Bonds</v>
      </c>
      <c r="G2" s="209" t="str">
        <f>Application!B638&amp;Application!C638</f>
        <v>2)City of Santa Clara</v>
      </c>
      <c r="H2" s="209" t="str">
        <f>Application!B639&amp;Application!C639</f>
        <v>3)NOI during Construction</v>
      </c>
      <c r="I2" s="209" t="str">
        <f>Application!B640&amp;Application!C640</f>
        <v>4)Commerical Space Sale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877425</v>
      </c>
      <c r="C7" s="217">
        <v>877425</v>
      </c>
      <c r="D7" s="217"/>
      <c r="E7" s="217"/>
      <c r="F7" s="217"/>
      <c r="G7" s="217">
        <f>C7</f>
        <v>877425</v>
      </c>
      <c r="H7" s="217"/>
      <c r="I7" s="217"/>
      <c r="J7" s="217"/>
      <c r="K7" s="217"/>
      <c r="L7" s="217"/>
      <c r="M7" s="217"/>
      <c r="N7" s="217"/>
      <c r="O7" s="217"/>
      <c r="P7" s="217"/>
      <c r="Q7" s="217"/>
      <c r="R7" s="879">
        <f>SUM(E7:Q7)</f>
        <v>877425</v>
      </c>
      <c r="S7" s="218"/>
      <c r="T7" s="218"/>
      <c r="U7" s="213"/>
    </row>
    <row r="8" spans="1:21" s="214" customFormat="1">
      <c r="A8" s="219" t="s">
        <v>627</v>
      </c>
      <c r="B8" s="216">
        <f>SUM(C8:D8)</f>
        <v>877425</v>
      </c>
      <c r="C8" s="216">
        <f t="shared" ref="C8:Q8" si="0">SUM(C4:C7)</f>
        <v>877425</v>
      </c>
      <c r="D8" s="216">
        <f t="shared" si="0"/>
        <v>0</v>
      </c>
      <c r="E8" s="216">
        <f t="shared" si="0"/>
        <v>0</v>
      </c>
      <c r="F8" s="216">
        <f t="shared" si="0"/>
        <v>0</v>
      </c>
      <c r="G8" s="216">
        <f t="shared" si="0"/>
        <v>877425</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877425</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267100</v>
      </c>
      <c r="C10" s="217">
        <v>267100</v>
      </c>
      <c r="D10" s="217"/>
      <c r="E10" s="217"/>
      <c r="F10" s="217"/>
      <c r="G10" s="217">
        <f>C10</f>
        <v>267100</v>
      </c>
      <c r="H10" s="217"/>
      <c r="I10" s="217"/>
      <c r="J10" s="217"/>
      <c r="K10" s="217"/>
      <c r="L10" s="217"/>
      <c r="M10" s="217"/>
      <c r="N10" s="217"/>
      <c r="O10" s="217"/>
      <c r="P10" s="217"/>
      <c r="Q10" s="217"/>
      <c r="R10" s="879">
        <f>SUM(E10:Q10)</f>
        <v>267100</v>
      </c>
      <c r="S10" s="217">
        <f>C10</f>
        <v>267100</v>
      </c>
      <c r="T10" s="217"/>
      <c r="U10" s="213"/>
    </row>
    <row r="11" spans="1:21" s="214" customFormat="1">
      <c r="A11" s="219" t="s">
        <v>630</v>
      </c>
      <c r="B11" s="216">
        <f>SUM(C11:D11)</f>
        <v>267100</v>
      </c>
      <c r="C11" s="216">
        <f t="shared" ref="C11:Q11" si="1">SUM(C9:C10)</f>
        <v>267100</v>
      </c>
      <c r="D11" s="216">
        <f t="shared" si="1"/>
        <v>0</v>
      </c>
      <c r="E11" s="216">
        <f t="shared" si="1"/>
        <v>0</v>
      </c>
      <c r="F11" s="216">
        <f t="shared" si="1"/>
        <v>0</v>
      </c>
      <c r="G11" s="216">
        <f t="shared" si="1"/>
        <v>267100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267100</v>
      </c>
      <c r="S11" s="218"/>
      <c r="T11" s="220">
        <f>SUM(T9:T10)</f>
        <v>0</v>
      </c>
      <c r="U11" s="213"/>
    </row>
    <row r="12" spans="1:21" s="214" customFormat="1">
      <c r="A12" s="219" t="s">
        <v>89</v>
      </c>
      <c r="B12" s="216">
        <f t="shared" ref="B12:Q12" si="2">SUM(B8+B11)</f>
        <v>1144525</v>
      </c>
      <c r="C12" s="216">
        <f t="shared" si="2"/>
        <v>1144525</v>
      </c>
      <c r="D12" s="216">
        <f t="shared" si="2"/>
        <v>0</v>
      </c>
      <c r="E12" s="216">
        <f t="shared" si="2"/>
        <v>0</v>
      </c>
      <c r="F12" s="216">
        <f t="shared" si="2"/>
        <v>0</v>
      </c>
      <c r="G12" s="216">
        <f t="shared" si="2"/>
        <v>1144525</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1144525</v>
      </c>
      <c r="S12" s="218"/>
      <c r="T12" s="218"/>
      <c r="U12" s="213"/>
    </row>
    <row r="13" spans="1:21" s="214" customFormat="1">
      <c r="A13" s="449" t="s">
        <v>970</v>
      </c>
      <c r="B13" s="216">
        <f>SUM(C13+D13)</f>
        <v>868120</v>
      </c>
      <c r="C13" s="217">
        <f>859496+8624</f>
        <v>868120</v>
      </c>
      <c r="D13" s="217"/>
      <c r="E13" s="217"/>
      <c r="F13" s="217"/>
      <c r="G13" s="217">
        <f>C13</f>
        <v>868120</v>
      </c>
      <c r="H13" s="217"/>
      <c r="I13" s="217"/>
      <c r="J13" s="217"/>
      <c r="K13" s="217"/>
      <c r="L13" s="217"/>
      <c r="M13" s="217"/>
      <c r="N13" s="217"/>
      <c r="O13" s="217"/>
      <c r="P13" s="217"/>
      <c r="Q13" s="217"/>
      <c r="R13" s="879">
        <f>SUM(E13:Q13)</f>
        <v>868120</v>
      </c>
      <c r="S13" s="217">
        <f>C13</f>
        <v>868120</v>
      </c>
      <c r="T13" s="217"/>
      <c r="U13" s="213"/>
    </row>
    <row r="14" spans="1:21" s="214" customFormat="1" ht="23">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2">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f>C20</f>
        <v>0</v>
      </c>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2539032</v>
      </c>
      <c r="C29" s="217">
        <v>2539032</v>
      </c>
      <c r="D29" s="217"/>
      <c r="E29" s="217"/>
      <c r="F29" s="217"/>
      <c r="G29" s="217">
        <f>C29</f>
        <v>2539032</v>
      </c>
      <c r="H29" s="217"/>
      <c r="I29" s="217"/>
      <c r="J29" s="217"/>
      <c r="K29" s="217"/>
      <c r="L29" s="217"/>
      <c r="M29" s="217"/>
      <c r="N29" s="217"/>
      <c r="O29" s="217"/>
      <c r="P29" s="217"/>
      <c r="Q29" s="217"/>
      <c r="R29" s="879">
        <f t="shared" ref="R29:R37" si="7">SUM(E29:Q29)</f>
        <v>2539032</v>
      </c>
      <c r="S29" s="217">
        <f>R29</f>
        <v>2539032</v>
      </c>
      <c r="T29" s="217"/>
      <c r="U29" s="213"/>
    </row>
    <row r="30" spans="1:21" s="214" customFormat="1">
      <c r="A30" s="215" t="s">
        <v>633</v>
      </c>
      <c r="B30" s="216">
        <f t="shared" si="6"/>
        <v>34602168</v>
      </c>
      <c r="C30" s="217">
        <f>(507575+835650+22640709+10213234+405000)-D30</f>
        <v>33203516</v>
      </c>
      <c r="D30" s="217">
        <f>426250+567402+405000</f>
        <v>1398652</v>
      </c>
      <c r="E30" s="217"/>
      <c r="F30" s="217">
        <f>33190000-36155</f>
        <v>33153845</v>
      </c>
      <c r="G30" s="217">
        <v>1448323</v>
      </c>
      <c r="H30" s="217"/>
      <c r="I30" s="217"/>
      <c r="J30" s="217"/>
      <c r="K30" s="217"/>
      <c r="L30" s="217"/>
      <c r="M30" s="217"/>
      <c r="N30" s="217"/>
      <c r="O30" s="217"/>
      <c r="P30" s="217"/>
      <c r="Q30" s="217"/>
      <c r="R30" s="879">
        <f t="shared" si="7"/>
        <v>34602168</v>
      </c>
      <c r="S30" s="217">
        <f>C30</f>
        <v>33203516</v>
      </c>
      <c r="T30" s="217"/>
      <c r="U30" s="213"/>
    </row>
    <row r="31" spans="1:21" s="214" customFormat="1">
      <c r="A31" s="215" t="s">
        <v>634</v>
      </c>
      <c r="B31" s="216">
        <f t="shared" si="6"/>
        <v>1820000</v>
      </c>
      <c r="C31" s="217">
        <f>1820000-D31</f>
        <v>1751952</v>
      </c>
      <c r="D31" s="217">
        <v>68048</v>
      </c>
      <c r="E31" s="217">
        <f>C31+D31-F31</f>
        <v>1783845</v>
      </c>
      <c r="F31" s="217">
        <f>33190000-F30</f>
        <v>36155</v>
      </c>
      <c r="G31" s="217"/>
      <c r="H31" s="217"/>
      <c r="I31" s="217"/>
      <c r="J31" s="217"/>
      <c r="K31" s="217"/>
      <c r="L31" s="217"/>
      <c r="M31" s="217"/>
      <c r="N31" s="217"/>
      <c r="O31" s="217"/>
      <c r="P31" s="217"/>
      <c r="Q31" s="217"/>
      <c r="R31" s="879">
        <f t="shared" si="7"/>
        <v>1820000</v>
      </c>
      <c r="S31" s="217">
        <f>C31</f>
        <v>1751952</v>
      </c>
      <c r="T31" s="217"/>
      <c r="U31" s="213"/>
    </row>
    <row r="32" spans="1:21" s="214" customFormat="1">
      <c r="A32" s="215" t="s">
        <v>142</v>
      </c>
      <c r="B32" s="216">
        <f t="shared" si="6"/>
        <v>1791708</v>
      </c>
      <c r="C32" s="217">
        <f>3583416/2-D32</f>
        <v>1724718</v>
      </c>
      <c r="D32" s="217">
        <f>133980/2</f>
        <v>66990</v>
      </c>
      <c r="E32" s="217">
        <f>C32+D32</f>
        <v>1791708</v>
      </c>
      <c r="F32" s="217"/>
      <c r="G32" s="217"/>
      <c r="H32" s="217"/>
      <c r="I32" s="217"/>
      <c r="J32" s="217"/>
      <c r="K32" s="217"/>
      <c r="L32" s="217"/>
      <c r="M32" s="217"/>
      <c r="N32" s="217"/>
      <c r="O32" s="217"/>
      <c r="P32" s="217"/>
      <c r="Q32" s="217"/>
      <c r="R32" s="879">
        <f t="shared" si="7"/>
        <v>1791708</v>
      </c>
      <c r="S32" s="217">
        <f>C32</f>
        <v>1724718</v>
      </c>
      <c r="T32" s="217"/>
      <c r="U32" s="213"/>
    </row>
    <row r="33" spans="1:21" s="214" customFormat="1">
      <c r="A33" s="215" t="s">
        <v>143</v>
      </c>
      <c r="B33" s="216">
        <f t="shared" si="6"/>
        <v>1791708</v>
      </c>
      <c r="C33" s="217">
        <f>C32</f>
        <v>1724718</v>
      </c>
      <c r="D33" s="217">
        <f>D32</f>
        <v>66990</v>
      </c>
      <c r="E33" s="217">
        <f>C33+D33</f>
        <v>1791708</v>
      </c>
      <c r="F33" s="217"/>
      <c r="G33" s="217"/>
      <c r="H33" s="217"/>
      <c r="I33" s="217"/>
      <c r="J33" s="217"/>
      <c r="K33" s="217"/>
      <c r="L33" s="217"/>
      <c r="M33" s="217"/>
      <c r="N33" s="217"/>
      <c r="O33" s="217"/>
      <c r="P33" s="217"/>
      <c r="Q33" s="217"/>
      <c r="R33" s="879">
        <f t="shared" si="7"/>
        <v>1791708</v>
      </c>
      <c r="S33" s="217">
        <f>C33</f>
        <v>1724718</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828407</v>
      </c>
      <c r="C35" s="217">
        <v>828407</v>
      </c>
      <c r="D35" s="217"/>
      <c r="E35" s="217">
        <f>C35</f>
        <v>828407</v>
      </c>
      <c r="F35" s="217"/>
      <c r="G35" s="217"/>
      <c r="H35" s="217"/>
      <c r="I35" s="217"/>
      <c r="J35" s="217"/>
      <c r="K35" s="217"/>
      <c r="L35" s="217"/>
      <c r="M35" s="217"/>
      <c r="N35" s="217"/>
      <c r="O35" s="217"/>
      <c r="P35" s="217"/>
      <c r="Q35" s="217"/>
      <c r="R35" s="879">
        <f t="shared" si="7"/>
        <v>828407</v>
      </c>
      <c r="S35" s="217">
        <f>C35</f>
        <v>828407</v>
      </c>
      <c r="T35" s="217"/>
      <c r="U35" s="213"/>
    </row>
    <row r="36" spans="1:21" s="214" customFormat="1">
      <c r="A36" s="1809" t="s">
        <v>1993</v>
      </c>
      <c r="B36" s="216">
        <f t="shared" si="6"/>
        <v>45000</v>
      </c>
      <c r="C36" s="217">
        <v>45000</v>
      </c>
      <c r="D36" s="217"/>
      <c r="E36" s="217">
        <f>C36</f>
        <v>45000</v>
      </c>
      <c r="F36" s="217"/>
      <c r="G36" s="217"/>
      <c r="H36" s="217"/>
      <c r="I36" s="217"/>
      <c r="J36" s="217"/>
      <c r="K36" s="217"/>
      <c r="L36" s="217"/>
      <c r="M36" s="217"/>
      <c r="N36" s="217"/>
      <c r="O36" s="217"/>
      <c r="P36" s="217"/>
      <c r="Q36" s="217"/>
      <c r="R36" s="879">
        <f t="shared" si="7"/>
        <v>45000</v>
      </c>
      <c r="S36" s="217">
        <f>C36</f>
        <v>45000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43418023</v>
      </c>
      <c r="C38" s="216">
        <f>SUM(C29:C37)</f>
        <v>41817343</v>
      </c>
      <c r="D38" s="216">
        <f t="shared" ref="D38:Q38" si="8">SUM(D29:D37)</f>
        <v>1600680</v>
      </c>
      <c r="E38" s="216">
        <f t="shared" si="8"/>
        <v>6240668</v>
      </c>
      <c r="F38" s="216">
        <f t="shared" si="8"/>
        <v>33190000</v>
      </c>
      <c r="G38" s="216">
        <f t="shared" si="8"/>
        <v>3987355</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43418023</v>
      </c>
      <c r="S38" s="220">
        <f>SUM(S29:S37)</f>
        <v>41817343</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3168074</v>
      </c>
      <c r="C40" s="217">
        <f>2533725+634349</f>
        <v>3168074</v>
      </c>
      <c r="D40" s="217"/>
      <c r="E40" s="217">
        <f>C40</f>
        <v>3168074</v>
      </c>
      <c r="F40" s="217"/>
      <c r="G40" s="217"/>
      <c r="H40" s="217"/>
      <c r="I40" s="217"/>
      <c r="J40" s="217"/>
      <c r="K40" s="217"/>
      <c r="L40" s="217"/>
      <c r="M40" s="217"/>
      <c r="N40" s="217"/>
      <c r="O40" s="217"/>
      <c r="P40" s="217"/>
      <c r="Q40" s="217"/>
      <c r="R40" s="879">
        <f>SUM(E40:Q40)</f>
        <v>3168074</v>
      </c>
      <c r="S40" s="217">
        <f>R40</f>
        <v>3168074</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3168074</v>
      </c>
      <c r="C42" s="216">
        <f>SUM(C39:C41)</f>
        <v>3168074</v>
      </c>
      <c r="D42" s="216">
        <f>SUM(D39:D41)</f>
        <v>0</v>
      </c>
      <c r="E42" s="216">
        <f t="shared" ref="E42:T42" si="9">SUM(E40:E41)</f>
        <v>3168074</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3168074</v>
      </c>
      <c r="S42" s="220">
        <f t="shared" si="9"/>
        <v>3168074</v>
      </c>
      <c r="T42" s="220">
        <f t="shared" si="9"/>
        <v>0</v>
      </c>
      <c r="U42" s="213"/>
    </row>
    <row r="43" spans="1:21" s="214" customFormat="1">
      <c r="A43" s="219" t="s">
        <v>153</v>
      </c>
      <c r="B43" s="216">
        <f>SUM(C43:D43)</f>
        <v>573948</v>
      </c>
      <c r="C43" s="217">
        <v>573948</v>
      </c>
      <c r="D43" s="217"/>
      <c r="E43" s="217">
        <f>C43</f>
        <v>573948</v>
      </c>
      <c r="F43" s="217"/>
      <c r="G43" s="217"/>
      <c r="H43" s="217"/>
      <c r="I43" s="217"/>
      <c r="J43" s="217"/>
      <c r="K43" s="217"/>
      <c r="L43" s="217"/>
      <c r="M43" s="217"/>
      <c r="N43" s="217"/>
      <c r="O43" s="217"/>
      <c r="P43" s="217"/>
      <c r="Q43" s="217"/>
      <c r="R43" s="879">
        <f>SUM(E43:Q43)</f>
        <v>573948</v>
      </c>
      <c r="S43" s="217">
        <f>R43</f>
        <v>573948</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2146558</v>
      </c>
      <c r="C45" s="217">
        <v>2146558</v>
      </c>
      <c r="D45" s="217"/>
      <c r="E45" s="217">
        <f>C45</f>
        <v>2146558</v>
      </c>
      <c r="F45" s="217"/>
      <c r="G45" s="217"/>
      <c r="H45" s="217"/>
      <c r="I45" s="217"/>
      <c r="J45" s="217"/>
      <c r="K45" s="217"/>
      <c r="L45" s="217"/>
      <c r="M45" s="217"/>
      <c r="N45" s="217"/>
      <c r="O45" s="217"/>
      <c r="P45" s="217"/>
      <c r="Q45" s="217"/>
      <c r="R45" s="879">
        <f t="shared" ref="R45:R53" si="11">SUM(E45:Q45)</f>
        <v>2146558</v>
      </c>
      <c r="S45" s="217">
        <f>R45</f>
        <v>2146558</v>
      </c>
      <c r="T45" s="217"/>
      <c r="U45" s="213"/>
    </row>
    <row r="46" spans="1:21" s="214" customFormat="1">
      <c r="A46" s="215" t="s">
        <v>156</v>
      </c>
      <c r="B46" s="216">
        <f t="shared" si="10"/>
        <v>514500</v>
      </c>
      <c r="C46" s="217">
        <f>370500+144000</f>
        <v>514500</v>
      </c>
      <c r="D46" s="217"/>
      <c r="E46" s="217">
        <f>C46</f>
        <v>514500</v>
      </c>
      <c r="F46" s="217"/>
      <c r="G46" s="217"/>
      <c r="H46" s="217"/>
      <c r="I46" s="217"/>
      <c r="J46" s="217"/>
      <c r="K46" s="217"/>
      <c r="L46" s="217"/>
      <c r="M46" s="217"/>
      <c r="N46" s="217"/>
      <c r="O46" s="217"/>
      <c r="P46" s="217"/>
      <c r="Q46" s="217"/>
      <c r="R46" s="879">
        <f t="shared" si="11"/>
        <v>514500</v>
      </c>
      <c r="S46" s="217">
        <f>R46</f>
        <v>514500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79">
        <f t="shared" si="11"/>
        <v>0</v>
      </c>
      <c r="S49" s="217"/>
      <c r="T49" s="217"/>
      <c r="U49" s="213"/>
    </row>
    <row r="50" spans="1:21" s="214" customFormat="1">
      <c r="A50" s="215" t="s">
        <v>161</v>
      </c>
      <c r="B50" s="216">
        <f t="shared" si="10"/>
        <v>52500</v>
      </c>
      <c r="C50" s="217">
        <v>52500</v>
      </c>
      <c r="D50" s="217"/>
      <c r="E50" s="217">
        <f>C50</f>
        <v>52500</v>
      </c>
      <c r="F50" s="217"/>
      <c r="G50" s="217"/>
      <c r="H50" s="217"/>
      <c r="I50" s="217"/>
      <c r="J50" s="217"/>
      <c r="K50" s="217"/>
      <c r="L50" s="217"/>
      <c r="M50" s="217"/>
      <c r="N50" s="217"/>
      <c r="O50" s="217"/>
      <c r="P50" s="217"/>
      <c r="Q50" s="217"/>
      <c r="R50" s="879">
        <f t="shared" si="11"/>
        <v>52500</v>
      </c>
      <c r="S50" s="217">
        <f>R50</f>
        <v>52500</v>
      </c>
      <c r="T50" s="217"/>
      <c r="U50" s="213"/>
    </row>
    <row r="51" spans="1:21" s="214" customFormat="1">
      <c r="A51" s="440" t="s">
        <v>159</v>
      </c>
      <c r="B51" s="216">
        <f t="shared" si="10"/>
        <v>0</v>
      </c>
      <c r="C51" s="217"/>
      <c r="D51" s="217"/>
      <c r="E51" s="217"/>
      <c r="F51" s="217"/>
      <c r="G51" s="217"/>
      <c r="H51" s="217"/>
      <c r="I51" s="217"/>
      <c r="J51" s="217"/>
      <c r="K51" s="217"/>
      <c r="L51" s="217"/>
      <c r="M51" s="217"/>
      <c r="N51" s="217"/>
      <c r="O51" s="217"/>
      <c r="P51" s="217"/>
      <c r="Q51" s="217"/>
      <c r="R51" s="879">
        <f t="shared" si="11"/>
        <v>0</v>
      </c>
      <c r="S51" s="217"/>
      <c r="T51" s="217"/>
      <c r="U51" s="213"/>
    </row>
    <row r="52" spans="1:21" s="214" customFormat="1">
      <c r="A52" s="215" t="s">
        <v>160</v>
      </c>
      <c r="B52" s="216">
        <f t="shared" si="10"/>
        <v>0</v>
      </c>
      <c r="C52" s="217"/>
      <c r="D52" s="217"/>
      <c r="E52" s="217"/>
      <c r="F52" s="217"/>
      <c r="G52" s="217"/>
      <c r="H52" s="217"/>
      <c r="I52" s="217"/>
      <c r="J52" s="217"/>
      <c r="K52" s="217"/>
      <c r="L52" s="217"/>
      <c r="M52" s="217"/>
      <c r="N52" s="217"/>
      <c r="O52" s="217"/>
      <c r="P52" s="217"/>
      <c r="Q52" s="217"/>
      <c r="R52" s="879">
        <f t="shared" si="11"/>
        <v>0</v>
      </c>
      <c r="S52" s="217"/>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79">
        <f t="shared" si="11"/>
        <v>0</v>
      </c>
      <c r="S53" s="217"/>
      <c r="T53" s="217"/>
      <c r="U53" s="213"/>
    </row>
    <row r="54" spans="1:21" s="224" customFormat="1">
      <c r="A54" s="219" t="s">
        <v>162</v>
      </c>
      <c r="B54" s="220">
        <f>SUM(C54:D54)</f>
        <v>2713558</v>
      </c>
      <c r="C54" s="220">
        <f t="shared" ref="C54:T54" si="12">SUM(C45:C53)</f>
        <v>2713558</v>
      </c>
      <c r="D54" s="220">
        <f t="shared" si="12"/>
        <v>0</v>
      </c>
      <c r="E54" s="220">
        <f t="shared" si="12"/>
        <v>2713558</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2713558</v>
      </c>
      <c r="S54" s="220">
        <f t="shared" si="12"/>
        <v>2713558</v>
      </c>
      <c r="T54" s="220">
        <f t="shared" si="12"/>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225950</v>
      </c>
      <c r="C56" s="217">
        <v>225950</v>
      </c>
      <c r="D56" s="217"/>
      <c r="E56" s="217">
        <f>C56</f>
        <v>225950</v>
      </c>
      <c r="F56" s="217"/>
      <c r="G56" s="217"/>
      <c r="H56" s="217"/>
      <c r="I56" s="217"/>
      <c r="J56" s="217"/>
      <c r="K56" s="217"/>
      <c r="L56" s="217"/>
      <c r="M56" s="217"/>
      <c r="N56" s="217"/>
      <c r="O56" s="217"/>
      <c r="P56" s="217"/>
      <c r="Q56" s="217"/>
      <c r="R56" s="879">
        <f t="shared" ref="R56:R61" si="14">SUM(E56:Q56)</f>
        <v>225950</v>
      </c>
      <c r="S56" s="218"/>
      <c r="T56" s="218"/>
      <c r="U56" s="213"/>
    </row>
    <row r="57" spans="1:21" s="303" customFormat="1">
      <c r="A57" s="297" t="s">
        <v>157</v>
      </c>
      <c r="B57" s="304">
        <f t="shared" si="13"/>
        <v>270290</v>
      </c>
      <c r="C57" s="301">
        <v>270290</v>
      </c>
      <c r="D57" s="301"/>
      <c r="E57" s="301">
        <f>C57</f>
        <v>270290</v>
      </c>
      <c r="F57" s="301"/>
      <c r="G57" s="301"/>
      <c r="H57" s="301"/>
      <c r="I57" s="301"/>
      <c r="J57" s="301"/>
      <c r="K57" s="301"/>
      <c r="L57" s="301"/>
      <c r="M57" s="301"/>
      <c r="N57" s="301"/>
      <c r="O57" s="301"/>
      <c r="P57" s="301"/>
      <c r="Q57" s="301"/>
      <c r="R57" s="879">
        <f t="shared" si="14"/>
        <v>270290</v>
      </c>
      <c r="S57" s="305"/>
      <c r="T57" s="305"/>
      <c r="U57" s="302"/>
    </row>
    <row r="58" spans="1:21" s="214" customFormat="1">
      <c r="A58" s="215" t="s">
        <v>161</v>
      </c>
      <c r="B58" s="216">
        <f t="shared" si="13"/>
        <v>85000</v>
      </c>
      <c r="C58" s="217">
        <v>85000</v>
      </c>
      <c r="D58" s="217"/>
      <c r="E58" s="217">
        <f>C58</f>
        <v>85000</v>
      </c>
      <c r="F58" s="217"/>
      <c r="G58" s="217"/>
      <c r="H58" s="217"/>
      <c r="I58" s="217"/>
      <c r="J58" s="217"/>
      <c r="K58" s="217"/>
      <c r="L58" s="217"/>
      <c r="M58" s="217"/>
      <c r="N58" s="217"/>
      <c r="O58" s="217"/>
      <c r="P58" s="217"/>
      <c r="Q58" s="217"/>
      <c r="R58" s="879">
        <f t="shared" si="14"/>
        <v>85000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2533</v>
      </c>
      <c r="B61" s="216">
        <f t="shared" si="13"/>
        <v>1729818</v>
      </c>
      <c r="C61" s="217">
        <v>1729818</v>
      </c>
      <c r="D61" s="217"/>
      <c r="E61" s="217">
        <f>C61</f>
        <v>1729818</v>
      </c>
      <c r="F61" s="217"/>
      <c r="G61" s="217"/>
      <c r="H61" s="217"/>
      <c r="I61" s="217"/>
      <c r="J61" s="217"/>
      <c r="K61" s="217"/>
      <c r="L61" s="217"/>
      <c r="M61" s="217"/>
      <c r="N61" s="217"/>
      <c r="O61" s="217"/>
      <c r="P61" s="217"/>
      <c r="Q61" s="217"/>
      <c r="R61" s="879">
        <f t="shared" si="14"/>
        <v>1729818</v>
      </c>
      <c r="S61" s="218"/>
      <c r="T61" s="218"/>
      <c r="U61" s="213"/>
    </row>
    <row r="62" spans="1:21" s="214" customFormat="1" ht="13.75" customHeight="1">
      <c r="A62" s="219" t="s">
        <v>309</v>
      </c>
      <c r="B62" s="216">
        <f>SUM(C62:D62)</f>
        <v>2311058</v>
      </c>
      <c r="C62" s="216">
        <f t="shared" ref="C62:R62" si="15">SUM(C56:C61)</f>
        <v>2311058</v>
      </c>
      <c r="D62" s="216">
        <f t="shared" si="15"/>
        <v>0</v>
      </c>
      <c r="E62" s="216">
        <f t="shared" si="15"/>
        <v>2311058</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2311058</v>
      </c>
      <c r="S62" s="218"/>
      <c r="T62" s="218"/>
      <c r="U62" s="213"/>
    </row>
    <row r="63" spans="1:21" s="214" customFormat="1">
      <c r="A63" s="225" t="s">
        <v>310</v>
      </c>
      <c r="B63" s="216">
        <f t="shared" ref="B63:R63" si="16">SUM(B8+B11+B13+B14+B15+B26+B27+B38+B42+B43+B54+B62)</f>
        <v>54197306</v>
      </c>
      <c r="C63" s="216">
        <f t="shared" si="16"/>
        <v>52596626</v>
      </c>
      <c r="D63" s="216">
        <f t="shared" si="16"/>
        <v>1600680</v>
      </c>
      <c r="E63" s="216">
        <f t="shared" si="16"/>
        <v>15007306</v>
      </c>
      <c r="F63" s="216">
        <f t="shared" si="16"/>
        <v>33190000</v>
      </c>
      <c r="G63" s="216">
        <f t="shared" si="16"/>
        <v>6000000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54197306</v>
      </c>
      <c r="S63" s="216">
        <f>SUM(S10+S13+S14+S15+S26+S27+S38+S42+S43+S54)</f>
        <v>49408143</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1994</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1995</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2001</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1857"/>
      <c r="B69" s="216">
        <f t="shared" si="17"/>
        <v>0</v>
      </c>
      <c r="C69" s="217"/>
      <c r="D69" s="217"/>
      <c r="E69" s="217"/>
      <c r="F69" s="217"/>
      <c r="G69" s="217"/>
      <c r="H69" s="217"/>
      <c r="I69" s="217"/>
      <c r="J69" s="217"/>
      <c r="K69" s="217"/>
      <c r="L69" s="217"/>
      <c r="M69" s="217"/>
      <c r="N69" s="217"/>
      <c r="O69" s="217"/>
      <c r="P69" s="217"/>
      <c r="Q69" s="217"/>
      <c r="R69" s="879">
        <f>SUM(E69:Q69)</f>
        <v>0</v>
      </c>
      <c r="S69" s="217">
        <f>R69</f>
        <v>0</v>
      </c>
      <c r="T69" s="217"/>
      <c r="U69" s="213"/>
    </row>
    <row r="70" spans="1:21" s="214" customFormat="1">
      <c r="A70" s="219" t="s">
        <v>1998</v>
      </c>
      <c r="B70" s="216">
        <f>SUM(C70:D70)</f>
        <v>0</v>
      </c>
      <c r="C70" s="216">
        <f>SUM(C65:C69)</f>
        <v>0</v>
      </c>
      <c r="D70" s="216">
        <f>SUM(D65:D69)</f>
        <v>0</v>
      </c>
      <c r="E70" s="216">
        <f t="shared" ref="E70:T70" si="19">SUM(E65:E69)</f>
        <v>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0</v>
      </c>
      <c r="S70" s="220">
        <f t="shared" si="19"/>
        <v>0</v>
      </c>
      <c r="T70" s="220">
        <f t="shared" si="19"/>
        <v>0</v>
      </c>
      <c r="U70" s="213"/>
    </row>
    <row r="71" spans="1:21" s="214" customFormat="1" ht="12">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655535</v>
      </c>
      <c r="C75" s="217">
        <v>655535</v>
      </c>
      <c r="D75" s="217"/>
      <c r="E75" s="217">
        <f>C75</f>
        <v>655535</v>
      </c>
      <c r="F75" s="217"/>
      <c r="G75" s="217"/>
      <c r="H75" s="217"/>
      <c r="I75" s="217"/>
      <c r="J75" s="217"/>
      <c r="K75" s="217"/>
      <c r="L75" s="217"/>
      <c r="M75" s="217"/>
      <c r="N75" s="217"/>
      <c r="O75" s="217"/>
      <c r="P75" s="217"/>
      <c r="Q75" s="217"/>
      <c r="R75" s="879">
        <f>SUM(E75:Q75)</f>
        <v>655535</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655535</v>
      </c>
      <c r="C77" s="216">
        <f>SUM(C72:C76)</f>
        <v>655535</v>
      </c>
      <c r="D77" s="216">
        <f>SUM(D72:D76)</f>
        <v>0</v>
      </c>
      <c r="E77" s="216">
        <f t="shared" ref="E77:Q77" si="20">SUM(E72:E76)</f>
        <v>655535</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655535</v>
      </c>
      <c r="S77" s="218"/>
      <c r="T77" s="218"/>
      <c r="U77" s="213"/>
    </row>
    <row r="78" spans="1:21" s="214" customFormat="1" ht="12">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3210879</v>
      </c>
      <c r="C79" s="217">
        <v>3210879</v>
      </c>
      <c r="D79" s="217"/>
      <c r="E79" s="217">
        <f>C79</f>
        <v>3210879</v>
      </c>
      <c r="F79" s="217"/>
      <c r="G79" s="217"/>
      <c r="H79" s="217"/>
      <c r="I79" s="217"/>
      <c r="J79" s="217"/>
      <c r="K79" s="217"/>
      <c r="L79" s="217"/>
      <c r="M79" s="217"/>
      <c r="N79" s="217"/>
      <c r="O79" s="217"/>
      <c r="P79" s="217"/>
      <c r="Q79" s="217"/>
      <c r="R79" s="879">
        <f>SUM(E79:Q79)</f>
        <v>3210879</v>
      </c>
      <c r="S79" s="217">
        <f>R79</f>
        <v>3210879</v>
      </c>
      <c r="T79" s="217"/>
      <c r="U79" s="213"/>
    </row>
    <row r="80" spans="1:21" s="214" customFormat="1">
      <c r="A80" s="440" t="s">
        <v>61</v>
      </c>
      <c r="B80" s="216">
        <f>SUM(C80:D80)</f>
        <v>570058</v>
      </c>
      <c r="C80" s="217">
        <f>639695-69637</f>
        <v>570058</v>
      </c>
      <c r="D80" s="217"/>
      <c r="E80" s="217">
        <f>C80</f>
        <v>570058</v>
      </c>
      <c r="F80" s="217"/>
      <c r="G80" s="217"/>
      <c r="H80" s="217"/>
      <c r="I80" s="217"/>
      <c r="J80" s="217"/>
      <c r="K80" s="217"/>
      <c r="L80" s="217"/>
      <c r="M80" s="217"/>
      <c r="N80" s="217"/>
      <c r="O80" s="217"/>
      <c r="P80" s="217"/>
      <c r="Q80" s="217"/>
      <c r="R80" s="879">
        <f>SUM(E80:Q80)</f>
        <v>570058</v>
      </c>
      <c r="S80" s="217">
        <f>R80</f>
        <v>570058</v>
      </c>
      <c r="T80" s="217"/>
      <c r="U80" s="213"/>
    </row>
    <row r="81" spans="1:21" s="214" customFormat="1">
      <c r="A81" s="219" t="s">
        <v>1418</v>
      </c>
      <c r="B81" s="216">
        <f>SUM(C81:D81)</f>
        <v>3780937</v>
      </c>
      <c r="C81" s="859">
        <f>SUM(C79:C80)</f>
        <v>3780937</v>
      </c>
      <c r="D81" s="859">
        <f t="shared" ref="D81:T81" si="21">SUM(D79:D80)</f>
        <v>0</v>
      </c>
      <c r="E81" s="859">
        <f t="shared" si="21"/>
        <v>3780937</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3780937</v>
      </c>
      <c r="S81" s="859">
        <f t="shared" si="21"/>
        <v>3780937</v>
      </c>
      <c r="T81" s="859">
        <f t="shared" si="21"/>
        <v>0</v>
      </c>
      <c r="U81" s="213"/>
    </row>
    <row r="82" spans="1:21" s="214" customFormat="1" ht="12">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823</v>
      </c>
      <c r="B83" s="216">
        <f t="shared" ref="B83:B95" si="22">SUM(C83+D83)</f>
        <v>96570</v>
      </c>
      <c r="C83" s="217">
        <v>96570</v>
      </c>
      <c r="D83" s="217"/>
      <c r="E83" s="217">
        <f>C83</f>
        <v>96570</v>
      </c>
      <c r="F83" s="217"/>
      <c r="G83" s="217"/>
      <c r="H83" s="217"/>
      <c r="I83" s="217"/>
      <c r="J83" s="217"/>
      <c r="K83" s="217"/>
      <c r="L83" s="217"/>
      <c r="M83" s="217"/>
      <c r="N83" s="217"/>
      <c r="O83" s="217"/>
      <c r="P83" s="217"/>
      <c r="Q83" s="217"/>
      <c r="R83" s="879">
        <f t="shared" ref="R83:R95" si="23">SUM(E83:Q83)</f>
        <v>96570</v>
      </c>
      <c r="S83" s="218"/>
      <c r="T83" s="218"/>
      <c r="U83" s="213"/>
    </row>
    <row r="84" spans="1:21" s="214" customFormat="1">
      <c r="A84" s="215" t="s">
        <v>824</v>
      </c>
      <c r="B84" s="216">
        <f t="shared" si="22"/>
        <v>0</v>
      </c>
      <c r="C84" s="217"/>
      <c r="D84" s="217"/>
      <c r="E84" s="217"/>
      <c r="F84" s="217"/>
      <c r="G84" s="217"/>
      <c r="H84" s="217"/>
      <c r="I84" s="217"/>
      <c r="J84" s="217"/>
      <c r="K84" s="217"/>
      <c r="L84" s="217"/>
      <c r="M84" s="217"/>
      <c r="N84" s="217"/>
      <c r="O84" s="217"/>
      <c r="P84" s="217"/>
      <c r="Q84" s="217"/>
      <c r="R84" s="879">
        <f t="shared" si="23"/>
        <v>0</v>
      </c>
      <c r="S84" s="217"/>
      <c r="T84" s="217"/>
      <c r="U84" s="213"/>
    </row>
    <row r="85" spans="1:21" s="214" customFormat="1">
      <c r="A85" s="215" t="s">
        <v>825</v>
      </c>
      <c r="B85" s="216">
        <f t="shared" si="22"/>
        <v>5617951</v>
      </c>
      <c r="C85" s="217">
        <f>5548314+69637</f>
        <v>5617951</v>
      </c>
      <c r="D85" s="217"/>
      <c r="E85" s="217">
        <f>C85</f>
        <v>5617951</v>
      </c>
      <c r="F85" s="217"/>
      <c r="G85" s="217"/>
      <c r="H85" s="217"/>
      <c r="I85" s="217"/>
      <c r="J85" s="217"/>
      <c r="K85" s="217"/>
      <c r="L85" s="217"/>
      <c r="M85" s="217"/>
      <c r="N85" s="217"/>
      <c r="O85" s="217"/>
      <c r="P85" s="217"/>
      <c r="Q85" s="217"/>
      <c r="R85" s="879">
        <f t="shared" si="23"/>
        <v>5617951</v>
      </c>
      <c r="S85" s="217">
        <f>R85</f>
        <v>5617951</v>
      </c>
      <c r="T85" s="217"/>
      <c r="U85" s="213"/>
    </row>
    <row r="86" spans="1:21" s="214" customFormat="1">
      <c r="A86" s="215" t="s">
        <v>826</v>
      </c>
      <c r="B86" s="216">
        <f t="shared" si="22"/>
        <v>1847700</v>
      </c>
      <c r="C86" s="217">
        <v>1847700</v>
      </c>
      <c r="D86" s="217"/>
      <c r="E86" s="217">
        <f>C86</f>
        <v>1847700</v>
      </c>
      <c r="F86" s="217"/>
      <c r="G86" s="217"/>
      <c r="H86" s="217"/>
      <c r="I86" s="217"/>
      <c r="J86" s="217"/>
      <c r="K86" s="217"/>
      <c r="L86" s="217"/>
      <c r="M86" s="217"/>
      <c r="N86" s="217"/>
      <c r="O86" s="217"/>
      <c r="P86" s="217"/>
      <c r="Q86" s="217"/>
      <c r="R86" s="879">
        <f t="shared" si="23"/>
        <v>1847700</v>
      </c>
      <c r="S86" s="217">
        <f>R86</f>
        <v>1847700</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828</v>
      </c>
      <c r="B88" s="216">
        <f t="shared" si="22"/>
        <v>50000</v>
      </c>
      <c r="C88" s="217">
        <v>50000</v>
      </c>
      <c r="D88" s="217"/>
      <c r="E88" s="217">
        <f t="shared" ref="E88:E94" si="24">C88</f>
        <v>50000</v>
      </c>
      <c r="F88" s="217"/>
      <c r="G88" s="217"/>
      <c r="H88" s="217"/>
      <c r="I88" s="217"/>
      <c r="J88" s="217"/>
      <c r="K88" s="217"/>
      <c r="L88" s="217"/>
      <c r="M88" s="217"/>
      <c r="N88" s="217"/>
      <c r="O88" s="217"/>
      <c r="P88" s="217"/>
      <c r="Q88" s="217"/>
      <c r="R88" s="879">
        <f t="shared" si="23"/>
        <v>50000</v>
      </c>
      <c r="S88" s="218"/>
      <c r="T88" s="218"/>
      <c r="U88" s="213"/>
    </row>
    <row r="89" spans="1:21" s="214" customFormat="1">
      <c r="A89" s="215" t="s">
        <v>829</v>
      </c>
      <c r="B89" s="216">
        <f t="shared" si="22"/>
        <v>290000</v>
      </c>
      <c r="C89" s="217">
        <v>290000</v>
      </c>
      <c r="D89" s="217"/>
      <c r="E89" s="217">
        <f t="shared" si="24"/>
        <v>290000</v>
      </c>
      <c r="F89" s="217"/>
      <c r="G89" s="217"/>
      <c r="H89" s="217"/>
      <c r="I89" s="217"/>
      <c r="J89" s="217"/>
      <c r="K89" s="217"/>
      <c r="L89" s="217"/>
      <c r="M89" s="217"/>
      <c r="N89" s="217"/>
      <c r="O89" s="217"/>
      <c r="P89" s="217"/>
      <c r="Q89" s="217"/>
      <c r="R89" s="879">
        <f t="shared" si="23"/>
        <v>290000</v>
      </c>
      <c r="S89" s="217">
        <f>R89</f>
        <v>290000</v>
      </c>
      <c r="T89" s="217"/>
      <c r="U89" s="213"/>
    </row>
    <row r="90" spans="1:21" s="214" customFormat="1">
      <c r="A90" s="215" t="s">
        <v>830</v>
      </c>
      <c r="B90" s="216">
        <f t="shared" si="22"/>
        <v>7500</v>
      </c>
      <c r="C90" s="217">
        <v>7500</v>
      </c>
      <c r="D90" s="217"/>
      <c r="E90" s="217">
        <f t="shared" si="24"/>
        <v>7500</v>
      </c>
      <c r="F90" s="217"/>
      <c r="G90" s="217"/>
      <c r="H90" s="217"/>
      <c r="I90" s="217"/>
      <c r="J90" s="217"/>
      <c r="K90" s="217"/>
      <c r="L90" s="217"/>
      <c r="M90" s="217"/>
      <c r="N90" s="217"/>
      <c r="O90" s="217"/>
      <c r="P90" s="217"/>
      <c r="Q90" s="217"/>
      <c r="R90" s="879">
        <f t="shared" si="23"/>
        <v>7500</v>
      </c>
      <c r="S90" s="217">
        <f>R90</f>
        <v>7500</v>
      </c>
      <c r="T90" s="217"/>
      <c r="U90" s="213"/>
    </row>
    <row r="91" spans="1:21" s="214" customFormat="1">
      <c r="A91" s="1810" t="s">
        <v>390</v>
      </c>
      <c r="B91" s="216">
        <f t="shared" si="22"/>
        <v>25000</v>
      </c>
      <c r="C91" s="217">
        <v>25000</v>
      </c>
      <c r="D91" s="217"/>
      <c r="E91" s="217">
        <f t="shared" si="24"/>
        <v>25000</v>
      </c>
      <c r="F91" s="217"/>
      <c r="G91" s="217"/>
      <c r="H91" s="217"/>
      <c r="I91" s="217"/>
      <c r="J91" s="217"/>
      <c r="K91" s="217"/>
      <c r="L91" s="217"/>
      <c r="M91" s="217"/>
      <c r="N91" s="217"/>
      <c r="O91" s="217"/>
      <c r="P91" s="217"/>
      <c r="Q91" s="217"/>
      <c r="R91" s="879">
        <f t="shared" si="23"/>
        <v>25000</v>
      </c>
      <c r="S91" s="217">
        <f>R91</f>
        <v>25000</v>
      </c>
      <c r="T91" s="217"/>
      <c r="U91" s="213"/>
    </row>
    <row r="92" spans="1:21" s="214" customFormat="1">
      <c r="A92" s="1809" t="s">
        <v>1420</v>
      </c>
      <c r="B92" s="216">
        <f t="shared" si="22"/>
        <v>3500</v>
      </c>
      <c r="C92" s="217">
        <v>3500</v>
      </c>
      <c r="D92" s="217"/>
      <c r="E92" s="217">
        <f t="shared" si="24"/>
        <v>3500</v>
      </c>
      <c r="F92" s="217"/>
      <c r="G92" s="217"/>
      <c r="H92" s="217"/>
      <c r="I92" s="217"/>
      <c r="J92" s="217"/>
      <c r="K92" s="217"/>
      <c r="L92" s="217"/>
      <c r="M92" s="217"/>
      <c r="N92" s="217"/>
      <c r="O92" s="217"/>
      <c r="P92" s="217"/>
      <c r="Q92" s="217"/>
      <c r="R92" s="879">
        <f t="shared" si="23"/>
        <v>3500</v>
      </c>
      <c r="S92" s="217">
        <f>R92</f>
        <v>3500</v>
      </c>
      <c r="T92" s="217"/>
      <c r="U92" s="213"/>
    </row>
    <row r="93" spans="1:21" s="214" customFormat="1">
      <c r="A93" s="1857" t="s">
        <v>2534</v>
      </c>
      <c r="B93" s="216">
        <f t="shared" si="22"/>
        <v>250000</v>
      </c>
      <c r="C93" s="217">
        <v>250000</v>
      </c>
      <c r="D93" s="217"/>
      <c r="E93" s="217">
        <f t="shared" si="24"/>
        <v>250000</v>
      </c>
      <c r="F93" s="217"/>
      <c r="G93" s="217"/>
      <c r="H93" s="217"/>
      <c r="I93" s="217"/>
      <c r="J93" s="217"/>
      <c r="K93" s="217"/>
      <c r="L93" s="217"/>
      <c r="M93" s="217"/>
      <c r="N93" s="217"/>
      <c r="O93" s="217"/>
      <c r="P93" s="217"/>
      <c r="Q93" s="217"/>
      <c r="R93" s="879">
        <f t="shared" si="23"/>
        <v>250000</v>
      </c>
      <c r="S93" s="217">
        <f>R93</f>
        <v>250000</v>
      </c>
      <c r="T93" s="217"/>
      <c r="U93" s="213"/>
    </row>
    <row r="94" spans="1:21" s="214" customFormat="1">
      <c r="A94" s="1857" t="s">
        <v>2535</v>
      </c>
      <c r="B94" s="216">
        <f t="shared" si="22"/>
        <v>253230</v>
      </c>
      <c r="C94" s="217">
        <v>253230</v>
      </c>
      <c r="D94" s="217"/>
      <c r="E94" s="217">
        <f t="shared" si="24"/>
        <v>253230</v>
      </c>
      <c r="F94" s="217"/>
      <c r="G94" s="217"/>
      <c r="H94" s="217"/>
      <c r="I94" s="217"/>
      <c r="J94" s="217"/>
      <c r="K94" s="217"/>
      <c r="L94" s="217"/>
      <c r="M94" s="217"/>
      <c r="N94" s="217"/>
      <c r="O94" s="217"/>
      <c r="P94" s="217"/>
      <c r="Q94" s="217"/>
      <c r="R94" s="879">
        <f t="shared" si="23"/>
        <v>253230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831</v>
      </c>
      <c r="B96" s="216">
        <f>SUM(C96:D96)</f>
        <v>8441451</v>
      </c>
      <c r="C96" s="216">
        <f t="shared" ref="C96:R96" si="25">SUM(C83:C95)</f>
        <v>8441451</v>
      </c>
      <c r="D96" s="216">
        <f t="shared" si="25"/>
        <v>0</v>
      </c>
      <c r="E96" s="216">
        <f t="shared" si="25"/>
        <v>8441451</v>
      </c>
      <c r="F96" s="216">
        <f t="shared" si="25"/>
        <v>0</v>
      </c>
      <c r="G96" s="216">
        <f t="shared" si="25"/>
        <v>0</v>
      </c>
      <c r="H96" s="216">
        <f t="shared" si="25"/>
        <v>0</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34">
        <f t="shared" si="25"/>
        <v>8441451</v>
      </c>
      <c r="S96" s="220">
        <f>SUM(S84:S87,S89:S95)</f>
        <v>8041651</v>
      </c>
      <c r="T96" s="216">
        <f>SUM(T84:T87,T89:T95)</f>
        <v>0</v>
      </c>
      <c r="U96" s="213"/>
    </row>
    <row r="97" spans="1:21" s="214" customFormat="1">
      <c r="A97" s="219" t="s">
        <v>832</v>
      </c>
      <c r="B97" s="216">
        <f>SUM(C97:D97)</f>
        <v>67075229</v>
      </c>
      <c r="C97" s="216">
        <f t="shared" ref="C97:R97" si="26">SUM(C63+C70+C77+C81+C96)</f>
        <v>65474549</v>
      </c>
      <c r="D97" s="216">
        <f t="shared" si="26"/>
        <v>1600680</v>
      </c>
      <c r="E97" s="216">
        <f t="shared" si="26"/>
        <v>27885229</v>
      </c>
      <c r="F97" s="216">
        <f t="shared" si="26"/>
        <v>33190000</v>
      </c>
      <c r="G97" s="216">
        <f t="shared" si="26"/>
        <v>6000000</v>
      </c>
      <c r="H97" s="216">
        <f t="shared" si="26"/>
        <v>0</v>
      </c>
      <c r="I97" s="216">
        <f t="shared" si="26"/>
        <v>0</v>
      </c>
      <c r="J97" s="216">
        <f t="shared" si="26"/>
        <v>0</v>
      </c>
      <c r="K97" s="216">
        <f t="shared" si="26"/>
        <v>0</v>
      </c>
      <c r="L97" s="216">
        <f t="shared" si="26"/>
        <v>0</v>
      </c>
      <c r="M97" s="216">
        <f t="shared" si="26"/>
        <v>0</v>
      </c>
      <c r="N97" s="216">
        <f t="shared" si="26"/>
        <v>0</v>
      </c>
      <c r="O97" s="216">
        <f t="shared" si="26"/>
        <v>0</v>
      </c>
      <c r="P97" s="216">
        <f t="shared" si="26"/>
        <v>0</v>
      </c>
      <c r="Q97" s="216">
        <f t="shared" si="26"/>
        <v>0</v>
      </c>
      <c r="R97" s="216">
        <f t="shared" si="26"/>
        <v>67075229</v>
      </c>
      <c r="S97" s="216">
        <f>SUM(S63+S70+S81+S96)</f>
        <v>61230731</v>
      </c>
      <c r="T97" s="216">
        <f>SUM(T63+T70+T81+T96)</f>
        <v>0</v>
      </c>
      <c r="U97" s="213"/>
    </row>
    <row r="98" spans="1:21" s="214" customFormat="1" ht="12">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3500000</v>
      </c>
      <c r="C99" s="1702">
        <v>3500000</v>
      </c>
      <c r="D99" s="1702"/>
      <c r="E99" s="1702">
        <f>C99-H99-I99</f>
        <v>1567254</v>
      </c>
      <c r="F99" s="217"/>
      <c r="G99" s="217"/>
      <c r="H99" s="217">
        <f>Application!AO639</f>
        <v>132746</v>
      </c>
      <c r="I99" s="217">
        <v>1800000</v>
      </c>
      <c r="J99" s="217"/>
      <c r="K99" s="217"/>
      <c r="L99" s="217"/>
      <c r="M99" s="217"/>
      <c r="N99" s="217"/>
      <c r="O99" s="217"/>
      <c r="P99" s="217"/>
      <c r="Q99" s="217"/>
      <c r="R99" s="879">
        <f t="shared" ref="R99:R103" si="27">SUM(E99:Q99)</f>
        <v>3500000</v>
      </c>
      <c r="S99" s="217">
        <f>R99</f>
        <v>3500000</v>
      </c>
      <c r="T99" s="217"/>
      <c r="U99" s="213"/>
    </row>
    <row r="100" spans="1:21" s="214" customFormat="1">
      <c r="A100" s="440" t="s">
        <v>1999</v>
      </c>
      <c r="B100" s="216">
        <f t="shared" ref="B100:B103" si="28">SUM(C100+D100)</f>
        <v>0</v>
      </c>
      <c r="C100" s="217"/>
      <c r="D100" s="217"/>
      <c r="E100" s="217"/>
      <c r="F100" s="217"/>
      <c r="G100" s="217"/>
      <c r="H100" s="217"/>
      <c r="I100" s="217"/>
      <c r="J100" s="217"/>
      <c r="K100" s="217"/>
      <c r="L100" s="217"/>
      <c r="M100" s="217"/>
      <c r="N100" s="217"/>
      <c r="O100" s="217"/>
      <c r="P100" s="217"/>
      <c r="Q100" s="217"/>
      <c r="R100" s="879">
        <f t="shared" si="27"/>
        <v>0</v>
      </c>
      <c r="S100" s="217"/>
      <c r="T100" s="217"/>
      <c r="U100" s="213"/>
    </row>
    <row r="101" spans="1:21" s="214" customFormat="1" ht="12" customHeight="1">
      <c r="A101" s="215" t="s">
        <v>835</v>
      </c>
      <c r="B101" s="216">
        <f t="shared" si="28"/>
        <v>0</v>
      </c>
      <c r="C101" s="217"/>
      <c r="D101" s="217"/>
      <c r="E101" s="217"/>
      <c r="F101" s="217"/>
      <c r="G101" s="217"/>
      <c r="H101" s="217"/>
      <c r="I101" s="217"/>
      <c r="J101" s="217"/>
      <c r="K101" s="217"/>
      <c r="L101" s="217"/>
      <c r="M101" s="217"/>
      <c r="N101" s="217"/>
      <c r="O101" s="217"/>
      <c r="P101" s="217"/>
      <c r="Q101" s="217"/>
      <c r="R101" s="879">
        <f t="shared" si="27"/>
        <v>0</v>
      </c>
      <c r="S101" s="217"/>
      <c r="T101" s="217"/>
      <c r="U101" s="213"/>
    </row>
    <row r="102" spans="1:21" s="214" customFormat="1">
      <c r="A102" s="440" t="s">
        <v>2000</v>
      </c>
      <c r="B102" s="216">
        <f t="shared" si="28"/>
        <v>0</v>
      </c>
      <c r="C102" s="217"/>
      <c r="D102" s="217"/>
      <c r="E102" s="217"/>
      <c r="F102" s="217"/>
      <c r="G102" s="217"/>
      <c r="H102" s="217"/>
      <c r="I102" s="217"/>
      <c r="J102" s="217"/>
      <c r="K102" s="217"/>
      <c r="L102" s="217"/>
      <c r="M102" s="217"/>
      <c r="N102" s="217"/>
      <c r="O102" s="217"/>
      <c r="P102" s="217"/>
      <c r="Q102" s="217"/>
      <c r="R102" s="879">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9">
        <f t="shared" si="27"/>
        <v>0</v>
      </c>
      <c r="S103" s="217"/>
      <c r="T103" s="217"/>
      <c r="U103" s="213"/>
    </row>
    <row r="104" spans="1:21" s="214" customFormat="1">
      <c r="A104" s="219" t="s">
        <v>836</v>
      </c>
      <c r="B104" s="216">
        <f>SUM(C104:D104)</f>
        <v>3500000</v>
      </c>
      <c r="C104" s="216">
        <f>SUM(C99:C103)</f>
        <v>3500000</v>
      </c>
      <c r="D104" s="216">
        <f t="shared" ref="D104:T104" si="29">SUM(D99:D103)</f>
        <v>0</v>
      </c>
      <c r="E104" s="216">
        <f t="shared" si="29"/>
        <v>1567254</v>
      </c>
      <c r="F104" s="216">
        <f t="shared" si="29"/>
        <v>0</v>
      </c>
      <c r="G104" s="216">
        <f t="shared" si="29"/>
        <v>0</v>
      </c>
      <c r="H104" s="216">
        <f t="shared" si="29"/>
        <v>132746</v>
      </c>
      <c r="I104" s="216">
        <f t="shared" si="29"/>
        <v>1800000</v>
      </c>
      <c r="J104" s="216">
        <f t="shared" si="29"/>
        <v>0</v>
      </c>
      <c r="K104" s="216">
        <f t="shared" si="29"/>
        <v>0</v>
      </c>
      <c r="L104" s="216">
        <f t="shared" si="29"/>
        <v>0</v>
      </c>
      <c r="M104" s="216">
        <f t="shared" si="29"/>
        <v>0</v>
      </c>
      <c r="N104" s="216">
        <f t="shared" si="29"/>
        <v>0</v>
      </c>
      <c r="O104" s="216">
        <f t="shared" si="29"/>
        <v>0</v>
      </c>
      <c r="P104" s="216">
        <f t="shared" si="29"/>
        <v>0</v>
      </c>
      <c r="Q104" s="216">
        <f t="shared" si="29"/>
        <v>0</v>
      </c>
      <c r="R104" s="534">
        <f t="shared" si="29"/>
        <v>3500000</v>
      </c>
      <c r="S104" s="220">
        <f t="shared" si="29"/>
        <v>3500000</v>
      </c>
      <c r="T104" s="220">
        <f t="shared" si="29"/>
        <v>0</v>
      </c>
      <c r="U104" s="213"/>
    </row>
    <row r="105" spans="1:21" s="214" customFormat="1">
      <c r="A105" s="219" t="s">
        <v>837</v>
      </c>
      <c r="B105" s="220">
        <f>SUM(C105:D105)</f>
        <v>70575229</v>
      </c>
      <c r="C105" s="220">
        <f t="shared" ref="C105:R105" si="30">SUM(C97+C104)</f>
        <v>68974549</v>
      </c>
      <c r="D105" s="220">
        <f t="shared" si="30"/>
        <v>1600680</v>
      </c>
      <c r="E105" s="220">
        <f t="shared" si="30"/>
        <v>29452483</v>
      </c>
      <c r="F105" s="220">
        <f t="shared" si="30"/>
        <v>33190000</v>
      </c>
      <c r="G105" s="220">
        <f t="shared" si="30"/>
        <v>6000000</v>
      </c>
      <c r="H105" s="220">
        <f t="shared" si="30"/>
        <v>132746</v>
      </c>
      <c r="I105" s="220">
        <f t="shared" si="30"/>
        <v>1800000</v>
      </c>
      <c r="J105" s="220">
        <f t="shared" si="30"/>
        <v>0</v>
      </c>
      <c r="K105" s="220">
        <f t="shared" si="30"/>
        <v>0</v>
      </c>
      <c r="L105" s="220">
        <f t="shared" si="30"/>
        <v>0</v>
      </c>
      <c r="M105" s="220">
        <f t="shared" si="30"/>
        <v>0</v>
      </c>
      <c r="N105" s="220">
        <f t="shared" si="30"/>
        <v>0</v>
      </c>
      <c r="O105" s="220">
        <f t="shared" si="30"/>
        <v>0</v>
      </c>
      <c r="P105" s="220">
        <f t="shared" si="30"/>
        <v>0</v>
      </c>
      <c r="Q105" s="220">
        <f t="shared" si="30"/>
        <v>0</v>
      </c>
      <c r="R105" s="534">
        <f t="shared" si="30"/>
        <v>70575229</v>
      </c>
      <c r="S105" s="220">
        <f>S97+S104</f>
        <v>64730731</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64730731</v>
      </c>
      <c r="T107" s="234">
        <f>T105+T106</f>
        <v>0</v>
      </c>
    </row>
    <row r="108" spans="1:21" s="300" customFormat="1">
      <c r="A108" s="233" t="s">
        <v>943</v>
      </c>
      <c r="B108" s="228"/>
      <c r="C108" s="228"/>
      <c r="D108" s="228"/>
      <c r="E108" s="464">
        <f>Application!AO650</f>
        <v>29452483</v>
      </c>
      <c r="F108" s="464">
        <f>Application!AO637</f>
        <v>33190000</v>
      </c>
      <c r="G108" s="464">
        <f>Application!AO638</f>
        <v>6000000</v>
      </c>
      <c r="H108" s="464">
        <f>Application!AO639</f>
        <v>132746</v>
      </c>
      <c r="I108" s="464">
        <f>Application!AO640</f>
        <v>1800000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5">
      <c r="A121" s="530" t="s">
        <v>1110</v>
      </c>
      <c r="B121" s="228"/>
      <c r="C121" s="228"/>
      <c r="D121" s="228"/>
    </row>
    <row r="122" spans="1:21">
      <c r="A122" s="515" t="s">
        <v>1094</v>
      </c>
      <c r="B122" s="514"/>
      <c r="C122" s="514"/>
      <c r="D122" s="2582" t="s">
        <v>1095</v>
      </c>
      <c r="E122" s="2582"/>
      <c r="F122" s="2582"/>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2" t="s">
        <v>1438</v>
      </c>
      <c r="E123" s="2573"/>
      <c r="F123" s="2573"/>
      <c r="G123" s="2573"/>
      <c r="H123" s="2573"/>
      <c r="I123" s="2573"/>
      <c r="J123" s="2573"/>
      <c r="K123" s="2573"/>
      <c r="L123" s="2573"/>
      <c r="M123" s="2573"/>
      <c r="N123" s="2573"/>
      <c r="O123" s="2573"/>
      <c r="P123" s="2573"/>
      <c r="Q123" s="2573"/>
      <c r="R123" s="2573"/>
      <c r="S123" s="2573"/>
      <c r="T123" s="514"/>
      <c r="U123" s="516"/>
    </row>
    <row r="124" spans="1:21" ht="12.5">
      <c r="A124" s="513" t="s">
        <v>1097</v>
      </c>
      <c r="B124" s="523"/>
      <c r="C124" s="513"/>
      <c r="D124" s="2573"/>
      <c r="E124" s="2573"/>
      <c r="F124" s="2573"/>
      <c r="G124" s="2573"/>
      <c r="H124" s="2573"/>
      <c r="I124" s="2573"/>
      <c r="J124" s="2573"/>
      <c r="K124" s="2573"/>
      <c r="L124" s="2573"/>
      <c r="M124" s="2573"/>
      <c r="N124" s="2573"/>
      <c r="O124" s="2573"/>
      <c r="P124" s="2573"/>
      <c r="Q124" s="2573"/>
      <c r="R124" s="2573"/>
      <c r="S124" s="2573"/>
      <c r="T124" s="514"/>
      <c r="U124" s="516"/>
    </row>
    <row r="125" spans="1:21" ht="12.5">
      <c r="A125" s="513" t="s">
        <v>1098</v>
      </c>
      <c r="B125" s="523"/>
      <c r="C125" s="513"/>
      <c r="D125" s="2573"/>
      <c r="E125" s="2573"/>
      <c r="F125" s="2573"/>
      <c r="G125" s="2573"/>
      <c r="H125" s="2573"/>
      <c r="I125" s="2573"/>
      <c r="J125" s="2573"/>
      <c r="K125" s="2573"/>
      <c r="L125" s="2573"/>
      <c r="M125" s="2573"/>
      <c r="N125" s="2573"/>
      <c r="O125" s="2573"/>
      <c r="P125" s="2573"/>
      <c r="Q125" s="2573"/>
      <c r="R125" s="2573"/>
      <c r="S125" s="2573"/>
      <c r="T125" s="514"/>
      <c r="U125" s="516"/>
    </row>
    <row r="126" spans="1:21" ht="12.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1101</v>
      </c>
      <c r="B128" s="523"/>
      <c r="C128" s="513"/>
      <c r="D128" s="2580"/>
      <c r="E128" s="2580"/>
      <c r="F128" s="2580"/>
      <c r="G128" s="2580"/>
      <c r="H128" s="2580"/>
      <c r="I128" s="513"/>
      <c r="J128" s="2571"/>
      <c r="K128" s="2571"/>
      <c r="L128" s="513"/>
      <c r="M128" s="513"/>
      <c r="N128" s="513"/>
      <c r="O128" s="513"/>
      <c r="P128" s="513"/>
      <c r="Q128" s="513"/>
      <c r="R128" s="513"/>
      <c r="S128" s="513"/>
      <c r="T128" s="514"/>
      <c r="U128" s="516"/>
    </row>
    <row r="129" spans="1:21" ht="12.5">
      <c r="A129" s="513" t="s">
        <v>308</v>
      </c>
      <c r="B129" s="523"/>
      <c r="C129" s="513"/>
      <c r="D129" s="2581" t="s">
        <v>1102</v>
      </c>
      <c r="E129" s="2581"/>
      <c r="F129" s="2581"/>
      <c r="G129" s="2581"/>
      <c r="H129" s="2581"/>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1104</v>
      </c>
      <c r="B131" s="524">
        <f>SUM(B123:B129)</f>
        <v>0</v>
      </c>
      <c r="C131" s="513"/>
      <c r="D131" s="2246"/>
      <c r="E131" s="2246"/>
      <c r="F131" s="2246"/>
      <c r="G131" s="2246"/>
      <c r="H131" s="2246"/>
      <c r="I131" s="513"/>
      <c r="J131" s="2246"/>
      <c r="K131" s="2246"/>
      <c r="L131" s="2246"/>
      <c r="M131" s="2246"/>
      <c r="N131" s="513"/>
      <c r="O131" s="513"/>
      <c r="P131" s="513"/>
      <c r="Q131" s="513"/>
      <c r="R131" s="513"/>
      <c r="S131" s="513"/>
      <c r="T131" s="514"/>
      <c r="U131" s="516"/>
    </row>
    <row r="132" spans="1:21" ht="12" customHeight="1">
      <c r="A132" s="527"/>
      <c r="B132" s="513"/>
      <c r="C132" s="513"/>
      <c r="D132" s="2574" t="s">
        <v>1105</v>
      </c>
      <c r="E132" s="2574"/>
      <c r="F132" s="2574"/>
      <c r="G132" s="2574"/>
      <c r="H132" s="2574"/>
      <c r="I132" s="513"/>
      <c r="J132" s="2574" t="s">
        <v>1106</v>
      </c>
      <c r="K132" s="2574"/>
      <c r="L132" s="2574"/>
      <c r="M132" s="2574"/>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5"/>
      <c r="B138" s="2576"/>
      <c r="C138" s="2576"/>
      <c r="D138" s="518"/>
      <c r="E138" s="2571"/>
      <c r="F138" s="2571"/>
      <c r="G138" s="513"/>
      <c r="H138" s="513"/>
      <c r="I138" s="513"/>
      <c r="J138" s="513"/>
      <c r="K138" s="513"/>
      <c r="L138" s="513"/>
      <c r="M138" s="513"/>
      <c r="N138" s="513"/>
      <c r="O138" s="513"/>
      <c r="P138" s="513"/>
      <c r="Q138" s="513"/>
      <c r="R138" s="513"/>
      <c r="S138" s="513"/>
      <c r="T138" s="520"/>
      <c r="U138" s="521"/>
    </row>
    <row r="139" spans="1:21" ht="13">
      <c r="A139" s="2569" t="s">
        <v>1109</v>
      </c>
      <c r="B139" s="2570"/>
      <c r="C139" s="2570"/>
      <c r="D139" s="518"/>
      <c r="E139" s="513" t="s">
        <v>1103</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52" stopIfTrue="1">
      <formula>T9&gt;C9</formula>
    </cfRule>
  </conditionalFormatting>
  <conditionalFormatting sqref="S10">
    <cfRule type="expression" dxfId="148" priority="251" stopIfTrue="1">
      <formula>(S10+T10)&gt;C10</formula>
    </cfRule>
  </conditionalFormatting>
  <conditionalFormatting sqref="R8">
    <cfRule type="cellIs" dxfId="147" priority="240" stopIfTrue="1" operator="notEqual">
      <formula>$B8</formula>
    </cfRule>
    <cfRule type="cellIs" priority="243" stopIfTrue="1" operator="notEqual">
      <formula>$B8</formula>
    </cfRule>
  </conditionalFormatting>
  <conditionalFormatting sqref="R4:R7 R56:R61 R45:R53 R83:R95 R99:R103">
    <cfRule type="cellIs" dxfId="146" priority="242" stopIfTrue="1" operator="notEqual">
      <formula>$B4</formula>
    </cfRule>
  </conditionalFormatting>
  <conditionalFormatting sqref="R9:R10">
    <cfRule type="cellIs" dxfId="145" priority="241" stopIfTrue="1" operator="notEqual">
      <formula>$B9</formula>
    </cfRule>
  </conditionalFormatting>
  <conditionalFormatting sqref="R11:R12">
    <cfRule type="cellIs" dxfId="144" priority="238" stopIfTrue="1" operator="notEqual">
      <formula>$B11</formula>
    </cfRule>
    <cfRule type="cellIs" priority="239" stopIfTrue="1" operator="notEqual">
      <formula>$B11</formula>
    </cfRule>
  </conditionalFormatting>
  <conditionalFormatting sqref="R13:R15">
    <cfRule type="cellIs" dxfId="143" priority="237" stopIfTrue="1" operator="notEqual">
      <formula>$B13</formula>
    </cfRule>
  </conditionalFormatting>
  <conditionalFormatting sqref="R26">
    <cfRule type="cellIs" dxfId="142" priority="235" stopIfTrue="1" operator="notEqual">
      <formula>$B26</formula>
    </cfRule>
    <cfRule type="cellIs" priority="236" stopIfTrue="1" operator="notEqual">
      <formula>$B26</formula>
    </cfRule>
  </conditionalFormatting>
  <conditionalFormatting sqref="R17:R25">
    <cfRule type="cellIs" dxfId="141" priority="234" stopIfTrue="1" operator="notEqual">
      <formula>$B17</formula>
    </cfRule>
  </conditionalFormatting>
  <conditionalFormatting sqref="R27">
    <cfRule type="cellIs" dxfId="140" priority="233" stopIfTrue="1" operator="notEqual">
      <formula>$B27</formula>
    </cfRule>
  </conditionalFormatting>
  <conditionalFormatting sqref="R38">
    <cfRule type="cellIs" dxfId="139" priority="231" stopIfTrue="1" operator="notEqual">
      <formula>$B38</formula>
    </cfRule>
    <cfRule type="cellIs" priority="232" stopIfTrue="1" operator="notEqual">
      <formula>$B38</formula>
    </cfRule>
  </conditionalFormatting>
  <conditionalFormatting sqref="R29:R37">
    <cfRule type="cellIs" dxfId="138" priority="230" stopIfTrue="1" operator="notEqual">
      <formula>$B29</formula>
    </cfRule>
  </conditionalFormatting>
  <conditionalFormatting sqref="R42">
    <cfRule type="cellIs" dxfId="137" priority="228" stopIfTrue="1" operator="notEqual">
      <formula>$B42</formula>
    </cfRule>
    <cfRule type="cellIs" priority="229" stopIfTrue="1" operator="notEqual">
      <formula>$B42</formula>
    </cfRule>
  </conditionalFormatting>
  <conditionalFormatting sqref="R40:R41">
    <cfRule type="cellIs" dxfId="136" priority="227" stopIfTrue="1" operator="notEqual">
      <formula>$B40</formula>
    </cfRule>
  </conditionalFormatting>
  <conditionalFormatting sqref="R43">
    <cfRule type="cellIs" dxfId="135" priority="226" stopIfTrue="1" operator="notEqual">
      <formula>$B43</formula>
    </cfRule>
  </conditionalFormatting>
  <conditionalFormatting sqref="R54">
    <cfRule type="cellIs" dxfId="134" priority="224" stopIfTrue="1" operator="notEqual">
      <formula>$B54</formula>
    </cfRule>
    <cfRule type="cellIs" priority="225" stopIfTrue="1" operator="notEqual">
      <formula>$B54</formula>
    </cfRule>
  </conditionalFormatting>
  <conditionalFormatting sqref="R62:R63">
    <cfRule type="cellIs" dxfId="133" priority="221" stopIfTrue="1" operator="notEqual">
      <formula>$B62</formula>
    </cfRule>
    <cfRule type="cellIs" priority="222" stopIfTrue="1" operator="notEqual">
      <formula>$B62</formula>
    </cfRule>
  </conditionalFormatting>
  <conditionalFormatting sqref="R70">
    <cfRule type="cellIs" dxfId="132" priority="218" stopIfTrue="1" operator="notEqual">
      <formula>$B70</formula>
    </cfRule>
    <cfRule type="cellIs" priority="219" stopIfTrue="1" operator="notEqual">
      <formula>$B70</formula>
    </cfRule>
  </conditionalFormatting>
  <conditionalFormatting sqref="R65:R69">
    <cfRule type="cellIs" dxfId="131" priority="217" stopIfTrue="1" operator="notEqual">
      <formula>$B65</formula>
    </cfRule>
  </conditionalFormatting>
  <conditionalFormatting sqref="R77">
    <cfRule type="cellIs" dxfId="130" priority="215" stopIfTrue="1" operator="notEqual">
      <formula>$B77</formula>
    </cfRule>
    <cfRule type="cellIs" priority="216" stopIfTrue="1" operator="notEqual">
      <formula>$B77</formula>
    </cfRule>
  </conditionalFormatting>
  <conditionalFormatting sqref="R96">
    <cfRule type="cellIs" dxfId="129" priority="213" stopIfTrue="1" operator="notEqual">
      <formula>$B96</formula>
    </cfRule>
    <cfRule type="cellIs" priority="214" stopIfTrue="1" operator="notEqual">
      <formula>$B96</formula>
    </cfRule>
  </conditionalFormatting>
  <conditionalFormatting sqref="R72:R76">
    <cfRule type="cellIs" dxfId="128" priority="212" stopIfTrue="1" operator="notEqual">
      <formula>$B72</formula>
    </cfRule>
  </conditionalFormatting>
  <conditionalFormatting sqref="R79:R80">
    <cfRule type="cellIs" dxfId="127" priority="211" stopIfTrue="1" operator="notEqual">
      <formula>$B79</formula>
    </cfRule>
  </conditionalFormatting>
  <conditionalFormatting sqref="R104:R105">
    <cfRule type="cellIs" dxfId="126" priority="208" stopIfTrue="1" operator="notEqual">
      <formula>$B104</formula>
    </cfRule>
    <cfRule type="cellIs" priority="209" stopIfTrue="1" operator="notEqual">
      <formula>$B104</formula>
    </cfRule>
  </conditionalFormatting>
  <conditionalFormatting sqref="E105:Q105">
    <cfRule type="cellIs" dxfId="125" priority="206" stopIfTrue="1" operator="notEqual">
      <formula>E$108</formula>
    </cfRule>
  </conditionalFormatting>
  <conditionalFormatting sqref="S13">
    <cfRule type="expression" dxfId="124" priority="203" stopIfTrue="1">
      <formula>(S13+T13)&gt;C13</formula>
    </cfRule>
  </conditionalFormatting>
  <conditionalFormatting sqref="S14">
    <cfRule type="expression" dxfId="123" priority="200" stopIfTrue="1">
      <formula>(S14+T14)&gt;C14</formula>
    </cfRule>
  </conditionalFormatting>
  <conditionalFormatting sqref="S17">
    <cfRule type="expression" dxfId="122" priority="199" stopIfTrue="1">
      <formula>(S17+T17)&gt;C17</formula>
    </cfRule>
  </conditionalFormatting>
  <conditionalFormatting sqref="S18">
    <cfRule type="expression" dxfId="121" priority="191" stopIfTrue="1">
      <formula>(S18+T18)&gt;C18</formula>
    </cfRule>
  </conditionalFormatting>
  <conditionalFormatting sqref="S19">
    <cfRule type="expression" dxfId="120" priority="189" stopIfTrue="1">
      <formula>(S19+T19)&gt;C19</formula>
    </cfRule>
  </conditionalFormatting>
  <conditionalFormatting sqref="S20">
    <cfRule type="expression" dxfId="119" priority="188" stopIfTrue="1">
      <formula>(S20+T20)&gt;C20</formula>
    </cfRule>
  </conditionalFormatting>
  <conditionalFormatting sqref="S21">
    <cfRule type="expression" dxfId="118" priority="187" stopIfTrue="1">
      <formula>(S21+T21)&gt;C21</formula>
    </cfRule>
  </conditionalFormatting>
  <conditionalFormatting sqref="S22">
    <cfRule type="expression" dxfId="117" priority="186" stopIfTrue="1">
      <formula>(S22+T22)&gt;C22</formula>
    </cfRule>
  </conditionalFormatting>
  <conditionalFormatting sqref="S23:S24">
    <cfRule type="expression" dxfId="116" priority="185" stopIfTrue="1">
      <formula>(S23+T23)&gt;C23</formula>
    </cfRule>
  </conditionalFormatting>
  <conditionalFormatting sqref="S25">
    <cfRule type="expression" dxfId="115" priority="184" stopIfTrue="1">
      <formula>(S25+T25)&gt;C25</formula>
    </cfRule>
  </conditionalFormatting>
  <conditionalFormatting sqref="S27">
    <cfRule type="expression" dxfId="114" priority="177" stopIfTrue="1">
      <formula>(S27+T27)&gt;C27</formula>
    </cfRule>
  </conditionalFormatting>
  <conditionalFormatting sqref="S29">
    <cfRule type="expression" dxfId="113" priority="175" stopIfTrue="1">
      <formula>(S29+T29)&gt;C29</formula>
    </cfRule>
  </conditionalFormatting>
  <conditionalFormatting sqref="S34">
    <cfRule type="expression" dxfId="112" priority="169" stopIfTrue="1">
      <formula>(S34+T34)&gt;C34</formula>
    </cfRule>
  </conditionalFormatting>
  <conditionalFormatting sqref="S37">
    <cfRule type="expression" dxfId="111" priority="167" stopIfTrue="1">
      <formula>(S37+T37)&gt;C37</formula>
    </cfRule>
  </conditionalFormatting>
  <conditionalFormatting sqref="S40">
    <cfRule type="expression" dxfId="110" priority="159" stopIfTrue="1">
      <formula>(S40+T40)&gt;C40</formula>
    </cfRule>
  </conditionalFormatting>
  <conditionalFormatting sqref="S41">
    <cfRule type="expression" dxfId="109" priority="158" stopIfTrue="1">
      <formula>(S41+T41)&gt;C41</formula>
    </cfRule>
  </conditionalFormatting>
  <conditionalFormatting sqref="S43">
    <cfRule type="expression" dxfId="108" priority="155" stopIfTrue="1">
      <formula>(S43+T43)&gt;C43</formula>
    </cfRule>
  </conditionalFormatting>
  <conditionalFormatting sqref="S45">
    <cfRule type="expression" dxfId="107" priority="153" stopIfTrue="1">
      <formula>(S45+T45)&gt;C45</formula>
    </cfRule>
  </conditionalFormatting>
  <conditionalFormatting sqref="S46">
    <cfRule type="expression" dxfId="106" priority="148" stopIfTrue="1">
      <formula>(S46+T46)&gt;C46</formula>
    </cfRule>
  </conditionalFormatting>
  <conditionalFormatting sqref="S47">
    <cfRule type="expression" dxfId="105" priority="147" stopIfTrue="1">
      <formula>(S47+T47)&gt;C47</formula>
    </cfRule>
  </conditionalFormatting>
  <conditionalFormatting sqref="S48">
    <cfRule type="expression" dxfId="104" priority="146" stopIfTrue="1">
      <formula>(S48+T48)&gt;C48</formula>
    </cfRule>
  </conditionalFormatting>
  <conditionalFormatting sqref="S49">
    <cfRule type="expression" dxfId="103" priority="145" stopIfTrue="1">
      <formula>(S49+T49)&gt;C49</formula>
    </cfRule>
  </conditionalFormatting>
  <conditionalFormatting sqref="S50">
    <cfRule type="expression" dxfId="102" priority="144" stopIfTrue="1">
      <formula>(S50+T50)&gt;C50</formula>
    </cfRule>
  </conditionalFormatting>
  <conditionalFormatting sqref="S51">
    <cfRule type="expression" dxfId="101" priority="143" stopIfTrue="1">
      <formula>(S51+T51)&gt;C51</formula>
    </cfRule>
  </conditionalFormatting>
  <conditionalFormatting sqref="S52">
    <cfRule type="expression" dxfId="100" priority="142" stopIfTrue="1">
      <formula>(S52+T52)&gt;C52</formula>
    </cfRule>
  </conditionalFormatting>
  <conditionalFormatting sqref="S53">
    <cfRule type="expression" dxfId="99" priority="140" stopIfTrue="1">
      <formula>(S53+T53)&gt;C53</formula>
    </cfRule>
  </conditionalFormatting>
  <conditionalFormatting sqref="S65:S68">
    <cfRule type="expression" dxfId="98" priority="130" stopIfTrue="1">
      <formula>(S65+T65)&gt;C65</formula>
    </cfRule>
  </conditionalFormatting>
  <conditionalFormatting sqref="S69">
    <cfRule type="expression" dxfId="97" priority="129" stopIfTrue="1">
      <formula>(S69+T69)&gt;C69</formula>
    </cfRule>
  </conditionalFormatting>
  <conditionalFormatting sqref="S79">
    <cfRule type="expression" dxfId="96" priority="126" stopIfTrue="1">
      <formula>(S79+T79)&gt;C79</formula>
    </cfRule>
  </conditionalFormatting>
  <conditionalFormatting sqref="S80">
    <cfRule type="expression" dxfId="95" priority="125" stopIfTrue="1">
      <formula>(S80+T80)&gt;C80</formula>
    </cfRule>
  </conditionalFormatting>
  <conditionalFormatting sqref="S84">
    <cfRule type="expression" dxfId="94" priority="122" stopIfTrue="1">
      <formula>(S84+T84)&gt;C84</formula>
    </cfRule>
  </conditionalFormatting>
  <conditionalFormatting sqref="S85">
    <cfRule type="expression" dxfId="93" priority="121" stopIfTrue="1">
      <formula>(S85+T85)&gt;C85</formula>
    </cfRule>
  </conditionalFormatting>
  <conditionalFormatting sqref="S86">
    <cfRule type="expression" dxfId="92" priority="120" stopIfTrue="1">
      <formula>(S86+T86)&gt;C86</formula>
    </cfRule>
  </conditionalFormatting>
  <conditionalFormatting sqref="S87">
    <cfRule type="expression" dxfId="91" priority="119" stopIfTrue="1">
      <formula>(S87+T87)&gt;C87</formula>
    </cfRule>
  </conditionalFormatting>
  <conditionalFormatting sqref="S89">
    <cfRule type="expression" dxfId="90" priority="114" stopIfTrue="1">
      <formula>(S89+T89)&gt;C89</formula>
    </cfRule>
  </conditionalFormatting>
  <conditionalFormatting sqref="S90">
    <cfRule type="expression" dxfId="89" priority="113" stopIfTrue="1">
      <formula>(S90+T90)&gt;C90</formula>
    </cfRule>
  </conditionalFormatting>
  <conditionalFormatting sqref="S91">
    <cfRule type="expression" dxfId="88" priority="112" stopIfTrue="1">
      <formula>(S91+T91)&gt;C91</formula>
    </cfRule>
  </conditionalFormatting>
  <conditionalFormatting sqref="S92">
    <cfRule type="expression" dxfId="87" priority="111" stopIfTrue="1">
      <formula>(S92+T92)&gt;C92</formula>
    </cfRule>
  </conditionalFormatting>
  <conditionalFormatting sqref="S93">
    <cfRule type="expression" dxfId="86" priority="110" stopIfTrue="1">
      <formula>(S93+T93)&gt;C93</formula>
    </cfRule>
  </conditionalFormatting>
  <conditionalFormatting sqref="S94">
    <cfRule type="expression" dxfId="85" priority="109" stopIfTrue="1">
      <formula>(S94+T94)&gt;C94</formula>
    </cfRule>
  </conditionalFormatting>
  <conditionalFormatting sqref="S95">
    <cfRule type="expression" dxfId="84" priority="108" stopIfTrue="1">
      <formula>(S95+T95)&gt;C95</formula>
    </cfRule>
  </conditionalFormatting>
  <conditionalFormatting sqref="S99">
    <cfRule type="expression" dxfId="83" priority="96" stopIfTrue="1">
      <formula>(S99+T99)&gt;C99</formula>
    </cfRule>
  </conditionalFormatting>
  <conditionalFormatting sqref="S100">
    <cfRule type="expression" dxfId="82" priority="95" stopIfTrue="1">
      <formula>(S100+T100)&gt;C100</formula>
    </cfRule>
  </conditionalFormatting>
  <conditionalFormatting sqref="S101">
    <cfRule type="expression" dxfId="81" priority="93" stopIfTrue="1">
      <formula>(S101+T101)&gt;C101</formula>
    </cfRule>
  </conditionalFormatting>
  <conditionalFormatting sqref="S102">
    <cfRule type="expression" dxfId="80" priority="92" stopIfTrue="1">
      <formula>(S102+T102)&gt;C102</formula>
    </cfRule>
  </conditionalFormatting>
  <conditionalFormatting sqref="S103">
    <cfRule type="expression" dxfId="79" priority="91" stopIfTrue="1">
      <formula>(S103+T103)&gt;C103</formula>
    </cfRule>
  </conditionalFormatting>
  <conditionalFormatting sqref="C10">
    <cfRule type="expression" dxfId="78" priority="83">
      <formula>"(S10+T10)&gt;C10 "</formula>
    </cfRule>
  </conditionalFormatting>
  <conditionalFormatting sqref="T10">
    <cfRule type="expression" dxfId="77" priority="81" stopIfTrue="1">
      <formula>(S10+T10)&gt;C10</formula>
    </cfRule>
  </conditionalFormatting>
  <conditionalFormatting sqref="T13">
    <cfRule type="expression" dxfId="76" priority="79" stopIfTrue="1">
      <formula>(S13+T13)&gt;C13</formula>
    </cfRule>
  </conditionalFormatting>
  <conditionalFormatting sqref="T14">
    <cfRule type="expression" dxfId="75" priority="78" stopIfTrue="1">
      <formula>(S14+T14)&gt;C14</formula>
    </cfRule>
  </conditionalFormatting>
  <conditionalFormatting sqref="T17">
    <cfRule type="expression" dxfId="74" priority="77" stopIfTrue="1">
      <formula>(S17+T17)&gt;C17</formula>
    </cfRule>
  </conditionalFormatting>
  <conditionalFormatting sqref="T18">
    <cfRule type="expression" dxfId="73" priority="60" stopIfTrue="1">
      <formula>(S18+T18)&gt;C18</formula>
    </cfRule>
  </conditionalFormatting>
  <conditionalFormatting sqref="T19">
    <cfRule type="expression" dxfId="72" priority="59" stopIfTrue="1">
      <formula>(S19+T19)&gt;C19</formula>
    </cfRule>
  </conditionalFormatting>
  <conditionalFormatting sqref="T20">
    <cfRule type="expression" dxfId="71" priority="58" stopIfTrue="1">
      <formula>(S20+T20)&gt;C20</formula>
    </cfRule>
  </conditionalFormatting>
  <conditionalFormatting sqref="T21">
    <cfRule type="expression" dxfId="70" priority="57" stopIfTrue="1">
      <formula>(S21+T21)&gt;C21</formula>
    </cfRule>
  </conditionalFormatting>
  <conditionalFormatting sqref="T22">
    <cfRule type="expression" dxfId="69" priority="56" stopIfTrue="1">
      <formula>(S22+T22)&gt;C22</formula>
    </cfRule>
  </conditionalFormatting>
  <conditionalFormatting sqref="T23:T24">
    <cfRule type="expression" dxfId="68" priority="55" stopIfTrue="1">
      <formula>(S23+T23)&gt;C23</formula>
    </cfRule>
  </conditionalFormatting>
  <conditionalFormatting sqref="T25">
    <cfRule type="expression" dxfId="67" priority="54" stopIfTrue="1">
      <formula>(S25+T25)&gt;C25</formula>
    </cfRule>
  </conditionalFormatting>
  <conditionalFormatting sqref="T27">
    <cfRule type="expression" dxfId="66" priority="52" stopIfTrue="1">
      <formula>(S27+T27)&gt;C27</formula>
    </cfRule>
  </conditionalFormatting>
  <conditionalFormatting sqref="T29">
    <cfRule type="expression" dxfId="65" priority="51" stopIfTrue="1">
      <formula>(S29+T29)&gt;C29</formula>
    </cfRule>
  </conditionalFormatting>
  <conditionalFormatting sqref="T30">
    <cfRule type="expression" dxfId="64" priority="49" stopIfTrue="1">
      <formula>(S30+T30)&gt;C30</formula>
    </cfRule>
  </conditionalFormatting>
  <conditionalFormatting sqref="T31">
    <cfRule type="expression" dxfId="63" priority="48" stopIfTrue="1">
      <formula>(S31+T31)&gt;C31</formula>
    </cfRule>
  </conditionalFormatting>
  <conditionalFormatting sqref="T32">
    <cfRule type="expression" dxfId="62" priority="47" stopIfTrue="1">
      <formula>(S32+T32)&gt;C32</formula>
    </cfRule>
  </conditionalFormatting>
  <conditionalFormatting sqref="T33">
    <cfRule type="expression" dxfId="61" priority="46" stopIfTrue="1">
      <formula>(S33+T33)&gt;C33</formula>
    </cfRule>
  </conditionalFormatting>
  <conditionalFormatting sqref="T34">
    <cfRule type="expression" dxfId="60" priority="45" stopIfTrue="1">
      <formula>(S34+T34)&gt;C34</formula>
    </cfRule>
  </conditionalFormatting>
  <conditionalFormatting sqref="T35:T36">
    <cfRule type="expression" dxfId="59" priority="44" stopIfTrue="1">
      <formula>(S35+T35)&gt;C35</formula>
    </cfRule>
  </conditionalFormatting>
  <conditionalFormatting sqref="T37">
    <cfRule type="expression" dxfId="58" priority="43" stopIfTrue="1">
      <formula>(S37+T37)&gt;C37</formula>
    </cfRule>
  </conditionalFormatting>
  <conditionalFormatting sqref="T40">
    <cfRule type="expression" dxfId="57" priority="42" stopIfTrue="1">
      <formula>(S40+T40)&gt;C40</formula>
    </cfRule>
  </conditionalFormatting>
  <conditionalFormatting sqref="T41">
    <cfRule type="expression" dxfId="56" priority="41" stopIfTrue="1">
      <formula>(S41+T41)&gt;C41</formula>
    </cfRule>
  </conditionalFormatting>
  <conditionalFormatting sqref="T43">
    <cfRule type="expression" dxfId="55" priority="40" stopIfTrue="1">
      <formula>(S43+T43)&gt;C43</formula>
    </cfRule>
  </conditionalFormatting>
  <conditionalFormatting sqref="T45">
    <cfRule type="expression" dxfId="54" priority="39" stopIfTrue="1">
      <formula>(S45+T45)&gt;C45</formula>
    </cfRule>
  </conditionalFormatting>
  <conditionalFormatting sqref="T46">
    <cfRule type="expression" dxfId="53" priority="38" stopIfTrue="1">
      <formula>(S46+T46)&gt;C46</formula>
    </cfRule>
  </conditionalFormatting>
  <conditionalFormatting sqref="T47">
    <cfRule type="expression" dxfId="52" priority="37" stopIfTrue="1">
      <formula>(S47+T47)&gt;C47</formula>
    </cfRule>
  </conditionalFormatting>
  <conditionalFormatting sqref="T48">
    <cfRule type="expression" dxfId="51" priority="36" stopIfTrue="1">
      <formula>(S48+T48)&gt;C48</formula>
    </cfRule>
  </conditionalFormatting>
  <conditionalFormatting sqref="T49">
    <cfRule type="expression" dxfId="50" priority="35" stopIfTrue="1">
      <formula>(S49+T49)&gt;C49</formula>
    </cfRule>
  </conditionalFormatting>
  <conditionalFormatting sqref="T50">
    <cfRule type="expression" dxfId="49" priority="34" stopIfTrue="1">
      <formula>(S50+T50)&gt;C50</formula>
    </cfRule>
  </conditionalFormatting>
  <conditionalFormatting sqref="T51">
    <cfRule type="expression" dxfId="48" priority="33" stopIfTrue="1">
      <formula>(S51+T51)&gt;C51</formula>
    </cfRule>
  </conditionalFormatting>
  <conditionalFormatting sqref="T52">
    <cfRule type="expression" dxfId="47" priority="32" stopIfTrue="1">
      <formula>(S52+T52)&gt;C52</formula>
    </cfRule>
  </conditionalFormatting>
  <conditionalFormatting sqref="T53">
    <cfRule type="expression" dxfId="46" priority="30" stopIfTrue="1">
      <formula>(S53+T53)&gt;C53</formula>
    </cfRule>
  </conditionalFormatting>
  <conditionalFormatting sqref="T65:T68">
    <cfRule type="expression" dxfId="45" priority="29" stopIfTrue="1">
      <formula>(S65+T65)&gt;C65</formula>
    </cfRule>
  </conditionalFormatting>
  <conditionalFormatting sqref="T69">
    <cfRule type="expression" dxfId="44" priority="28" stopIfTrue="1">
      <formula>(S69+T69)&gt;C69</formula>
    </cfRule>
  </conditionalFormatting>
  <conditionalFormatting sqref="T79">
    <cfRule type="expression" dxfId="43" priority="27" stopIfTrue="1">
      <formula>(S79+T79)&gt;C79</formula>
    </cfRule>
  </conditionalFormatting>
  <conditionalFormatting sqref="T80">
    <cfRule type="expression" dxfId="42" priority="26" stopIfTrue="1">
      <formula>(S80+T80)&gt;C80</formula>
    </cfRule>
  </conditionalFormatting>
  <conditionalFormatting sqref="T84">
    <cfRule type="expression" dxfId="41" priority="25" stopIfTrue="1">
      <formula>(S84+T84)&gt;C84</formula>
    </cfRule>
  </conditionalFormatting>
  <conditionalFormatting sqref="T85">
    <cfRule type="expression" dxfId="40" priority="24" stopIfTrue="1">
      <formula>(S85+T85)&gt;C85</formula>
    </cfRule>
  </conditionalFormatting>
  <conditionalFormatting sqref="T86">
    <cfRule type="expression" dxfId="39" priority="23" stopIfTrue="1">
      <formula>(S86+T86)&gt;C86</formula>
    </cfRule>
  </conditionalFormatting>
  <conditionalFormatting sqref="T87">
    <cfRule type="expression" dxfId="38" priority="22" stopIfTrue="1">
      <formula>(S87+T87)&gt;C87</formula>
    </cfRule>
  </conditionalFormatting>
  <conditionalFormatting sqref="T89">
    <cfRule type="expression" dxfId="37" priority="21" stopIfTrue="1">
      <formula>(S89+T89)&gt;C89</formula>
    </cfRule>
  </conditionalFormatting>
  <conditionalFormatting sqref="T90">
    <cfRule type="expression" dxfId="36" priority="20" stopIfTrue="1">
      <formula>(S90+T90)&gt;C90</formula>
    </cfRule>
  </conditionalFormatting>
  <conditionalFormatting sqref="T91">
    <cfRule type="expression" dxfId="35" priority="19" stopIfTrue="1">
      <formula>(S91+T91)&gt;C91</formula>
    </cfRule>
  </conditionalFormatting>
  <conditionalFormatting sqref="T92">
    <cfRule type="expression" dxfId="34" priority="18" stopIfTrue="1">
      <formula>(S92+T92)&gt;C92</formula>
    </cfRule>
  </conditionalFormatting>
  <conditionalFormatting sqref="T93">
    <cfRule type="expression" dxfId="33" priority="17" stopIfTrue="1">
      <formula>(S93+T93)&gt;C93</formula>
    </cfRule>
  </conditionalFormatting>
  <conditionalFormatting sqref="T94">
    <cfRule type="expression" dxfId="32" priority="16" stopIfTrue="1">
      <formula>(S94+T94)&gt;C94</formula>
    </cfRule>
  </conditionalFormatting>
  <conditionalFormatting sqref="T95">
    <cfRule type="expression" dxfId="31" priority="15" stopIfTrue="1">
      <formula>(S95+T95)&gt;C95</formula>
    </cfRule>
  </conditionalFormatting>
  <conditionalFormatting sqref="T99">
    <cfRule type="expression" dxfId="30" priority="12" stopIfTrue="1">
      <formula>(S99+T99)&gt;C99</formula>
    </cfRule>
  </conditionalFormatting>
  <conditionalFormatting sqref="T100">
    <cfRule type="expression" dxfId="29" priority="11" stopIfTrue="1">
      <formula>(S100+T100)&gt;C100</formula>
    </cfRule>
  </conditionalFormatting>
  <conditionalFormatting sqref="T101">
    <cfRule type="expression" dxfId="28" priority="9" stopIfTrue="1">
      <formula>(S101+T101)&gt;C101</formula>
    </cfRule>
  </conditionalFormatting>
  <conditionalFormatting sqref="T102">
    <cfRule type="expression" dxfId="27" priority="8" stopIfTrue="1">
      <formula>(S102+T102)&gt;C102</formula>
    </cfRule>
  </conditionalFormatting>
  <conditionalFormatting sqref="T103">
    <cfRule type="expression" dxfId="26" priority="7" stopIfTrue="1">
      <formula>(S103+T103)&gt;C103</formula>
    </cfRule>
  </conditionalFormatting>
  <conditionalFormatting sqref="S30">
    <cfRule type="expression" dxfId="25" priority="6" stopIfTrue="1">
      <formula>(S30+T30)&gt;C30</formula>
    </cfRule>
  </conditionalFormatting>
  <conditionalFormatting sqref="S31">
    <cfRule type="expression" dxfId="24" priority="5" stopIfTrue="1">
      <formula>(S31+T31)&gt;C31</formula>
    </cfRule>
  </conditionalFormatting>
  <conditionalFormatting sqref="S32">
    <cfRule type="expression" dxfId="23" priority="4" stopIfTrue="1">
      <formula>(S32+T32)&gt;C32</formula>
    </cfRule>
  </conditionalFormatting>
  <conditionalFormatting sqref="S33">
    <cfRule type="expression" dxfId="22" priority="3" stopIfTrue="1">
      <formula>(S33+T33)&gt;C33</formula>
    </cfRule>
  </conditionalFormatting>
  <conditionalFormatting sqref="S35">
    <cfRule type="expression" dxfId="21" priority="2" stopIfTrue="1">
      <formula>(S35+T35)&gt;C35</formula>
    </cfRule>
  </conditionalFormatting>
  <conditionalFormatting sqref="S36">
    <cfRule type="expression" dxfId="20" priority="1" stopIfTrue="1">
      <formula>(S36+T36)&gt;C36</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0" zoomScaleNormal="100" zoomScaleSheetLayoutView="100" workbookViewId="0">
      <selection activeCell="F81" sqref="F81"/>
    </sheetView>
  </sheetViews>
  <sheetFormatPr defaultColWidth="0" defaultRowHeight="11.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
      <c r="A1" s="2589" t="s">
        <v>1441</v>
      </c>
      <c r="B1" s="2590"/>
      <c r="C1" s="2590"/>
      <c r="D1" s="2590"/>
      <c r="E1" s="2590"/>
      <c r="F1" s="2590"/>
      <c r="G1" s="2590"/>
      <c r="H1" s="2590"/>
      <c r="I1" s="2590"/>
      <c r="J1" s="2591"/>
      <c r="K1" s="559"/>
    </row>
    <row r="2" spans="1:11" s="615" customFormat="1" ht="69">
      <c r="A2" s="611"/>
      <c r="B2" s="612" t="s">
        <v>1139</v>
      </c>
      <c r="C2" s="612" t="s">
        <v>1443</v>
      </c>
      <c r="D2" s="613" t="s">
        <v>1444</v>
      </c>
      <c r="E2" s="612" t="s">
        <v>1351</v>
      </c>
      <c r="F2" s="612" t="s">
        <v>1445</v>
      </c>
      <c r="G2" s="612" t="s">
        <v>1446</v>
      </c>
      <c r="H2" s="612" t="s">
        <v>1140</v>
      </c>
      <c r="I2" s="612" t="s">
        <v>1447</v>
      </c>
      <c r="J2" s="612" t="s">
        <v>1448</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877425</v>
      </c>
      <c r="C7" s="566">
        <f>B7</f>
        <v>877425</v>
      </c>
      <c r="D7" s="566"/>
      <c r="E7" s="567"/>
      <c r="F7" s="567"/>
      <c r="G7" s="567"/>
      <c r="H7" s="567"/>
      <c r="I7" s="567"/>
      <c r="J7" s="567"/>
      <c r="K7" s="563"/>
    </row>
    <row r="8" spans="1:11" s="564" customFormat="1">
      <c r="A8" s="569" t="s">
        <v>627</v>
      </c>
      <c r="B8" s="565">
        <f>'Sources and Uses Budget'!C8</f>
        <v>877425</v>
      </c>
      <c r="C8" s="565">
        <f>SUM(C4:C7)</f>
        <v>877425</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267100</v>
      </c>
      <c r="C10" s="566">
        <f>B10</f>
        <v>267100</v>
      </c>
      <c r="D10" s="566"/>
      <c r="E10" s="565">
        <f>'Sources and Uses Budget'!S10</f>
        <v>267100</v>
      </c>
      <c r="F10" s="566">
        <f>E10</f>
        <v>267100</v>
      </c>
      <c r="G10" s="566"/>
      <c r="H10" s="565">
        <f>'Sources and Uses Budget'!T10</f>
        <v>0</v>
      </c>
      <c r="I10" s="566"/>
      <c r="J10" s="566"/>
      <c r="K10" s="563"/>
    </row>
    <row r="11" spans="1:11" s="564" customFormat="1">
      <c r="A11" s="569" t="s">
        <v>630</v>
      </c>
      <c r="B11" s="565">
        <f>'Sources and Uses Budget'!C11</f>
        <v>267100</v>
      </c>
      <c r="C11" s="565">
        <f>SUM(C9:C10)</f>
        <v>267100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1144525</v>
      </c>
      <c r="C12" s="565">
        <f>SUM(C8+C11)</f>
        <v>1144525</v>
      </c>
      <c r="D12" s="565">
        <f>SUM(D8+D11)</f>
        <v>0</v>
      </c>
      <c r="E12" s="567"/>
      <c r="F12" s="567"/>
      <c r="G12" s="567"/>
      <c r="H12" s="567"/>
      <c r="I12" s="567"/>
      <c r="J12" s="567"/>
      <c r="K12" s="563"/>
    </row>
    <row r="13" spans="1:11" s="564" customFormat="1">
      <c r="A13" s="570" t="s">
        <v>970</v>
      </c>
      <c r="B13" s="565">
        <f>'Sources and Uses Budget'!C13</f>
        <v>868120</v>
      </c>
      <c r="C13" s="566">
        <f>B13</f>
        <v>868120</v>
      </c>
      <c r="D13" s="566"/>
      <c r="E13" s="565">
        <f>'Sources and Uses Budget'!S13</f>
        <v>868120</v>
      </c>
      <c r="F13" s="566">
        <f>E13</f>
        <v>868120</v>
      </c>
      <c r="G13" s="566"/>
      <c r="H13" s="565">
        <f>'Sources and Uses Budget'!T13</f>
        <v>0</v>
      </c>
      <c r="I13" s="566"/>
      <c r="J13" s="566"/>
      <c r="K13" s="563"/>
    </row>
    <row r="14" spans="1:11" s="564" customFormat="1" ht="23">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ht="12">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632</v>
      </c>
      <c r="B29" s="565">
        <f>'Sources and Uses Budget'!C29</f>
        <v>2539032</v>
      </c>
      <c r="C29" s="566">
        <f>B29</f>
        <v>2539032</v>
      </c>
      <c r="D29" s="566"/>
      <c r="E29" s="565">
        <f>'Sources and Uses Budget'!S29</f>
        <v>2539032</v>
      </c>
      <c r="F29" s="566">
        <f>E29</f>
        <v>2539032</v>
      </c>
      <c r="G29" s="566"/>
      <c r="H29" s="565">
        <f>'Sources and Uses Budget'!T29</f>
        <v>0</v>
      </c>
      <c r="I29" s="566"/>
      <c r="J29" s="566"/>
      <c r="K29" s="563"/>
    </row>
    <row r="30" spans="1:11" s="564" customFormat="1">
      <c r="A30" s="215" t="s">
        <v>633</v>
      </c>
      <c r="B30" s="565">
        <f>'Sources and Uses Budget'!C30</f>
        <v>33203516</v>
      </c>
      <c r="C30" s="566">
        <f>B30</f>
        <v>33203516</v>
      </c>
      <c r="D30" s="566"/>
      <c r="E30" s="565">
        <f>'Sources and Uses Budget'!S30</f>
        <v>33203516</v>
      </c>
      <c r="F30" s="566">
        <f>E30</f>
        <v>33203516</v>
      </c>
      <c r="G30" s="566"/>
      <c r="H30" s="565">
        <f>'Sources and Uses Budget'!T30</f>
        <v>0</v>
      </c>
      <c r="I30" s="566"/>
      <c r="J30" s="566"/>
      <c r="K30" s="563"/>
    </row>
    <row r="31" spans="1:11" s="564" customFormat="1">
      <c r="A31" s="215" t="s">
        <v>634</v>
      </c>
      <c r="B31" s="565">
        <f>'Sources and Uses Budget'!C31</f>
        <v>1751952</v>
      </c>
      <c r="C31" s="566">
        <f>B31</f>
        <v>1751952</v>
      </c>
      <c r="D31" s="566"/>
      <c r="E31" s="565">
        <f>'Sources and Uses Budget'!S31</f>
        <v>1751952</v>
      </c>
      <c r="F31" s="566">
        <f>E31</f>
        <v>1751952</v>
      </c>
      <c r="G31" s="566"/>
      <c r="H31" s="565">
        <f>'Sources and Uses Budget'!T31</f>
        <v>0</v>
      </c>
      <c r="I31" s="566"/>
      <c r="J31" s="566"/>
      <c r="K31" s="563"/>
    </row>
    <row r="32" spans="1:11" s="564" customFormat="1">
      <c r="A32" s="215" t="s">
        <v>142</v>
      </c>
      <c r="B32" s="565">
        <f>'Sources and Uses Budget'!C32</f>
        <v>1724718</v>
      </c>
      <c r="C32" s="566">
        <f>B32</f>
        <v>1724718</v>
      </c>
      <c r="D32" s="566"/>
      <c r="E32" s="565">
        <f>'Sources and Uses Budget'!S32</f>
        <v>1724718</v>
      </c>
      <c r="F32" s="566">
        <f>E32</f>
        <v>1724718</v>
      </c>
      <c r="G32" s="566"/>
      <c r="H32" s="565">
        <f>'Sources and Uses Budget'!T32</f>
        <v>0</v>
      </c>
      <c r="I32" s="566"/>
      <c r="J32" s="566"/>
      <c r="K32" s="563"/>
    </row>
    <row r="33" spans="1:11" s="564" customFormat="1">
      <c r="A33" s="215" t="s">
        <v>143</v>
      </c>
      <c r="B33" s="565">
        <f>'Sources and Uses Budget'!C33</f>
        <v>1724718</v>
      </c>
      <c r="C33" s="566">
        <f>B33</f>
        <v>1724718</v>
      </c>
      <c r="D33" s="566"/>
      <c r="E33" s="565">
        <f>'Sources and Uses Budget'!S33</f>
        <v>1724718</v>
      </c>
      <c r="F33" s="566">
        <f>E33</f>
        <v>1724718</v>
      </c>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828407</v>
      </c>
      <c r="C35" s="566">
        <f>B35</f>
        <v>828407</v>
      </c>
      <c r="D35" s="566"/>
      <c r="E35" s="565">
        <f>'Sources and Uses Budget'!S35</f>
        <v>828407</v>
      </c>
      <c r="F35" s="566">
        <f>E35</f>
        <v>828407</v>
      </c>
      <c r="G35" s="566"/>
      <c r="H35" s="565">
        <f>'Sources and Uses Budget'!T35</f>
        <v>0</v>
      </c>
      <c r="I35" s="566"/>
      <c r="J35" s="566"/>
      <c r="K35" s="563"/>
    </row>
    <row r="36" spans="1:11" s="564" customFormat="1">
      <c r="A36" s="858" t="s">
        <v>1993</v>
      </c>
      <c r="B36" s="565">
        <f>'Sources and Uses Budget'!C36</f>
        <v>45000</v>
      </c>
      <c r="C36" s="566">
        <f>B36</f>
        <v>45000</v>
      </c>
      <c r="D36" s="566"/>
      <c r="E36" s="565">
        <f>'Sources and Uses Budget'!S36</f>
        <v>45000</v>
      </c>
      <c r="F36" s="566">
        <f>E36</f>
        <v>45000</v>
      </c>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41817343</v>
      </c>
      <c r="C38" s="565">
        <f>SUM(C29:C37)</f>
        <v>41817343</v>
      </c>
      <c r="D38" s="565">
        <f>SUM(D29:D37)</f>
        <v>0</v>
      </c>
      <c r="E38" s="565">
        <f>'Sources and Uses Budget'!S38</f>
        <v>41817343</v>
      </c>
      <c r="F38" s="572">
        <f>SUM(F29:F37)</f>
        <v>41817343</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3168074</v>
      </c>
      <c r="C40" s="566">
        <f>B40</f>
        <v>3168074</v>
      </c>
      <c r="D40" s="566"/>
      <c r="E40" s="565">
        <f>'Sources and Uses Budget'!S40</f>
        <v>3168074</v>
      </c>
      <c r="F40" s="566">
        <f>E40</f>
        <v>3168074</v>
      </c>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3168074</v>
      </c>
      <c r="C42" s="565">
        <f>SUM(C39:C41)</f>
        <v>3168074</v>
      </c>
      <c r="D42" s="565">
        <f>SUM(D39:D41)</f>
        <v>0</v>
      </c>
      <c r="E42" s="565">
        <f>'Sources and Uses Budget'!S42</f>
        <v>3168074</v>
      </c>
      <c r="F42" s="572">
        <f>SUM(F40:F41)</f>
        <v>3168074</v>
      </c>
      <c r="G42" s="572">
        <f>SUM(G40:G41)</f>
        <v>0</v>
      </c>
      <c r="H42" s="565">
        <f>'Sources and Uses Budget'!T42</f>
        <v>0</v>
      </c>
      <c r="I42" s="572">
        <f>SUM(I40:I41)</f>
        <v>0</v>
      </c>
      <c r="J42" s="572">
        <f>SUM(J40:J41)</f>
        <v>0</v>
      </c>
      <c r="K42" s="563"/>
    </row>
    <row r="43" spans="1:11" s="564" customFormat="1">
      <c r="A43" s="569" t="s">
        <v>153</v>
      </c>
      <c r="B43" s="565">
        <f>'Sources and Uses Budget'!C43</f>
        <v>573948</v>
      </c>
      <c r="C43" s="566">
        <f>B43</f>
        <v>573948</v>
      </c>
      <c r="D43" s="566"/>
      <c r="E43" s="565">
        <f>'Sources and Uses Budget'!S43</f>
        <v>573948</v>
      </c>
      <c r="F43" s="566">
        <f>E43</f>
        <v>573948</v>
      </c>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2146558</v>
      </c>
      <c r="C45" s="566">
        <f>B45</f>
        <v>2146558</v>
      </c>
      <c r="D45" s="566"/>
      <c r="E45" s="565">
        <f>'Sources and Uses Budget'!S45</f>
        <v>2146558</v>
      </c>
      <c r="F45" s="566">
        <f>E45</f>
        <v>2146558</v>
      </c>
      <c r="G45" s="566"/>
      <c r="H45" s="565">
        <f>'Sources and Uses Budget'!T45</f>
        <v>0</v>
      </c>
      <c r="I45" s="566"/>
      <c r="J45" s="566"/>
      <c r="K45" s="563"/>
    </row>
    <row r="46" spans="1:11" s="564" customFormat="1">
      <c r="A46" s="568" t="s">
        <v>156</v>
      </c>
      <c r="B46" s="565">
        <f>'Sources and Uses Budget'!C46</f>
        <v>514500</v>
      </c>
      <c r="C46" s="566">
        <f>B46</f>
        <v>514500</v>
      </c>
      <c r="D46" s="566"/>
      <c r="E46" s="565">
        <f>'Sources and Uses Budget'!S46</f>
        <v>514500</v>
      </c>
      <c r="F46" s="566">
        <f>E46</f>
        <v>514500</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52500</v>
      </c>
      <c r="C50" s="566">
        <f>B50</f>
        <v>52500</v>
      </c>
      <c r="D50" s="566"/>
      <c r="E50" s="565">
        <f>'Sources and Uses Budget'!S50</f>
        <v>52500</v>
      </c>
      <c r="F50" s="566">
        <f>E50</f>
        <v>52500</v>
      </c>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2713558</v>
      </c>
      <c r="C54" s="572">
        <f>SUM(C45:C53)</f>
        <v>2713558</v>
      </c>
      <c r="D54" s="572">
        <f>SUM(D45:D53)</f>
        <v>0</v>
      </c>
      <c r="E54" s="565">
        <f>'Sources and Uses Budget'!S54</f>
        <v>2713558</v>
      </c>
      <c r="F54" s="572">
        <f>SUM(F45:F53)</f>
        <v>2713558</v>
      </c>
      <c r="G54" s="572">
        <f>SUM(G45:G53)</f>
        <v>0</v>
      </c>
      <c r="H54" s="565">
        <f>'Sources and Uses Budget'!T54</f>
        <v>0</v>
      </c>
      <c r="I54" s="572">
        <f>SUM(I45:I53)</f>
        <v>0</v>
      </c>
      <c r="J54" s="572">
        <f>SUM(J45:J53)</f>
        <v>0</v>
      </c>
      <c r="K54" s="574"/>
    </row>
    <row r="55" spans="1:11" s="564" customFormat="1" ht="12">
      <c r="A55" s="561" t="s">
        <v>439</v>
      </c>
      <c r="B55" s="562"/>
      <c r="C55" s="562"/>
      <c r="D55" s="562"/>
      <c r="E55" s="562"/>
      <c r="F55" s="562"/>
      <c r="G55" s="562"/>
      <c r="H55" s="562"/>
      <c r="I55" s="562"/>
      <c r="J55" s="562"/>
      <c r="K55" s="563"/>
    </row>
    <row r="56" spans="1:11" s="564" customFormat="1">
      <c r="A56" s="568" t="s">
        <v>163</v>
      </c>
      <c r="B56" s="565">
        <f>'Sources and Uses Budget'!C56</f>
        <v>225950</v>
      </c>
      <c r="C56" s="566">
        <f>B56</f>
        <v>225950</v>
      </c>
      <c r="D56" s="566"/>
      <c r="E56" s="567"/>
      <c r="F56" s="567"/>
      <c r="G56" s="567"/>
      <c r="H56" s="567"/>
      <c r="I56" s="567"/>
      <c r="J56" s="567"/>
      <c r="K56" s="563"/>
    </row>
    <row r="57" spans="1:11" s="564" customFormat="1" ht="12" customHeight="1">
      <c r="A57" s="568" t="s">
        <v>157</v>
      </c>
      <c r="B57" s="565">
        <f>'Sources and Uses Budget'!C57</f>
        <v>270290</v>
      </c>
      <c r="C57" s="566">
        <f>B57</f>
        <v>270290</v>
      </c>
      <c r="D57" s="566"/>
      <c r="E57" s="567"/>
      <c r="F57" s="567"/>
      <c r="G57" s="567"/>
      <c r="H57" s="567"/>
      <c r="I57" s="567"/>
      <c r="J57" s="567"/>
      <c r="K57" s="563"/>
    </row>
    <row r="58" spans="1:11" s="564" customFormat="1">
      <c r="A58" s="568" t="s">
        <v>161</v>
      </c>
      <c r="B58" s="565">
        <f>'Sources and Uses Budget'!C58</f>
        <v>85000</v>
      </c>
      <c r="C58" s="566">
        <f>B58</f>
        <v>85000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Interest prior to Conversion</v>
      </c>
      <c r="B61" s="565">
        <f>'Sources and Uses Budget'!C61</f>
        <v>1729818</v>
      </c>
      <c r="C61" s="566">
        <f>B61</f>
        <v>1729818</v>
      </c>
      <c r="D61" s="566"/>
      <c r="E61" s="567"/>
      <c r="F61" s="567"/>
      <c r="G61" s="567"/>
      <c r="H61" s="567"/>
      <c r="I61" s="567"/>
      <c r="J61" s="567"/>
      <c r="K61" s="563"/>
    </row>
    <row r="62" spans="1:11" s="564" customFormat="1" ht="13.75" customHeight="1">
      <c r="A62" s="569" t="s">
        <v>309</v>
      </c>
      <c r="B62" s="565">
        <f>'Sources and Uses Budget'!C62</f>
        <v>2311058</v>
      </c>
      <c r="C62" s="565">
        <f>SUM(C56:C61)</f>
        <v>2311058</v>
      </c>
      <c r="D62" s="565">
        <f>SUM(D56:D61)</f>
        <v>0</v>
      </c>
      <c r="E62" s="567"/>
      <c r="F62" s="567"/>
      <c r="G62" s="567"/>
      <c r="H62" s="567"/>
      <c r="I62" s="567"/>
      <c r="J62" s="567"/>
      <c r="K62" s="563"/>
    </row>
    <row r="63" spans="1:11" s="564" customFormat="1">
      <c r="A63" s="576" t="s">
        <v>310</v>
      </c>
      <c r="B63" s="565">
        <f>'Sources and Uses Budget'!C63</f>
        <v>52596626</v>
      </c>
      <c r="C63" s="565">
        <f>SUM(C8+C11+C13+C14+C15+C26+C27+C38+C42+C43+C54+C62)</f>
        <v>52596626</v>
      </c>
      <c r="D63" s="565">
        <f>SUM(D8+D11+D13+D14+D15+D26+D27+D38+D42+D43+D54+D62)</f>
        <v>0</v>
      </c>
      <c r="E63" s="565">
        <f>'Sources and Uses Budget'!S63</f>
        <v>49408143</v>
      </c>
      <c r="F63" s="565">
        <f>SUM(F10+F13+F14+F15+F26+F27+F38+F42+F43+F54)</f>
        <v>49408143</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0</v>
      </c>
      <c r="C65" s="566"/>
      <c r="D65" s="566"/>
      <c r="E65" s="565">
        <f>'Sources and Uses Budget'!S65</f>
        <v>0</v>
      </c>
      <c r="F65" s="566"/>
      <c r="G65" s="566"/>
      <c r="H65" s="565">
        <f>'Sources and Uses Budget'!T65</f>
        <v>0</v>
      </c>
      <c r="I65" s="566"/>
      <c r="J65" s="566"/>
      <c r="K65" s="563"/>
    </row>
    <row r="66" spans="1:11" s="564" customFormat="1" ht="23">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3">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f>'Sources and Uses Budget'!$A69</f>
        <v>0</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635</v>
      </c>
      <c r="B70" s="565">
        <f>'Sources and Uses Budget'!C70</f>
        <v>0</v>
      </c>
      <c r="C70" s="565">
        <f>SUM(C64:C69)</f>
        <v>0</v>
      </c>
      <c r="D70" s="565">
        <f>SUM(D64:D69)</f>
        <v>0</v>
      </c>
      <c r="E70" s="565">
        <f>'Sources and Uses Budget'!S70</f>
        <v>0</v>
      </c>
      <c r="F70" s="572">
        <f>SUM(F65:F69)</f>
        <v>0</v>
      </c>
      <c r="G70" s="572">
        <f>SUM(G65:G69)</f>
        <v>0</v>
      </c>
      <c r="H70" s="565">
        <f>'Sources and Uses Budget'!T70</f>
        <v>0</v>
      </c>
      <c r="I70" s="572">
        <f>SUM(I65:I69)</f>
        <v>0</v>
      </c>
      <c r="J70" s="572">
        <f>SUM(J65:J69)</f>
        <v>0</v>
      </c>
      <c r="K70" s="563"/>
    </row>
    <row r="71" spans="1:11" s="564" customFormat="1" ht="12">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655535</v>
      </c>
      <c r="C75" s="566">
        <f>B75</f>
        <v>655535</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655535</v>
      </c>
      <c r="C77" s="565">
        <f>SUM(C72:C76)</f>
        <v>655535</v>
      </c>
      <c r="D77" s="565">
        <f>SUM(D72:D76)</f>
        <v>0</v>
      </c>
      <c r="E77" s="567"/>
      <c r="F77" s="567"/>
      <c r="G77" s="567"/>
      <c r="H77" s="567"/>
      <c r="I77" s="567"/>
      <c r="J77" s="567"/>
      <c r="K77" s="563"/>
    </row>
    <row r="78" spans="1:11" s="564" customFormat="1" ht="12">
      <c r="A78" s="561" t="s">
        <v>1419</v>
      </c>
      <c r="B78" s="562"/>
      <c r="C78" s="562"/>
      <c r="D78" s="562"/>
      <c r="E78" s="562"/>
      <c r="F78" s="562"/>
      <c r="G78" s="562"/>
      <c r="H78" s="562"/>
      <c r="I78" s="562"/>
      <c r="J78" s="562"/>
      <c r="K78" s="563"/>
    </row>
    <row r="79" spans="1:11" s="564" customFormat="1">
      <c r="A79" s="568" t="s">
        <v>1421</v>
      </c>
      <c r="B79" s="565">
        <f>'Sources and Uses Budget'!C79</f>
        <v>3210879</v>
      </c>
      <c r="C79" s="566">
        <f>B79</f>
        <v>3210879</v>
      </c>
      <c r="D79" s="566"/>
      <c r="E79" s="565">
        <f>'Sources and Uses Budget'!S79</f>
        <v>3210879</v>
      </c>
      <c r="F79" s="566">
        <f>E79</f>
        <v>3210879</v>
      </c>
      <c r="G79" s="566"/>
      <c r="H79" s="565">
        <f>'Sources and Uses Budget'!T79</f>
        <v>0</v>
      </c>
      <c r="I79" s="566"/>
      <c r="J79" s="566"/>
      <c r="K79" s="563"/>
    </row>
    <row r="80" spans="1:11" s="564" customFormat="1">
      <c r="A80" s="568" t="s">
        <v>61</v>
      </c>
      <c r="B80" s="565">
        <f>'Sources and Uses Budget'!C80</f>
        <v>570058</v>
      </c>
      <c r="C80" s="566">
        <f>B80</f>
        <v>570058</v>
      </c>
      <c r="D80" s="566"/>
      <c r="E80" s="565">
        <f>'Sources and Uses Budget'!S80</f>
        <v>570058</v>
      </c>
      <c r="F80" s="566">
        <f>E80</f>
        <v>570058</v>
      </c>
      <c r="G80" s="566"/>
      <c r="H80" s="565">
        <f>'Sources and Uses Budget'!T80</f>
        <v>0</v>
      </c>
      <c r="I80" s="566"/>
      <c r="J80" s="566"/>
      <c r="K80" s="563"/>
    </row>
    <row r="81" spans="1:11" s="564" customFormat="1">
      <c r="A81" s="569" t="s">
        <v>1418</v>
      </c>
      <c r="B81" s="565">
        <f>'Sources and Uses Budget'!C81</f>
        <v>3780937</v>
      </c>
      <c r="C81" s="565">
        <f>SUM(C79:C80)</f>
        <v>3780937</v>
      </c>
      <c r="D81" s="565">
        <f>SUM(D79:D80)</f>
        <v>0</v>
      </c>
      <c r="E81" s="565">
        <f>'Sources and Uses Budget'!S81</f>
        <v>3780937</v>
      </c>
      <c r="F81" s="565">
        <f>SUM(F79:F80)</f>
        <v>3780937</v>
      </c>
      <c r="G81" s="565">
        <f>SUM(G79:G80)</f>
        <v>0</v>
      </c>
      <c r="H81" s="565">
        <f>'Sources and Uses Budget'!T81</f>
        <v>0</v>
      </c>
      <c r="I81" s="565">
        <f>SUM(I79:I80)</f>
        <v>0</v>
      </c>
      <c r="J81" s="565">
        <f>SUM(J79:J80)</f>
        <v>0</v>
      </c>
      <c r="K81" s="563"/>
    </row>
    <row r="82" spans="1:11" s="564" customFormat="1" ht="12">
      <c r="A82" s="561" t="s">
        <v>822</v>
      </c>
      <c r="B82" s="562"/>
      <c r="C82" s="562"/>
      <c r="D82" s="562"/>
      <c r="E82" s="562"/>
      <c r="F82" s="562"/>
      <c r="G82" s="562"/>
      <c r="H82" s="562"/>
      <c r="I82" s="562"/>
      <c r="J82" s="562"/>
      <c r="K82" s="563"/>
    </row>
    <row r="83" spans="1:11" s="564" customFormat="1" ht="13.75" customHeight="1">
      <c r="A83" s="215" t="s">
        <v>823</v>
      </c>
      <c r="B83" s="565">
        <f>'Sources and Uses Budget'!C83</f>
        <v>96570</v>
      </c>
      <c r="C83" s="566">
        <f>B83</f>
        <v>96570</v>
      </c>
      <c r="D83" s="566"/>
      <c r="E83" s="567"/>
      <c r="F83" s="567"/>
      <c r="G83" s="567"/>
      <c r="H83" s="567"/>
      <c r="I83" s="567"/>
      <c r="J83" s="567"/>
      <c r="K83" s="563"/>
    </row>
    <row r="84" spans="1:11" s="564" customFormat="1">
      <c r="A84" s="215" t="s">
        <v>824</v>
      </c>
      <c r="B84" s="565">
        <f>'Sources and Uses Budget'!C84</f>
        <v>0</v>
      </c>
      <c r="C84" s="566"/>
      <c r="D84" s="566"/>
      <c r="E84" s="565">
        <f>'Sources and Uses Budget'!S84</f>
        <v>0</v>
      </c>
      <c r="F84" s="566"/>
      <c r="G84" s="566"/>
      <c r="H84" s="565">
        <f>'Sources and Uses Budget'!T84</f>
        <v>0</v>
      </c>
      <c r="I84" s="566"/>
      <c r="J84" s="566"/>
      <c r="K84" s="563"/>
    </row>
    <row r="85" spans="1:11" s="564" customFormat="1">
      <c r="A85" s="215" t="s">
        <v>825</v>
      </c>
      <c r="B85" s="565">
        <f>'Sources and Uses Budget'!C85</f>
        <v>5617951</v>
      </c>
      <c r="C85" s="566">
        <f>B85</f>
        <v>5617951</v>
      </c>
      <c r="D85" s="566"/>
      <c r="E85" s="565">
        <f>'Sources and Uses Budget'!S85</f>
        <v>5617951</v>
      </c>
      <c r="F85" s="566">
        <f>E85</f>
        <v>5617951</v>
      </c>
      <c r="G85" s="566"/>
      <c r="H85" s="565">
        <f>'Sources and Uses Budget'!T85</f>
        <v>0</v>
      </c>
      <c r="I85" s="566"/>
      <c r="J85" s="566"/>
      <c r="K85" s="563"/>
    </row>
    <row r="86" spans="1:11" s="564" customFormat="1">
      <c r="A86" s="215" t="s">
        <v>826</v>
      </c>
      <c r="B86" s="565">
        <f>'Sources and Uses Budget'!C86</f>
        <v>1847700</v>
      </c>
      <c r="C86" s="566">
        <f>B86</f>
        <v>1847700</v>
      </c>
      <c r="D86" s="566"/>
      <c r="E86" s="565">
        <f>'Sources and Uses Budget'!S86</f>
        <v>1847700</v>
      </c>
      <c r="F86" s="566">
        <f>E86</f>
        <v>1847700</v>
      </c>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50000</v>
      </c>
      <c r="C88" s="566">
        <f t="shared" ref="C88:C94" si="0">B88</f>
        <v>50000</v>
      </c>
      <c r="D88" s="566"/>
      <c r="E88" s="567"/>
      <c r="F88" s="567"/>
      <c r="G88" s="567"/>
      <c r="H88" s="567"/>
      <c r="I88" s="567"/>
      <c r="J88" s="567"/>
      <c r="K88" s="563"/>
    </row>
    <row r="89" spans="1:11" s="564" customFormat="1">
      <c r="A89" s="215" t="s">
        <v>829</v>
      </c>
      <c r="B89" s="565">
        <f>'Sources and Uses Budget'!C89</f>
        <v>290000</v>
      </c>
      <c r="C89" s="566">
        <f t="shared" si="0"/>
        <v>290000</v>
      </c>
      <c r="D89" s="566"/>
      <c r="E89" s="565">
        <f>'Sources and Uses Budget'!S89</f>
        <v>290000</v>
      </c>
      <c r="F89" s="566">
        <f>E89</f>
        <v>290000</v>
      </c>
      <c r="G89" s="566"/>
      <c r="H89" s="565">
        <f>'Sources and Uses Budget'!T89</f>
        <v>0</v>
      </c>
      <c r="I89" s="566"/>
      <c r="J89" s="566"/>
      <c r="K89" s="563"/>
    </row>
    <row r="90" spans="1:11" s="564" customFormat="1">
      <c r="A90" s="215" t="s">
        <v>830</v>
      </c>
      <c r="B90" s="565">
        <f>'Sources and Uses Budget'!C90</f>
        <v>7500</v>
      </c>
      <c r="C90" s="566">
        <f t="shared" si="0"/>
        <v>7500</v>
      </c>
      <c r="D90" s="566"/>
      <c r="E90" s="565">
        <f>'Sources and Uses Budget'!S90</f>
        <v>7500</v>
      </c>
      <c r="F90" s="566">
        <f>E90</f>
        <v>7500</v>
      </c>
      <c r="G90" s="566"/>
      <c r="H90" s="565">
        <f>'Sources and Uses Budget'!T90</f>
        <v>0</v>
      </c>
      <c r="I90" s="566"/>
      <c r="J90" s="566"/>
      <c r="K90" s="563"/>
    </row>
    <row r="91" spans="1:11" s="564" customFormat="1">
      <c r="A91" s="226" t="s">
        <v>390</v>
      </c>
      <c r="B91" s="565">
        <f>'Sources and Uses Budget'!C91</f>
        <v>25000</v>
      </c>
      <c r="C91" s="566">
        <f t="shared" si="0"/>
        <v>25000</v>
      </c>
      <c r="D91" s="566"/>
      <c r="E91" s="565">
        <f>'Sources and Uses Budget'!S91</f>
        <v>25000</v>
      </c>
      <c r="F91" s="566">
        <f>E91</f>
        <v>25000</v>
      </c>
      <c r="G91" s="566"/>
      <c r="H91" s="565">
        <f>'Sources and Uses Budget'!T91</f>
        <v>0</v>
      </c>
      <c r="I91" s="566"/>
      <c r="J91" s="566"/>
      <c r="K91" s="563"/>
    </row>
    <row r="92" spans="1:11" s="564" customFormat="1">
      <c r="A92" s="858" t="s">
        <v>1420</v>
      </c>
      <c r="B92" s="565">
        <f>'Sources and Uses Budget'!C92</f>
        <v>3500</v>
      </c>
      <c r="C92" s="566">
        <f t="shared" si="0"/>
        <v>3500</v>
      </c>
      <c r="D92" s="566"/>
      <c r="E92" s="565">
        <f>'Sources and Uses Budget'!S92</f>
        <v>3500</v>
      </c>
      <c r="F92" s="566">
        <f>E92</f>
        <v>3500</v>
      </c>
      <c r="G92" s="566"/>
      <c r="H92" s="565">
        <f>'Sources and Uses Budget'!T92</f>
        <v>0</v>
      </c>
      <c r="I92" s="566"/>
      <c r="J92" s="566"/>
      <c r="K92" s="563"/>
    </row>
    <row r="93" spans="1:11" s="564" customFormat="1">
      <c r="A93" s="571" t="str">
        <f>'Sources and Uses Budget'!$A93</f>
        <v>Construction Staging</v>
      </c>
      <c r="B93" s="565">
        <f>'Sources and Uses Budget'!C93</f>
        <v>250000</v>
      </c>
      <c r="C93" s="566">
        <f t="shared" si="0"/>
        <v>250000</v>
      </c>
      <c r="D93" s="566"/>
      <c r="E93" s="565">
        <f>'Sources and Uses Budget'!S93</f>
        <v>250000</v>
      </c>
      <c r="F93" s="566">
        <f>E93</f>
        <v>250000</v>
      </c>
      <c r="G93" s="566"/>
      <c r="H93" s="565">
        <f>'Sources and Uses Budget'!T93</f>
        <v>0</v>
      </c>
      <c r="I93" s="566"/>
      <c r="J93" s="566"/>
      <c r="K93" s="563"/>
    </row>
    <row r="94" spans="1:11" s="564" customFormat="1">
      <c r="A94" s="571" t="str">
        <f>'Sources and Uses Budget'!$A94</f>
        <v>Relocation</v>
      </c>
      <c r="B94" s="565">
        <f>'Sources and Uses Budget'!C94</f>
        <v>253230</v>
      </c>
      <c r="C94" s="566">
        <f t="shared" si="0"/>
        <v>253230</v>
      </c>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8441451</v>
      </c>
      <c r="C96" s="565">
        <f>SUM(C83:C95)</f>
        <v>8441451</v>
      </c>
      <c r="D96" s="565">
        <f>SUM(D83:D95)</f>
        <v>0</v>
      </c>
      <c r="E96" s="565">
        <f>'Sources and Uses Budget'!S96</f>
        <v>8041651</v>
      </c>
      <c r="F96" s="572">
        <f>SUM(F84:F87,F89:F95)</f>
        <v>8041651</v>
      </c>
      <c r="G96" s="572">
        <f>SUM(G84:G87,G89:G95)</f>
        <v>0</v>
      </c>
      <c r="H96" s="565">
        <f>'Sources and Uses Budget'!T96</f>
        <v>0</v>
      </c>
      <c r="I96" s="565">
        <f>SUM(I84:I87,I89:I95)</f>
        <v>0</v>
      </c>
      <c r="J96" s="565">
        <f>SUM(J84:J87,J89:J95)</f>
        <v>0</v>
      </c>
      <c r="K96" s="563"/>
    </row>
    <row r="97" spans="1:11" s="564" customFormat="1">
      <c r="A97" s="569" t="s">
        <v>1141</v>
      </c>
      <c r="B97" s="565">
        <f>'Sources and Uses Budget'!C97</f>
        <v>65474549</v>
      </c>
      <c r="C97" s="565">
        <f>SUM(C63+C70+C77+C81+C96)</f>
        <v>65474549</v>
      </c>
      <c r="D97" s="565">
        <f>SUM(D63+D70+D77+D81+D96)</f>
        <v>0</v>
      </c>
      <c r="E97" s="565">
        <f>'Sources and Uses Budget'!S97</f>
        <v>61230731</v>
      </c>
      <c r="F97" s="572">
        <f>SUM(+F63+F70+F81+F96)</f>
        <v>61230731</v>
      </c>
      <c r="G97" s="572">
        <f>SUM(+G63+G70+G81+G96)</f>
        <v>0</v>
      </c>
      <c r="H97" s="565">
        <f>'Sources and Uses Budget'!T97</f>
        <v>0</v>
      </c>
      <c r="I97" s="572">
        <f>SUM(I63+I70+I81+I96)</f>
        <v>0</v>
      </c>
      <c r="J97" s="572">
        <f>SUM(J63+J70+J81+J96)</f>
        <v>0</v>
      </c>
      <c r="K97" s="563"/>
    </row>
    <row r="98" spans="1:11" s="564" customFormat="1" ht="12">
      <c r="A98" s="561" t="s">
        <v>833</v>
      </c>
      <c r="B98" s="562"/>
      <c r="C98" s="562"/>
      <c r="D98" s="562"/>
      <c r="E98" s="562"/>
      <c r="F98" s="562"/>
      <c r="G98" s="562"/>
      <c r="H98" s="562"/>
      <c r="I98" s="562"/>
      <c r="J98" s="562"/>
      <c r="K98" s="563"/>
    </row>
    <row r="99" spans="1:11" s="564" customFormat="1">
      <c r="A99" s="215" t="s">
        <v>834</v>
      </c>
      <c r="B99" s="565">
        <f>'Sources and Uses Budget'!C99</f>
        <v>3500000</v>
      </c>
      <c r="C99" s="566">
        <f>B99</f>
        <v>3500000</v>
      </c>
      <c r="D99" s="566"/>
      <c r="E99" s="565">
        <f>'Sources and Uses Budget'!S99</f>
        <v>3500000</v>
      </c>
      <c r="F99" s="566">
        <f>E99</f>
        <v>3500000</v>
      </c>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3500000</v>
      </c>
      <c r="C104" s="565">
        <f>SUM(C99:C103)</f>
        <v>3500000</v>
      </c>
      <c r="D104" s="565">
        <f>SUM(D99:D103)</f>
        <v>0</v>
      </c>
      <c r="E104" s="565">
        <f>'Sources and Uses Budget'!S104</f>
        <v>3500000</v>
      </c>
      <c r="F104" s="572">
        <f>SUM(F99:F103)</f>
        <v>3500000</v>
      </c>
      <c r="G104" s="572">
        <f>SUM(G99:G103)</f>
        <v>0</v>
      </c>
      <c r="H104" s="565">
        <f>'Sources and Uses Budget'!T104</f>
        <v>0</v>
      </c>
      <c r="I104" s="572">
        <f>SUM(I99:I103)</f>
        <v>0</v>
      </c>
      <c r="J104" s="572">
        <f>SUM(J99:J103)</f>
        <v>0</v>
      </c>
      <c r="K104" s="563"/>
    </row>
    <row r="105" spans="1:11" s="564" customFormat="1">
      <c r="A105" s="569" t="s">
        <v>1142</v>
      </c>
      <c r="B105" s="565">
        <f>'Sources and Uses Budget'!C105</f>
        <v>68974549</v>
      </c>
      <c r="C105" s="572">
        <f>SUM(C97+C104)</f>
        <v>68974549</v>
      </c>
      <c r="D105" s="572">
        <f>SUM(D97+D104)</f>
        <v>0</v>
      </c>
      <c r="E105" s="565">
        <f>'Sources and Uses Budget'!S105</f>
        <v>64730731</v>
      </c>
      <c r="F105" s="572">
        <f>F97+F104</f>
        <v>64730731</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64730731</v>
      </c>
      <c r="F107" s="581">
        <f>F105+F106</f>
        <v>64730731</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3"/>
      <c r="E124" s="2584"/>
      <c r="F124" s="2584"/>
      <c r="G124" s="2584"/>
      <c r="H124" s="2584"/>
      <c r="I124" s="2584"/>
      <c r="J124" s="583"/>
      <c r="K124" s="563"/>
    </row>
    <row r="125" spans="1:11" s="564" customFormat="1" ht="12.5">
      <c r="A125" s="594"/>
      <c r="B125" s="593"/>
      <c r="C125" s="594"/>
      <c r="D125" s="2584"/>
      <c r="E125" s="2584"/>
      <c r="F125" s="2584"/>
      <c r="G125" s="2584"/>
      <c r="H125" s="2584"/>
      <c r="I125" s="2584"/>
      <c r="J125" s="583"/>
      <c r="K125" s="563"/>
    </row>
    <row r="126" spans="1:11" s="564" customFormat="1" ht="12.5">
      <c r="A126" s="594"/>
      <c r="B126" s="593"/>
      <c r="C126" s="594"/>
      <c r="D126" s="2584"/>
      <c r="E126" s="2584"/>
      <c r="F126" s="2584"/>
      <c r="G126" s="2584"/>
      <c r="H126" s="2584"/>
      <c r="I126" s="2584"/>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585"/>
      <c r="B139" s="2586"/>
      <c r="C139" s="2586"/>
      <c r="D139" s="606"/>
      <c r="E139" s="594"/>
      <c r="F139" s="594"/>
      <c r="G139" s="594"/>
    </row>
    <row r="140" spans="1:11" ht="12" customHeight="1">
      <c r="A140" s="2587"/>
      <c r="B140" s="2588"/>
      <c r="C140" s="2588"/>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31" zoomScale="120" zoomScaleNormal="120" workbookViewId="0">
      <selection activeCell="AP4" sqref="AP4:AU4"/>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592" t="s">
        <v>2032</v>
      </c>
      <c r="B1" s="2593"/>
      <c r="C1" s="2593"/>
      <c r="D1" s="2593"/>
      <c r="E1" s="2593"/>
      <c r="F1" s="2593"/>
      <c r="G1" s="2593"/>
      <c r="H1" s="2593"/>
      <c r="I1" s="2593"/>
      <c r="J1" s="2593"/>
      <c r="K1" s="2593"/>
      <c r="L1" s="2593"/>
      <c r="M1" s="2593"/>
      <c r="N1" s="2593"/>
      <c r="O1" s="2593"/>
      <c r="P1" s="2593"/>
      <c r="Q1" s="2593"/>
      <c r="R1" s="2593"/>
      <c r="S1" s="2593"/>
      <c r="T1" s="2593"/>
      <c r="U1" s="2593"/>
      <c r="V1" s="2593"/>
      <c r="W1" s="2593"/>
      <c r="X1" s="2593"/>
      <c r="Y1" s="2593"/>
      <c r="Z1" s="2593"/>
      <c r="AA1" s="2593"/>
      <c r="AB1" s="2593"/>
      <c r="AC1" s="2593"/>
      <c r="AD1" s="2593"/>
      <c r="AE1" s="2593"/>
      <c r="AF1" s="2593"/>
      <c r="AG1" s="2593"/>
      <c r="AH1" s="2593"/>
      <c r="AI1" s="2593"/>
      <c r="AJ1" s="2593"/>
      <c r="AK1" s="2593"/>
      <c r="AL1" s="2593"/>
      <c r="AM1" s="2593"/>
      <c r="AN1" s="2593"/>
      <c r="AO1" s="2593"/>
      <c r="AP1" s="2593"/>
      <c r="AQ1" s="2593"/>
      <c r="AR1" s="2593"/>
      <c r="AS1" s="2593"/>
      <c r="AT1" s="2593"/>
      <c r="AU1" s="2593"/>
      <c r="AV1" s="2593"/>
      <c r="AW1" s="2593"/>
      <c r="AX1" s="2593"/>
      <c r="AY1" s="2593"/>
      <c r="AZ1" s="2593"/>
      <c r="BA1" s="2593"/>
      <c r="BB1" s="2593"/>
      <c r="BC1" s="2593"/>
      <c r="BD1" s="2593"/>
      <c r="BE1" s="2594"/>
    </row>
    <row r="2" spans="1:58" ht="15.75" customHeight="1">
      <c r="A2" s="2595" t="s">
        <v>2033</v>
      </c>
      <c r="B2" s="2596"/>
      <c r="C2" s="2596"/>
      <c r="D2" s="2596"/>
      <c r="E2" s="2596"/>
      <c r="F2" s="2596"/>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c r="AO2" s="2596"/>
      <c r="AP2" s="2596"/>
      <c r="AQ2" s="2596"/>
      <c r="AR2" s="2596"/>
      <c r="AS2" s="2596"/>
      <c r="AT2" s="2596"/>
      <c r="AU2" s="2596"/>
      <c r="AV2" s="2596"/>
      <c r="AW2" s="2596"/>
      <c r="AX2" s="2596"/>
      <c r="AY2" s="2596"/>
      <c r="AZ2" s="2596"/>
      <c r="BA2" s="2596"/>
      <c r="BB2" s="2596"/>
      <c r="BC2" s="2596"/>
      <c r="BD2" s="2596"/>
      <c r="BE2" s="2597"/>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598" t="str">
        <f>IF(Application!H18="","",Application!H18)</f>
        <v>Mainline North Apartments</v>
      </c>
      <c r="M4" s="2599"/>
      <c r="N4" s="2599"/>
      <c r="O4" s="2599"/>
      <c r="P4" s="2599"/>
      <c r="Q4" s="2599"/>
      <c r="R4" s="2599"/>
      <c r="S4" s="2599"/>
      <c r="T4" s="2599"/>
      <c r="U4" s="2599"/>
      <c r="V4" s="2599"/>
      <c r="W4" s="2599"/>
      <c r="X4" s="2599"/>
      <c r="Y4" s="2599"/>
      <c r="Z4" s="2599"/>
      <c r="AA4" s="2599"/>
      <c r="AB4" s="2599"/>
      <c r="AC4" s="2600"/>
      <c r="AD4" s="1529"/>
      <c r="AE4" s="1529"/>
      <c r="AF4" s="2601" t="s">
        <v>2034</v>
      </c>
      <c r="AG4" s="2602"/>
      <c r="AH4" s="2602"/>
      <c r="AI4" s="2602"/>
      <c r="AJ4" s="2602"/>
      <c r="AK4" s="2602"/>
      <c r="AL4" s="2602"/>
      <c r="AM4" s="2602"/>
      <c r="AN4" s="2602"/>
      <c r="AO4" s="2602"/>
      <c r="AP4" s="2603">
        <v>44197</v>
      </c>
      <c r="AQ4" s="2604"/>
      <c r="AR4" s="2604"/>
      <c r="AS4" s="2604"/>
      <c r="AT4" s="2604"/>
      <c r="AU4" s="2605"/>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6" t="s">
        <v>2035</v>
      </c>
      <c r="AG5" s="2607"/>
      <c r="AH5" s="2607"/>
      <c r="AI5" s="2607"/>
      <c r="AJ5" s="2607"/>
      <c r="AK5" s="2607"/>
      <c r="AL5" s="2607"/>
      <c r="AM5" s="2607"/>
      <c r="AN5" s="2607"/>
      <c r="AO5" s="2607"/>
      <c r="AP5" s="2603">
        <v>44197</v>
      </c>
      <c r="AQ5" s="2604"/>
      <c r="AR5" s="2604"/>
      <c r="AS5" s="2604"/>
      <c r="AT5" s="2604"/>
      <c r="AU5" s="2605"/>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22" t="str">
        <f>IF(Application!H16="","",Application!H16)</f>
        <v>Mainline North 701, L.P.</v>
      </c>
      <c r="M6" s="2623"/>
      <c r="N6" s="2623"/>
      <c r="O6" s="2623"/>
      <c r="P6" s="2623"/>
      <c r="Q6" s="2623"/>
      <c r="R6" s="2623"/>
      <c r="S6" s="2623"/>
      <c r="T6" s="2623"/>
      <c r="U6" s="2623"/>
      <c r="V6" s="2623"/>
      <c r="W6" s="2623"/>
      <c r="X6" s="2623"/>
      <c r="Y6" s="2623"/>
      <c r="Z6" s="2623"/>
      <c r="AA6" s="2623"/>
      <c r="AB6" s="2623"/>
      <c r="AC6" s="2624"/>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5" t="str">
        <f>Application!T196</f>
        <v>No</v>
      </c>
      <c r="AC8" s="2626"/>
      <c r="AD8" s="2627"/>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2039</v>
      </c>
      <c r="C10" s="1531"/>
      <c r="D10" s="1531"/>
      <c r="E10" s="1531"/>
      <c r="F10" s="1531"/>
      <c r="G10" s="1531"/>
      <c r="H10" s="1531"/>
      <c r="I10" s="1531"/>
      <c r="J10" s="1531"/>
      <c r="K10" s="1531"/>
      <c r="L10" s="1531"/>
      <c r="M10" s="1529"/>
      <c r="N10" s="2628" t="e">
        <f>VLOOKUP("CalHFA Permanent Loan",Application!C564:AS575,37,TRUE)</f>
        <v>#N/A</v>
      </c>
      <c r="O10" s="2629"/>
      <c r="P10" s="2629"/>
      <c r="Q10" s="2629"/>
      <c r="R10" s="2629"/>
      <c r="S10" s="2629"/>
      <c r="T10" s="2630"/>
      <c r="U10" s="1529"/>
      <c r="V10" s="1529"/>
      <c r="W10" s="1529"/>
      <c r="X10" s="2608" t="s">
        <v>2040</v>
      </c>
      <c r="Y10" s="2609"/>
      <c r="Z10" s="2609"/>
      <c r="AA10" s="2609"/>
      <c r="AB10" s="2609"/>
      <c r="AC10" s="2609"/>
      <c r="AD10" s="2609"/>
      <c r="AE10" s="2609"/>
      <c r="AF10" s="2609"/>
      <c r="AG10" s="2609"/>
      <c r="AH10" s="2609"/>
      <c r="AI10" s="2609"/>
      <c r="AJ10" s="2609"/>
      <c r="AK10" s="2610"/>
      <c r="AL10" s="2614">
        <f>Application!W471</f>
        <v>0</v>
      </c>
      <c r="AM10" s="2615"/>
      <c r="AN10" s="2615"/>
      <c r="AO10" s="2615"/>
      <c r="AP10" s="2616"/>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2041</v>
      </c>
      <c r="C11" s="1531"/>
      <c r="D11" s="1531"/>
      <c r="E11" s="1531"/>
      <c r="F11" s="1531"/>
      <c r="G11" s="1531"/>
      <c r="H11" s="1531"/>
      <c r="I11" s="1531"/>
      <c r="J11" s="1531"/>
      <c r="K11" s="1531"/>
      <c r="L11" s="1531"/>
      <c r="M11" s="1529"/>
      <c r="N11" s="2631">
        <f>Application!AA925</f>
        <v>0</v>
      </c>
      <c r="O11" s="2632"/>
      <c r="P11" s="2632"/>
      <c r="Q11" s="2632"/>
      <c r="R11" s="2632"/>
      <c r="S11" s="2632"/>
      <c r="T11" s="2633"/>
      <c r="U11" s="1529"/>
      <c r="V11" s="1529"/>
      <c r="W11" s="1529"/>
      <c r="X11" s="2634" t="s">
        <v>2042</v>
      </c>
      <c r="Y11" s="2635"/>
      <c r="Z11" s="2635"/>
      <c r="AA11" s="2635"/>
      <c r="AB11" s="2635"/>
      <c r="AC11" s="2635"/>
      <c r="AD11" s="2635"/>
      <c r="AE11" s="2635"/>
      <c r="AF11" s="2635"/>
      <c r="AG11" s="2635"/>
      <c r="AH11" s="2635"/>
      <c r="AI11" s="2635"/>
      <c r="AJ11" s="2635"/>
      <c r="AK11" s="2636"/>
      <c r="AL11" s="2611">
        <v>44197</v>
      </c>
      <c r="AM11" s="2612"/>
      <c r="AN11" s="2612"/>
      <c r="AO11" s="2612"/>
      <c r="AP11" s="2613"/>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8" t="s">
        <v>2043</v>
      </c>
      <c r="Y12" s="2609"/>
      <c r="Z12" s="2609"/>
      <c r="AA12" s="2609"/>
      <c r="AB12" s="2609"/>
      <c r="AC12" s="2609"/>
      <c r="AD12" s="2609"/>
      <c r="AE12" s="2609"/>
      <c r="AF12" s="2609"/>
      <c r="AG12" s="2609"/>
      <c r="AH12" s="2609"/>
      <c r="AI12" s="2609"/>
      <c r="AJ12" s="2609"/>
      <c r="AK12" s="2610"/>
      <c r="AL12" s="2611">
        <v>44197</v>
      </c>
      <c r="AM12" s="2612"/>
      <c r="AN12" s="2612"/>
      <c r="AO12" s="2612"/>
      <c r="AP12" s="2613"/>
      <c r="AQ12" s="1532"/>
      <c r="AR12" s="1532"/>
      <c r="AS12" s="1532"/>
      <c r="AT12" s="1532"/>
      <c r="AU12" s="1532"/>
      <c r="AV12" s="1529"/>
      <c r="AW12" s="1529"/>
      <c r="AX12" s="1529"/>
      <c r="AY12" s="1529"/>
      <c r="AZ12" s="1529"/>
      <c r="BA12" s="1529"/>
      <c r="BB12" s="1529"/>
      <c r="BC12" s="1529"/>
      <c r="BD12" s="1529"/>
      <c r="BE12" s="1535"/>
    </row>
    <row r="13" spans="1:58" ht="15" thickBot="1">
      <c r="A13" s="1818"/>
      <c r="B13" s="2608" t="s">
        <v>2044</v>
      </c>
      <c r="C13" s="2609"/>
      <c r="D13" s="2609"/>
      <c r="E13" s="2609"/>
      <c r="F13" s="2609"/>
      <c r="G13" s="2609"/>
      <c r="H13" s="2609"/>
      <c r="I13" s="2609"/>
      <c r="J13" s="2609"/>
      <c r="K13" s="2609"/>
      <c r="L13" s="2609"/>
      <c r="M13" s="2609"/>
      <c r="N13" s="2609"/>
      <c r="O13" s="2609"/>
      <c r="P13" s="2610"/>
      <c r="Q13" s="2617" t="s">
        <v>2038</v>
      </c>
      <c r="R13" s="2604"/>
      <c r="S13" s="2604"/>
      <c r="T13" s="2605"/>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5">
      <c r="A15" s="1818"/>
      <c r="B15" s="2618" t="s">
        <v>2045</v>
      </c>
      <c r="C15" s="2618"/>
      <c r="D15" s="2618"/>
      <c r="E15" s="2618"/>
      <c r="F15" s="2618"/>
      <c r="G15" s="2618"/>
      <c r="H15" s="2618"/>
      <c r="I15" s="2618"/>
      <c r="J15" s="2618"/>
      <c r="K15" s="2618"/>
      <c r="L15" s="2619"/>
      <c r="M15" s="2601" t="s">
        <v>2046</v>
      </c>
      <c r="N15" s="2602"/>
      <c r="O15" s="2602"/>
      <c r="P15" s="2602"/>
      <c r="Q15" s="2602"/>
      <c r="R15" s="2602"/>
      <c r="S15" s="2620" t="str">
        <f>IF(Application!AB214="","",Application!AB214)</f>
        <v/>
      </c>
      <c r="T15" s="2620"/>
      <c r="U15" s="2620"/>
      <c r="V15" s="2620"/>
      <c r="W15" s="2621"/>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5">
      <c r="A17" s="1818"/>
      <c r="B17" s="2637" t="s">
        <v>2047</v>
      </c>
      <c r="C17" s="2638"/>
      <c r="D17" s="2638"/>
      <c r="E17" s="2638"/>
      <c r="F17" s="2638"/>
      <c r="G17" s="2638"/>
      <c r="H17" s="2638"/>
      <c r="I17" s="2638"/>
      <c r="J17" s="2638"/>
      <c r="K17" s="2638"/>
      <c r="L17" s="2638"/>
      <c r="M17" s="2638"/>
      <c r="N17" s="2638"/>
      <c r="O17" s="2638"/>
      <c r="P17" s="2638"/>
      <c r="Q17" s="2638"/>
      <c r="R17" s="2638"/>
      <c r="S17" s="2638"/>
      <c r="T17" s="2638"/>
      <c r="U17" s="2638"/>
      <c r="V17" s="2638"/>
      <c r="W17" s="2638"/>
      <c r="X17" s="2638"/>
      <c r="Y17" s="2638"/>
      <c r="Z17" s="2638"/>
      <c r="AA17" s="2638"/>
      <c r="AB17" s="2638"/>
      <c r="AC17" s="2638"/>
      <c r="AD17" s="2638"/>
      <c r="AE17" s="2638"/>
      <c r="AF17" s="2638"/>
      <c r="AG17" s="2638"/>
      <c r="AH17" s="2638"/>
      <c r="AI17" s="2638"/>
      <c r="AJ17" s="2638"/>
      <c r="AK17" s="2638"/>
      <c r="AL17" s="2638"/>
      <c r="AM17" s="2638"/>
      <c r="AN17" s="2638"/>
      <c r="AO17" s="2638"/>
      <c r="AP17" s="2638"/>
      <c r="AQ17" s="2638"/>
      <c r="AR17" s="2638"/>
      <c r="AS17" s="2638"/>
      <c r="AT17" s="2638"/>
      <c r="AU17" s="2638"/>
      <c r="AV17" s="2638"/>
      <c r="AW17" s="2638"/>
      <c r="AX17" s="2638"/>
      <c r="AY17" s="2639"/>
      <c r="AZ17" s="1529"/>
      <c r="BA17" s="1529"/>
      <c r="BB17" s="1529"/>
      <c r="BC17" s="1529"/>
      <c r="BD17" s="1529"/>
      <c r="BE17" s="1535"/>
      <c r="BF17" s="1527"/>
    </row>
    <row r="18" spans="1:58" ht="15.75" customHeight="1">
      <c r="A18" s="1818"/>
      <c r="B18" s="2640" t="s">
        <v>2048</v>
      </c>
      <c r="C18" s="2641"/>
      <c r="D18" s="2641"/>
      <c r="E18" s="2641"/>
      <c r="F18" s="2641"/>
      <c r="G18" s="2641"/>
      <c r="H18" s="2641"/>
      <c r="I18" s="2642"/>
      <c r="J18" s="2643" t="s">
        <v>1880</v>
      </c>
      <c r="K18" s="2644"/>
      <c r="L18" s="2644"/>
      <c r="M18" s="2644"/>
      <c r="N18" s="2644"/>
      <c r="O18" s="2645"/>
      <c r="P18" s="2643" t="s">
        <v>333</v>
      </c>
      <c r="Q18" s="2644"/>
      <c r="R18" s="2644"/>
      <c r="S18" s="2644"/>
      <c r="T18" s="2644"/>
      <c r="U18" s="2645"/>
      <c r="V18" s="2643" t="s">
        <v>334</v>
      </c>
      <c r="W18" s="2644"/>
      <c r="X18" s="2644"/>
      <c r="Y18" s="2644"/>
      <c r="Z18" s="2644"/>
      <c r="AA18" s="2645"/>
      <c r="AB18" s="2643" t="s">
        <v>168</v>
      </c>
      <c r="AC18" s="2644"/>
      <c r="AD18" s="2644"/>
      <c r="AE18" s="2644"/>
      <c r="AF18" s="2644"/>
      <c r="AG18" s="2645"/>
      <c r="AH18" s="2643" t="s">
        <v>169</v>
      </c>
      <c r="AI18" s="2644"/>
      <c r="AJ18" s="2644"/>
      <c r="AK18" s="2644"/>
      <c r="AL18" s="2644"/>
      <c r="AM18" s="2645"/>
      <c r="AN18" s="2643" t="s">
        <v>170</v>
      </c>
      <c r="AO18" s="2644"/>
      <c r="AP18" s="2644"/>
      <c r="AQ18" s="2644"/>
      <c r="AR18" s="2644"/>
      <c r="AS18" s="2645"/>
      <c r="AT18" s="2643" t="s">
        <v>2049</v>
      </c>
      <c r="AU18" s="2644"/>
      <c r="AV18" s="2644"/>
      <c r="AW18" s="2644"/>
      <c r="AX18" s="2644"/>
      <c r="AY18" s="2646"/>
      <c r="AZ18" s="1529"/>
      <c r="BA18" s="1529"/>
      <c r="BB18" s="1529"/>
      <c r="BC18" s="1529"/>
      <c r="BD18" s="1529"/>
      <c r="BE18" s="1535"/>
    </row>
    <row r="19" spans="1:58" ht="14.5">
      <c r="A19" s="1818"/>
      <c r="B19" s="2653">
        <v>0.2</v>
      </c>
      <c r="C19" s="2654"/>
      <c r="D19" s="2654"/>
      <c r="E19" s="2654"/>
      <c r="F19" s="2654"/>
      <c r="G19" s="2654"/>
      <c r="H19" s="2654"/>
      <c r="I19" s="2654"/>
      <c r="J19" s="2643">
        <f>SUM(P19:AS19)</f>
        <v>0</v>
      </c>
      <c r="K19" s="2644"/>
      <c r="L19" s="2644"/>
      <c r="M19" s="2644"/>
      <c r="N19" s="2644"/>
      <c r="O19" s="2645"/>
      <c r="P19" s="2647" cm="1">
        <f t="array" ref="P19">SUMPRODUCT((Application!$B$728:$B$752 = 'CalHFA Addendum'!P$18)*(Application!$AH$728:$AH$752 = 'CalHFA Addendum'!$B19),Application!$G$728:$G$752)</f>
        <v>0</v>
      </c>
      <c r="Q19" s="2648"/>
      <c r="R19" s="2648"/>
      <c r="S19" s="2648"/>
      <c r="T19" s="2648"/>
      <c r="U19" s="2649"/>
      <c r="V19" s="2647" cm="1">
        <f t="array" ref="V19">SUMPRODUCT((Application!$B$728:$B$752 = 'CalHFA Addendum'!V$18)*(Application!$AH$728:$AH$752 = 'CalHFA Addendum'!$B19),Application!$G$728:$G$752)</f>
        <v>0</v>
      </c>
      <c r="W19" s="2648"/>
      <c r="X19" s="2648"/>
      <c r="Y19" s="2648"/>
      <c r="Z19" s="2648"/>
      <c r="AA19" s="2649"/>
      <c r="AB19" s="2647" cm="1">
        <f t="array" ref="AB19">SUMPRODUCT((Application!$B$728:$B$752 = 'CalHFA Addendum'!AB$18)*(Application!$AH$728:$AH$752 = 'CalHFA Addendum'!$B19),Application!$G$728:$G$752)</f>
        <v>0</v>
      </c>
      <c r="AC19" s="2648"/>
      <c r="AD19" s="2648"/>
      <c r="AE19" s="2648"/>
      <c r="AF19" s="2648"/>
      <c r="AG19" s="2649"/>
      <c r="AH19" s="2647" cm="1">
        <f t="array" ref="AH19">SUMPRODUCT((Application!$B$728:$B$752 = 'CalHFA Addendum'!AH$18)*(Application!$AH$728:$AH$752 = 'CalHFA Addendum'!$B19),Application!$G$728:$G$752)</f>
        <v>0</v>
      </c>
      <c r="AI19" s="2648"/>
      <c r="AJ19" s="2648"/>
      <c r="AK19" s="2648"/>
      <c r="AL19" s="2648"/>
      <c r="AM19" s="2649"/>
      <c r="AN19" s="2647" cm="1">
        <f t="array" ref="AN19">SUMPRODUCT((Application!$B$728:$B$752 = 'CalHFA Addendum'!AN$18)*(Application!$AH$728:$AH$752 = 'CalHFA Addendum'!$B19),Application!$G$728:$G$752)</f>
        <v>0</v>
      </c>
      <c r="AO19" s="2648"/>
      <c r="AP19" s="2648"/>
      <c r="AQ19" s="2648"/>
      <c r="AR19" s="2648"/>
      <c r="AS19" s="2649"/>
      <c r="AT19" s="2650">
        <f t="shared" ref="AT19:AT27" si="0">J19/$J$29</f>
        <v>0</v>
      </c>
      <c r="AU19" s="2651"/>
      <c r="AV19" s="2651"/>
      <c r="AW19" s="2651"/>
      <c r="AX19" s="2651"/>
      <c r="AY19" s="2652"/>
      <c r="AZ19" s="1536"/>
      <c r="BA19" s="1529"/>
      <c r="BB19" s="1529"/>
      <c r="BC19" s="1529"/>
      <c r="BD19" s="1529"/>
      <c r="BE19" s="1535"/>
    </row>
    <row r="20" spans="1:58" ht="15" customHeight="1">
      <c r="A20" s="1818"/>
      <c r="B20" s="2653">
        <v>0.3</v>
      </c>
      <c r="C20" s="2654"/>
      <c r="D20" s="2654"/>
      <c r="E20" s="2654"/>
      <c r="F20" s="2654"/>
      <c r="G20" s="2654"/>
      <c r="H20" s="2654"/>
      <c r="I20" s="2654"/>
      <c r="J20" s="2643">
        <f t="shared" ref="J20:J27" si="1">SUM(P20:AS20)</f>
        <v>15</v>
      </c>
      <c r="K20" s="2644"/>
      <c r="L20" s="2644"/>
      <c r="M20" s="2644"/>
      <c r="N20" s="2644"/>
      <c r="O20" s="2645"/>
      <c r="P20" s="2647" cm="1">
        <f t="array" ref="P20">SUMPRODUCT((Application!$B$728:$B$752 = 'CalHFA Addendum'!P$18)*(Application!$AH$728:$AH$752 = 'CalHFA Addendum'!$B20),Application!$G$728:$G$752)</f>
        <v>9</v>
      </c>
      <c r="Q20" s="2648"/>
      <c r="R20" s="2648"/>
      <c r="S20" s="2648"/>
      <c r="T20" s="2648"/>
      <c r="U20" s="2649"/>
      <c r="V20" s="2647" cm="1">
        <f t="array" ref="V20">SUMPRODUCT((Application!$B$728:$B$752 = 'CalHFA Addendum'!V$18)*(Application!$AH$728:$AH$752 = 'CalHFA Addendum'!$B20),Application!$G$728:$G$752)</f>
        <v>3</v>
      </c>
      <c r="W20" s="2648"/>
      <c r="X20" s="2648"/>
      <c r="Y20" s="2648"/>
      <c r="Z20" s="2648"/>
      <c r="AA20" s="2649"/>
      <c r="AB20" s="2647" cm="1">
        <f t="array" ref="AB20">SUMPRODUCT((Application!$B$728:$B$752 = 'CalHFA Addendum'!AB$18)*(Application!$AH$728:$AH$752 = 'CalHFA Addendum'!$B20),Application!$G$728:$G$752)</f>
        <v>3</v>
      </c>
      <c r="AC20" s="2648"/>
      <c r="AD20" s="2648"/>
      <c r="AE20" s="2648"/>
      <c r="AF20" s="2648"/>
      <c r="AG20" s="2649"/>
      <c r="AH20" s="2647" cm="1">
        <f t="array" ref="AH20">SUMPRODUCT((Application!$B$728:$B$752 = 'CalHFA Addendum'!AH$18)*(Application!$AH$728:$AH$752 = 'CalHFA Addendum'!$B20),Application!$G$728:$G$752)</f>
        <v>0</v>
      </c>
      <c r="AI20" s="2648"/>
      <c r="AJ20" s="2648"/>
      <c r="AK20" s="2648"/>
      <c r="AL20" s="2648"/>
      <c r="AM20" s="2649"/>
      <c r="AN20" s="2647" cm="1">
        <f t="array" ref="AN20">SUMPRODUCT((Application!$B$728:$B$752 = 'CalHFA Addendum'!AN$18)*(Application!$AH$728:$AH$752 = 'CalHFA Addendum'!$B20),Application!$G$728:$G$752)</f>
        <v>0</v>
      </c>
      <c r="AO20" s="2648"/>
      <c r="AP20" s="2648"/>
      <c r="AQ20" s="2648"/>
      <c r="AR20" s="2648"/>
      <c r="AS20" s="2649"/>
      <c r="AT20" s="2650">
        <f t="shared" si="0"/>
        <v>9.9337748344370855E-2</v>
      </c>
      <c r="AU20" s="2651"/>
      <c r="AV20" s="2651"/>
      <c r="AW20" s="2651"/>
      <c r="AX20" s="2651"/>
      <c r="AY20" s="2652"/>
      <c r="AZ20" s="1529"/>
      <c r="BA20" s="1529"/>
      <c r="BB20" s="1529"/>
      <c r="BC20" s="1529"/>
      <c r="BD20" s="1529"/>
      <c r="BE20" s="1535"/>
    </row>
    <row r="21" spans="1:58" ht="14.5">
      <c r="A21" s="1818"/>
      <c r="B21" s="2653">
        <v>0.4</v>
      </c>
      <c r="C21" s="2654"/>
      <c r="D21" s="2654"/>
      <c r="E21" s="2654"/>
      <c r="F21" s="2654"/>
      <c r="G21" s="2654"/>
      <c r="H21" s="2654"/>
      <c r="I21" s="2654"/>
      <c r="J21" s="2643">
        <f t="shared" si="1"/>
        <v>0</v>
      </c>
      <c r="K21" s="2644"/>
      <c r="L21" s="2644"/>
      <c r="M21" s="2644"/>
      <c r="N21" s="2644"/>
      <c r="O21" s="2645"/>
      <c r="P21" s="2647" cm="1">
        <f t="array" ref="P21">SUMPRODUCT((Application!$B$728:$B$752 = 'CalHFA Addendum'!P$18)*(Application!$AH$728:$AH$752 = 'CalHFA Addendum'!$B21),Application!$G$728:$G$752)</f>
        <v>0</v>
      </c>
      <c r="Q21" s="2648"/>
      <c r="R21" s="2648"/>
      <c r="S21" s="2648"/>
      <c r="T21" s="2648"/>
      <c r="U21" s="2649"/>
      <c r="V21" s="2647" cm="1">
        <f t="array" ref="V21">SUMPRODUCT((Application!$B$728:$B$752 = 'CalHFA Addendum'!V$18)*(Application!$AH$728:$AH$752 = 'CalHFA Addendum'!$B21),Application!$G$728:$G$752)</f>
        <v>0</v>
      </c>
      <c r="W21" s="2648"/>
      <c r="X21" s="2648"/>
      <c r="Y21" s="2648"/>
      <c r="Z21" s="2648"/>
      <c r="AA21" s="2649"/>
      <c r="AB21" s="2647" cm="1">
        <f t="array" ref="AB21">SUMPRODUCT((Application!$B$728:$B$752 = 'CalHFA Addendum'!AB$18)*(Application!$AH$728:$AH$752 = 'CalHFA Addendum'!$B21),Application!$G$728:$G$752)</f>
        <v>0</v>
      </c>
      <c r="AC21" s="2648"/>
      <c r="AD21" s="2648"/>
      <c r="AE21" s="2648"/>
      <c r="AF21" s="2648"/>
      <c r="AG21" s="2649"/>
      <c r="AH21" s="2647" cm="1">
        <f t="array" ref="AH21">SUMPRODUCT((Application!$B$728:$B$752 = 'CalHFA Addendum'!AH$18)*(Application!$AH$728:$AH$752 = 'CalHFA Addendum'!$B21),Application!$G$728:$G$752)</f>
        <v>0</v>
      </c>
      <c r="AI21" s="2648"/>
      <c r="AJ21" s="2648"/>
      <c r="AK21" s="2648"/>
      <c r="AL21" s="2648"/>
      <c r="AM21" s="2649"/>
      <c r="AN21" s="2647" cm="1">
        <f t="array" ref="AN21">SUMPRODUCT((Application!$B$728:$B$752 = 'CalHFA Addendum'!AN$18)*(Application!$AH$728:$AH$752 = 'CalHFA Addendum'!$B21),Application!$G$728:$G$752)</f>
        <v>0</v>
      </c>
      <c r="AO21" s="2648"/>
      <c r="AP21" s="2648"/>
      <c r="AQ21" s="2648"/>
      <c r="AR21" s="2648"/>
      <c r="AS21" s="2649"/>
      <c r="AT21" s="2650">
        <f t="shared" si="0"/>
        <v>0</v>
      </c>
      <c r="AU21" s="2651"/>
      <c r="AV21" s="2651"/>
      <c r="AW21" s="2651"/>
      <c r="AX21" s="2651"/>
      <c r="AY21" s="2652"/>
      <c r="AZ21" s="1529"/>
      <c r="BA21" s="1529"/>
      <c r="BB21" s="1529"/>
      <c r="BC21" s="1529"/>
      <c r="BD21" s="1529"/>
      <c r="BE21" s="1535"/>
    </row>
    <row r="22" spans="1:58" ht="14.5">
      <c r="A22" s="1818"/>
      <c r="B22" s="2653">
        <v>0.5</v>
      </c>
      <c r="C22" s="2654"/>
      <c r="D22" s="2654"/>
      <c r="E22" s="2654"/>
      <c r="F22" s="2654"/>
      <c r="G22" s="2654"/>
      <c r="H22" s="2654"/>
      <c r="I22" s="2654"/>
      <c r="J22" s="2643">
        <f t="shared" si="1"/>
        <v>60</v>
      </c>
      <c r="K22" s="2644"/>
      <c r="L22" s="2644"/>
      <c r="M22" s="2644"/>
      <c r="N22" s="2644"/>
      <c r="O22" s="2645"/>
      <c r="P22" s="2647" cm="1">
        <f t="array" ref="P22">SUMPRODUCT((Application!$B$728:$B$752 = 'CalHFA Addendum'!P$18)*(Application!$AH$728:$AH$752 = 'CalHFA Addendum'!$B22),Application!$G$728:$G$752)</f>
        <v>32</v>
      </c>
      <c r="Q22" s="2648"/>
      <c r="R22" s="2648"/>
      <c r="S22" s="2648"/>
      <c r="T22" s="2648"/>
      <c r="U22" s="2649"/>
      <c r="V22" s="2647" cm="1">
        <f t="array" ref="V22">SUMPRODUCT((Application!$B$728:$B$752 = 'CalHFA Addendum'!V$18)*(Application!$AH$728:$AH$752 = 'CalHFA Addendum'!$B22),Application!$G$728:$G$752)</f>
        <v>17</v>
      </c>
      <c r="W22" s="2648"/>
      <c r="X22" s="2648"/>
      <c r="Y22" s="2648"/>
      <c r="Z22" s="2648"/>
      <c r="AA22" s="2649"/>
      <c r="AB22" s="2647" cm="1">
        <f t="array" ref="AB22">SUMPRODUCT((Application!$B$728:$B$752 = 'CalHFA Addendum'!AB$18)*(Application!$AH$728:$AH$752 = 'CalHFA Addendum'!$B22),Application!$G$728:$G$752)</f>
        <v>8</v>
      </c>
      <c r="AC22" s="2648"/>
      <c r="AD22" s="2648"/>
      <c r="AE22" s="2648"/>
      <c r="AF22" s="2648"/>
      <c r="AG22" s="2649"/>
      <c r="AH22" s="2647" cm="1">
        <f t="array" ref="AH22">SUMPRODUCT((Application!$B$728:$B$752 = 'CalHFA Addendum'!AH$18)*(Application!$AH$728:$AH$752 = 'CalHFA Addendum'!$B22),Application!$G$728:$G$752)</f>
        <v>3</v>
      </c>
      <c r="AI22" s="2648"/>
      <c r="AJ22" s="2648"/>
      <c r="AK22" s="2648"/>
      <c r="AL22" s="2648"/>
      <c r="AM22" s="2649"/>
      <c r="AN22" s="2647" cm="1">
        <f t="array" ref="AN22">SUMPRODUCT((Application!$B$728:$B$752 = 'CalHFA Addendum'!AN$18)*(Application!$AH$728:$AH$752 = 'CalHFA Addendum'!$B22),Application!$G$728:$G$752)</f>
        <v>0</v>
      </c>
      <c r="AO22" s="2648"/>
      <c r="AP22" s="2648"/>
      <c r="AQ22" s="2648"/>
      <c r="AR22" s="2648"/>
      <c r="AS22" s="2649"/>
      <c r="AT22" s="2650">
        <f t="shared" si="0"/>
        <v>0.39735099337748342</v>
      </c>
      <c r="AU22" s="2651"/>
      <c r="AV22" s="2651"/>
      <c r="AW22" s="2651"/>
      <c r="AX22" s="2651"/>
      <c r="AY22" s="2652"/>
      <c r="AZ22" s="1529"/>
      <c r="BA22" s="1529"/>
      <c r="BB22" s="1529"/>
      <c r="BC22" s="1529"/>
      <c r="BD22" s="1529"/>
      <c r="BE22" s="1535"/>
    </row>
    <row r="23" spans="1:58" ht="14.5">
      <c r="A23" s="1818"/>
      <c r="B23" s="2653">
        <v>0.6</v>
      </c>
      <c r="C23" s="2654"/>
      <c r="D23" s="2654"/>
      <c r="E23" s="2654"/>
      <c r="F23" s="2654"/>
      <c r="G23" s="2654"/>
      <c r="H23" s="2654"/>
      <c r="I23" s="2654"/>
      <c r="J23" s="2643">
        <f t="shared" si="1"/>
        <v>0</v>
      </c>
      <c r="K23" s="2644"/>
      <c r="L23" s="2644"/>
      <c r="M23" s="2644"/>
      <c r="N23" s="2644"/>
      <c r="O23" s="2645"/>
      <c r="P23" s="2647" cm="1">
        <f t="array" ref="P23">SUMPRODUCT((Application!$B$728:$B$752 = 'CalHFA Addendum'!P$18)*(Application!$AH$728:$AH$752 = 'CalHFA Addendum'!$B23),Application!$G$728:$G$752)</f>
        <v>0</v>
      </c>
      <c r="Q23" s="2648"/>
      <c r="R23" s="2648"/>
      <c r="S23" s="2648"/>
      <c r="T23" s="2648"/>
      <c r="U23" s="2649"/>
      <c r="V23" s="2647" cm="1">
        <f t="array" ref="V23">SUMPRODUCT((Application!$B$728:$B$752 = 'CalHFA Addendum'!V$18)*(Application!$AH$728:$AH$752 = 'CalHFA Addendum'!$B23),Application!$G$728:$G$752)</f>
        <v>0</v>
      </c>
      <c r="W23" s="2648"/>
      <c r="X23" s="2648"/>
      <c r="Y23" s="2648"/>
      <c r="Z23" s="2648"/>
      <c r="AA23" s="2649"/>
      <c r="AB23" s="2647" cm="1">
        <f t="array" ref="AB23">SUMPRODUCT((Application!$B$728:$B$752 = 'CalHFA Addendum'!AB$18)*(Application!$AH$728:$AH$752 = 'CalHFA Addendum'!$B23),Application!$G$728:$G$752)</f>
        <v>0</v>
      </c>
      <c r="AC23" s="2648"/>
      <c r="AD23" s="2648"/>
      <c r="AE23" s="2648"/>
      <c r="AF23" s="2648"/>
      <c r="AG23" s="2649"/>
      <c r="AH23" s="2647" cm="1">
        <f t="array" ref="AH23">SUMPRODUCT((Application!$B$728:$B$752 = 'CalHFA Addendum'!AH$18)*(Application!$AH$728:$AH$752 = 'CalHFA Addendum'!$B23),Application!$G$728:$G$752)</f>
        <v>0</v>
      </c>
      <c r="AI23" s="2648"/>
      <c r="AJ23" s="2648"/>
      <c r="AK23" s="2648"/>
      <c r="AL23" s="2648"/>
      <c r="AM23" s="2649"/>
      <c r="AN23" s="2647" cm="1">
        <f t="array" ref="AN23">SUMPRODUCT((Application!$B$728:$B$752 = 'CalHFA Addendum'!AN$18)*(Application!$AH$728:$AH$752 = 'CalHFA Addendum'!$B23),Application!$G$728:$G$752)</f>
        <v>0</v>
      </c>
      <c r="AO23" s="2648"/>
      <c r="AP23" s="2648"/>
      <c r="AQ23" s="2648"/>
      <c r="AR23" s="2648"/>
      <c r="AS23" s="2649"/>
      <c r="AT23" s="2650">
        <f t="shared" si="0"/>
        <v>0</v>
      </c>
      <c r="AU23" s="2651"/>
      <c r="AV23" s="2651"/>
      <c r="AW23" s="2651"/>
      <c r="AX23" s="2651"/>
      <c r="AY23" s="2652"/>
      <c r="AZ23" s="1529"/>
      <c r="BA23" s="1529"/>
      <c r="BB23" s="1529"/>
      <c r="BC23" s="1529"/>
      <c r="BD23" s="1529"/>
      <c r="BE23" s="1535"/>
    </row>
    <row r="24" spans="1:58" ht="14.5">
      <c r="A24" s="1818"/>
      <c r="B24" s="2653">
        <v>0.7</v>
      </c>
      <c r="C24" s="2654"/>
      <c r="D24" s="2654"/>
      <c r="E24" s="2654"/>
      <c r="F24" s="2654"/>
      <c r="G24" s="2654"/>
      <c r="H24" s="2654"/>
      <c r="I24" s="2654"/>
      <c r="J24" s="2643">
        <f t="shared" si="1"/>
        <v>75</v>
      </c>
      <c r="K24" s="2644"/>
      <c r="L24" s="2644"/>
      <c r="M24" s="2644"/>
      <c r="N24" s="2644"/>
      <c r="O24" s="2645"/>
      <c r="P24" s="2647" cm="1">
        <f t="array" ref="P24">SUMPRODUCT((Application!$B$728:$B$752 = 'CalHFA Addendum'!P$18)*(Application!$AH$728:$AH$752 = 'CalHFA Addendum'!$B24),Application!$G$728:$G$752)</f>
        <v>49</v>
      </c>
      <c r="Q24" s="2648"/>
      <c r="R24" s="2648"/>
      <c r="S24" s="2648"/>
      <c r="T24" s="2648"/>
      <c r="U24" s="2649"/>
      <c r="V24" s="2647" cm="1">
        <f t="array" ref="V24">SUMPRODUCT((Application!$B$728:$B$752 = 'CalHFA Addendum'!V$18)*(Application!$AH$728:$AH$752 = 'CalHFA Addendum'!$B24),Application!$G$728:$G$752)</f>
        <v>14</v>
      </c>
      <c r="W24" s="2648"/>
      <c r="X24" s="2648"/>
      <c r="Y24" s="2648"/>
      <c r="Z24" s="2648"/>
      <c r="AA24" s="2649"/>
      <c r="AB24" s="2647" cm="1">
        <f t="array" ref="AB24">SUMPRODUCT((Application!$B$728:$B$752 = 'CalHFA Addendum'!AB$18)*(Application!$AH$728:$AH$752 = 'CalHFA Addendum'!$B24),Application!$G$728:$G$752)</f>
        <v>12</v>
      </c>
      <c r="AC24" s="2648"/>
      <c r="AD24" s="2648"/>
      <c r="AE24" s="2648"/>
      <c r="AF24" s="2648"/>
      <c r="AG24" s="2649"/>
      <c r="AH24" s="2647" cm="1">
        <f t="array" ref="AH24">SUMPRODUCT((Application!$B$728:$B$752 = 'CalHFA Addendum'!AH$18)*(Application!$AH$728:$AH$752 = 'CalHFA Addendum'!$B24),Application!$G$728:$G$752)</f>
        <v>0</v>
      </c>
      <c r="AI24" s="2648"/>
      <c r="AJ24" s="2648"/>
      <c r="AK24" s="2648"/>
      <c r="AL24" s="2648"/>
      <c r="AM24" s="2649"/>
      <c r="AN24" s="2647" cm="1">
        <f t="array" ref="AN24">SUMPRODUCT((Application!$B$728:$B$752 = 'CalHFA Addendum'!AN$18)*(Application!$AH$728:$AH$752 = 'CalHFA Addendum'!$B24),Application!$G$728:$G$752)</f>
        <v>0</v>
      </c>
      <c r="AO24" s="2648"/>
      <c r="AP24" s="2648"/>
      <c r="AQ24" s="2648"/>
      <c r="AR24" s="2648"/>
      <c r="AS24" s="2649"/>
      <c r="AT24" s="2650">
        <f t="shared" si="0"/>
        <v>0.49668874172185429</v>
      </c>
      <c r="AU24" s="2651"/>
      <c r="AV24" s="2651"/>
      <c r="AW24" s="2651"/>
      <c r="AX24" s="2651"/>
      <c r="AY24" s="2652"/>
      <c r="AZ24" s="1529"/>
      <c r="BA24" s="1529"/>
      <c r="BB24" s="1529"/>
      <c r="BC24" s="1529"/>
      <c r="BD24" s="1529"/>
      <c r="BE24" s="1535"/>
    </row>
    <row r="25" spans="1:58" ht="14.5">
      <c r="A25" s="1818"/>
      <c r="B25" s="2653">
        <v>0.8</v>
      </c>
      <c r="C25" s="2654"/>
      <c r="D25" s="2654"/>
      <c r="E25" s="2654"/>
      <c r="F25" s="2654"/>
      <c r="G25" s="2654"/>
      <c r="H25" s="2654"/>
      <c r="I25" s="2654"/>
      <c r="J25" s="2643">
        <f t="shared" si="1"/>
        <v>0</v>
      </c>
      <c r="K25" s="2644"/>
      <c r="L25" s="2644"/>
      <c r="M25" s="2644"/>
      <c r="N25" s="2644"/>
      <c r="O25" s="2645"/>
      <c r="P25" s="2647" cm="1">
        <f t="array" ref="P25">SUMPRODUCT((Application!$B$728:$B$752 = 'CalHFA Addendum'!P$18)*(Application!$AH$728:$AH$752 = 'CalHFA Addendum'!$B25),Application!$G$728:$G$752)</f>
        <v>0</v>
      </c>
      <c r="Q25" s="2648"/>
      <c r="R25" s="2648"/>
      <c r="S25" s="2648"/>
      <c r="T25" s="2648"/>
      <c r="U25" s="2649"/>
      <c r="V25" s="2647" cm="1">
        <f t="array" ref="V25">SUMPRODUCT((Application!$B$728:$B$752 = 'CalHFA Addendum'!V$18)*(Application!$AH$728:$AH$752 = 'CalHFA Addendum'!$B25),Application!$G$728:$G$752)</f>
        <v>0</v>
      </c>
      <c r="W25" s="2648"/>
      <c r="X25" s="2648"/>
      <c r="Y25" s="2648"/>
      <c r="Z25" s="2648"/>
      <c r="AA25" s="2649"/>
      <c r="AB25" s="2647" cm="1">
        <f t="array" ref="AB25">SUMPRODUCT((Application!$B$728:$B$752 = 'CalHFA Addendum'!AB$18)*(Application!$AH$728:$AH$752 = 'CalHFA Addendum'!$B25),Application!$G$728:$G$752)</f>
        <v>0</v>
      </c>
      <c r="AC25" s="2648"/>
      <c r="AD25" s="2648"/>
      <c r="AE25" s="2648"/>
      <c r="AF25" s="2648"/>
      <c r="AG25" s="2649"/>
      <c r="AH25" s="2647" cm="1">
        <f t="array" ref="AH25">SUMPRODUCT((Application!$B$728:$B$752 = 'CalHFA Addendum'!AH$18)*(Application!$AH$728:$AH$752 = 'CalHFA Addendum'!$B25),Application!$G$728:$G$752)</f>
        <v>0</v>
      </c>
      <c r="AI25" s="2648"/>
      <c r="AJ25" s="2648"/>
      <c r="AK25" s="2648"/>
      <c r="AL25" s="2648"/>
      <c r="AM25" s="2649"/>
      <c r="AN25" s="2647" cm="1">
        <f t="array" ref="AN25">SUMPRODUCT((Application!$B$728:$B$752 = 'CalHFA Addendum'!AN$18)*(Application!$AH$728:$AH$752 = 'CalHFA Addendum'!$B25),Application!$G$728:$G$752)</f>
        <v>0</v>
      </c>
      <c r="AO25" s="2648"/>
      <c r="AP25" s="2648"/>
      <c r="AQ25" s="2648"/>
      <c r="AR25" s="2648"/>
      <c r="AS25" s="2649"/>
      <c r="AT25" s="2650">
        <f t="shared" si="0"/>
        <v>0</v>
      </c>
      <c r="AU25" s="2651"/>
      <c r="AV25" s="2651"/>
      <c r="AW25" s="2651"/>
      <c r="AX25" s="2651"/>
      <c r="AY25" s="2652"/>
      <c r="AZ25" s="1529"/>
      <c r="BA25" s="1529"/>
      <c r="BB25" s="1529"/>
      <c r="BC25" s="1529"/>
      <c r="BD25" s="1529"/>
      <c r="BE25" s="1535"/>
    </row>
    <row r="26" spans="1:58" ht="14.5">
      <c r="A26" s="1818"/>
      <c r="B26" s="2653">
        <v>0.9</v>
      </c>
      <c r="C26" s="2654"/>
      <c r="D26" s="2654"/>
      <c r="E26" s="2654"/>
      <c r="F26" s="2654"/>
      <c r="G26" s="2654"/>
      <c r="H26" s="2654"/>
      <c r="I26" s="2654"/>
      <c r="J26" s="2643">
        <f t="shared" si="1"/>
        <v>0</v>
      </c>
      <c r="K26" s="2644"/>
      <c r="L26" s="2644"/>
      <c r="M26" s="2644"/>
      <c r="N26" s="2644"/>
      <c r="O26" s="2645"/>
      <c r="P26" s="2647" cm="1">
        <f t="array" ref="P26">SUMPRODUCT((Application!$B$728:$B$752 = 'CalHFA Addendum'!P$18)*(Application!$AH$728:$AH$752 = 'CalHFA Addendum'!$B26),Application!$G$728:$G$752)</f>
        <v>0</v>
      </c>
      <c r="Q26" s="2648"/>
      <c r="R26" s="2648"/>
      <c r="S26" s="2648"/>
      <c r="T26" s="2648"/>
      <c r="U26" s="2649"/>
      <c r="V26" s="2647" cm="1">
        <f t="array" ref="V26">SUMPRODUCT((Application!$B$728:$B$752 = 'CalHFA Addendum'!V$18)*(Application!$AH$728:$AH$752 = 'CalHFA Addendum'!$B26),Application!$G$728:$G$752)</f>
        <v>0</v>
      </c>
      <c r="W26" s="2648"/>
      <c r="X26" s="2648"/>
      <c r="Y26" s="2648"/>
      <c r="Z26" s="2648"/>
      <c r="AA26" s="2649"/>
      <c r="AB26" s="2647" cm="1">
        <f t="array" ref="AB26">SUMPRODUCT((Application!$B$728:$B$752 = 'CalHFA Addendum'!AB$18)*(Application!$AH$728:$AH$752 = 'CalHFA Addendum'!$B26),Application!$G$728:$G$752)</f>
        <v>0</v>
      </c>
      <c r="AC26" s="2648"/>
      <c r="AD26" s="2648"/>
      <c r="AE26" s="2648"/>
      <c r="AF26" s="2648"/>
      <c r="AG26" s="2649"/>
      <c r="AH26" s="2647" cm="1">
        <f t="array" ref="AH26">SUMPRODUCT((Application!$B$728:$B$752 = 'CalHFA Addendum'!AH$18)*(Application!$AH$728:$AH$752 = 'CalHFA Addendum'!$B26),Application!$G$728:$G$752)</f>
        <v>0</v>
      </c>
      <c r="AI26" s="2648"/>
      <c r="AJ26" s="2648"/>
      <c r="AK26" s="2648"/>
      <c r="AL26" s="2648"/>
      <c r="AM26" s="2649"/>
      <c r="AN26" s="2647" cm="1">
        <f t="array" ref="AN26">SUMPRODUCT((Application!$B$728:$B$752 = 'CalHFA Addendum'!AN$18)*(Application!$AH$728:$AH$752 = 'CalHFA Addendum'!$B26),Application!$G$728:$G$752)</f>
        <v>0</v>
      </c>
      <c r="AO26" s="2648"/>
      <c r="AP26" s="2648"/>
      <c r="AQ26" s="2648"/>
      <c r="AR26" s="2648"/>
      <c r="AS26" s="2649"/>
      <c r="AT26" s="2650">
        <f t="shared" si="0"/>
        <v>0</v>
      </c>
      <c r="AU26" s="2651"/>
      <c r="AV26" s="2651"/>
      <c r="AW26" s="2651"/>
      <c r="AX26" s="2651"/>
      <c r="AY26" s="2652"/>
      <c r="AZ26" s="1529"/>
      <c r="BA26" s="1529"/>
      <c r="BB26" s="1529"/>
      <c r="BC26" s="1529"/>
      <c r="BD26" s="1529"/>
      <c r="BE26" s="1535"/>
    </row>
    <row r="27" spans="1:58" ht="14.5">
      <c r="A27" s="1818"/>
      <c r="B27" s="2653">
        <v>1</v>
      </c>
      <c r="C27" s="2654"/>
      <c r="D27" s="2654"/>
      <c r="E27" s="2654"/>
      <c r="F27" s="2654"/>
      <c r="G27" s="2654"/>
      <c r="H27" s="2654"/>
      <c r="I27" s="2654"/>
      <c r="J27" s="2643">
        <f t="shared" si="1"/>
        <v>0</v>
      </c>
      <c r="K27" s="2644"/>
      <c r="L27" s="2644"/>
      <c r="M27" s="2644"/>
      <c r="N27" s="2644"/>
      <c r="O27" s="2645"/>
      <c r="P27" s="2647" cm="1">
        <f t="array" ref="P27">SUMPRODUCT((Application!$B$728:$B$752 = 'CalHFA Addendum'!P$18)*(Application!$AH$728:$AH$752 = 'CalHFA Addendum'!$B27),Application!$G$728:$G$752)</f>
        <v>0</v>
      </c>
      <c r="Q27" s="2648"/>
      <c r="R27" s="2648"/>
      <c r="S27" s="2648"/>
      <c r="T27" s="2648"/>
      <c r="U27" s="2649"/>
      <c r="V27" s="2647" cm="1">
        <f t="array" ref="V27">SUMPRODUCT((Application!$B$728:$B$752 = 'CalHFA Addendum'!V$18)*(Application!$AH$728:$AH$752 = 'CalHFA Addendum'!$B27),Application!$G$728:$G$752)</f>
        <v>0</v>
      </c>
      <c r="W27" s="2648"/>
      <c r="X27" s="2648"/>
      <c r="Y27" s="2648"/>
      <c r="Z27" s="2648"/>
      <c r="AA27" s="2649"/>
      <c r="AB27" s="2647" cm="1">
        <f t="array" ref="AB27">SUMPRODUCT((Application!$B$728:$B$752 = 'CalHFA Addendum'!AB$18)*(Application!$AH$728:$AH$752 = 'CalHFA Addendum'!$B27),Application!$G$728:$G$752)</f>
        <v>0</v>
      </c>
      <c r="AC27" s="2648"/>
      <c r="AD27" s="2648"/>
      <c r="AE27" s="2648"/>
      <c r="AF27" s="2648"/>
      <c r="AG27" s="2649"/>
      <c r="AH27" s="2647" cm="1">
        <f t="array" ref="AH27">SUMPRODUCT((Application!$B$728:$B$752 = 'CalHFA Addendum'!AH$18)*(Application!$AH$728:$AH$752 = 'CalHFA Addendum'!$B27),Application!$G$728:$G$752)</f>
        <v>0</v>
      </c>
      <c r="AI27" s="2648"/>
      <c r="AJ27" s="2648"/>
      <c r="AK27" s="2648"/>
      <c r="AL27" s="2648"/>
      <c r="AM27" s="2649"/>
      <c r="AN27" s="2647" cm="1">
        <f t="array" ref="AN27">SUMPRODUCT((Application!$B$728:$B$752 = 'CalHFA Addendum'!AN$18)*(Application!$AH$728:$AH$752 = 'CalHFA Addendum'!$B27),Application!$G$728:$G$752)</f>
        <v>0</v>
      </c>
      <c r="AO27" s="2648"/>
      <c r="AP27" s="2648"/>
      <c r="AQ27" s="2648"/>
      <c r="AR27" s="2648"/>
      <c r="AS27" s="2649"/>
      <c r="AT27" s="2650">
        <f t="shared" si="0"/>
        <v>0</v>
      </c>
      <c r="AU27" s="2651"/>
      <c r="AV27" s="2651"/>
      <c r="AW27" s="2651"/>
      <c r="AX27" s="2651"/>
      <c r="AY27" s="2652"/>
      <c r="AZ27" s="1529"/>
      <c r="BA27" s="1529"/>
      <c r="BB27" s="1529"/>
      <c r="BC27" s="1529"/>
      <c r="BD27" s="1529"/>
      <c r="BE27" s="1535"/>
      <c r="BF27" s="1700"/>
    </row>
    <row r="28" spans="1:58" ht="15" thickBot="1">
      <c r="A28" s="1818"/>
      <c r="B28" s="2665" t="s">
        <v>2050</v>
      </c>
      <c r="C28" s="2666"/>
      <c r="D28" s="2666"/>
      <c r="E28" s="2666"/>
      <c r="F28" s="2666"/>
      <c r="G28" s="2666"/>
      <c r="H28" s="2666"/>
      <c r="I28" s="2667"/>
      <c r="J28" s="2643">
        <f t="shared" ref="J28" si="2">SUM(P28:AS28)</f>
        <v>1</v>
      </c>
      <c r="K28" s="2644"/>
      <c r="L28" s="2644"/>
      <c r="M28" s="2644"/>
      <c r="N28" s="2644"/>
      <c r="O28" s="2645"/>
      <c r="P28" s="2655">
        <f>_xlfn.IFNA(VLOOKUP(P$18,Application!$J$772:$S$775,6,FALSE), 0)</f>
        <v>0</v>
      </c>
      <c r="Q28" s="2656"/>
      <c r="R28" s="2656"/>
      <c r="S28" s="2656"/>
      <c r="T28" s="2656"/>
      <c r="U28" s="2657"/>
      <c r="V28" s="2655">
        <f>_xlfn.IFNA(VLOOKUP(V$18,Application!$J$772:$S$775,6,FALSE), 0)</f>
        <v>0</v>
      </c>
      <c r="W28" s="2656"/>
      <c r="X28" s="2656"/>
      <c r="Y28" s="2656"/>
      <c r="Z28" s="2656"/>
      <c r="AA28" s="2657"/>
      <c r="AB28" s="2655">
        <f>_xlfn.IFNA(VLOOKUP(AB$18,Application!$J$772:$S$775,6,FALSE), 0)</f>
        <v>1</v>
      </c>
      <c r="AC28" s="2656"/>
      <c r="AD28" s="2656"/>
      <c r="AE28" s="2656"/>
      <c r="AF28" s="2656"/>
      <c r="AG28" s="2657"/>
      <c r="AH28" s="2655">
        <f>_xlfn.IFNA(VLOOKUP(AH$18,Application!$J$772:$S$775,6,FALSE), 0)</f>
        <v>0</v>
      </c>
      <c r="AI28" s="2656"/>
      <c r="AJ28" s="2656"/>
      <c r="AK28" s="2656"/>
      <c r="AL28" s="2656"/>
      <c r="AM28" s="2657"/>
      <c r="AN28" s="2655">
        <f>_xlfn.IFNA(VLOOKUP(AN$18,Application!$J$772:$S$775,6,FALSE), 0)</f>
        <v>0</v>
      </c>
      <c r="AO28" s="2656"/>
      <c r="AP28" s="2656"/>
      <c r="AQ28" s="2656"/>
      <c r="AR28" s="2656"/>
      <c r="AS28" s="2657"/>
      <c r="AT28" s="2650">
        <f t="shared" ref="AT28" si="3">J28/$J$29</f>
        <v>6.6225165562913907E-3</v>
      </c>
      <c r="AU28" s="2651"/>
      <c r="AV28" s="2651"/>
      <c r="AW28" s="2651"/>
      <c r="AX28" s="2651"/>
      <c r="AY28" s="2652"/>
      <c r="AZ28" s="1529"/>
      <c r="BA28" s="1529"/>
      <c r="BB28" s="1529"/>
      <c r="BC28" s="1529"/>
      <c r="BD28" s="1529"/>
      <c r="BE28" s="1535"/>
    </row>
    <row r="29" spans="1:58" ht="15" thickBot="1">
      <c r="A29" s="1818"/>
      <c r="B29" s="2658" t="s">
        <v>1880</v>
      </c>
      <c r="C29" s="2659"/>
      <c r="D29" s="2659"/>
      <c r="E29" s="2659"/>
      <c r="F29" s="2659"/>
      <c r="G29" s="2659"/>
      <c r="H29" s="2659"/>
      <c r="I29" s="2660"/>
      <c r="J29" s="2661">
        <f>SUM(J19:O28)</f>
        <v>151</v>
      </c>
      <c r="K29" s="2659"/>
      <c r="L29" s="2659"/>
      <c r="M29" s="2659"/>
      <c r="N29" s="2659"/>
      <c r="O29" s="2660"/>
      <c r="P29" s="2661">
        <f>SUM(P19:U28)</f>
        <v>90</v>
      </c>
      <c r="Q29" s="2659"/>
      <c r="R29" s="2659"/>
      <c r="S29" s="2659"/>
      <c r="T29" s="2659"/>
      <c r="U29" s="2660"/>
      <c r="V29" s="2661">
        <f>SUM(V19:AA28)</f>
        <v>34</v>
      </c>
      <c r="W29" s="2659"/>
      <c r="X29" s="2659"/>
      <c r="Y29" s="2659"/>
      <c r="Z29" s="2659"/>
      <c r="AA29" s="2660"/>
      <c r="AB29" s="2661">
        <f>SUM(AB19:AG28)</f>
        <v>24</v>
      </c>
      <c r="AC29" s="2659"/>
      <c r="AD29" s="2659"/>
      <c r="AE29" s="2659"/>
      <c r="AF29" s="2659"/>
      <c r="AG29" s="2660"/>
      <c r="AH29" s="2661">
        <f>SUM(AH19:AM28)</f>
        <v>3</v>
      </c>
      <c r="AI29" s="2659"/>
      <c r="AJ29" s="2659"/>
      <c r="AK29" s="2659"/>
      <c r="AL29" s="2659"/>
      <c r="AM29" s="2660"/>
      <c r="AN29" s="2661">
        <f>SUM(AN19:AS28)</f>
        <v>0</v>
      </c>
      <c r="AO29" s="2659"/>
      <c r="AP29" s="2659"/>
      <c r="AQ29" s="2659"/>
      <c r="AR29" s="2659"/>
      <c r="AS29" s="2660"/>
      <c r="AT29" s="2662">
        <f>J29/$J$29</f>
        <v>1</v>
      </c>
      <c r="AU29" s="2663"/>
      <c r="AV29" s="2663"/>
      <c r="AW29" s="2663"/>
      <c r="AX29" s="2663"/>
      <c r="AY29" s="2664"/>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68" t="s">
        <v>2051</v>
      </c>
      <c r="C31" s="2669"/>
      <c r="D31" s="2669"/>
      <c r="E31" s="2669"/>
      <c r="F31" s="2669"/>
      <c r="G31" s="2669"/>
      <c r="H31" s="2669"/>
      <c r="I31" s="2669"/>
      <c r="J31" s="2669"/>
      <c r="K31" s="2669"/>
      <c r="L31" s="2669"/>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2669"/>
      <c r="AT31" s="2669"/>
      <c r="AU31" s="2669"/>
      <c r="AV31" s="2669"/>
      <c r="AW31" s="2669"/>
      <c r="AX31" s="2669"/>
      <c r="AY31" s="2669"/>
      <c r="AZ31" s="2670"/>
      <c r="BA31" s="1529"/>
      <c r="BB31" s="1529"/>
      <c r="BC31" s="1529"/>
      <c r="BD31" s="1529"/>
      <c r="BE31" s="1535"/>
    </row>
    <row r="32" spans="1:58" ht="15" thickBot="1">
      <c r="A32" s="1818"/>
      <c r="B32" s="2671" t="s">
        <v>2052</v>
      </c>
      <c r="C32" s="2672"/>
      <c r="D32" s="2672"/>
      <c r="E32" s="2672"/>
      <c r="F32" s="2672"/>
      <c r="G32" s="2672"/>
      <c r="H32" s="2672"/>
      <c r="I32" s="2673"/>
      <c r="J32" s="2675" t="s">
        <v>2053</v>
      </c>
      <c r="K32" s="2676"/>
      <c r="L32" s="2676"/>
      <c r="M32" s="2677"/>
      <c r="N32" s="2675" t="s">
        <v>2054</v>
      </c>
      <c r="O32" s="2676"/>
      <c r="P32" s="2676"/>
      <c r="Q32" s="2676"/>
      <c r="R32" s="2679" t="s">
        <v>2055</v>
      </c>
      <c r="S32" s="2680"/>
      <c r="T32" s="2680"/>
      <c r="U32" s="2680"/>
      <c r="V32" s="2680"/>
      <c r="W32" s="2680"/>
      <c r="X32" s="2680"/>
      <c r="Y32" s="2680"/>
      <c r="Z32" s="2680"/>
      <c r="AA32" s="2680"/>
      <c r="AB32" s="2680"/>
      <c r="AC32" s="2680"/>
      <c r="AD32" s="2680"/>
      <c r="AE32" s="2680"/>
      <c r="AF32" s="2680"/>
      <c r="AG32" s="2680"/>
      <c r="AH32" s="2680"/>
      <c r="AI32" s="2680"/>
      <c r="AJ32" s="2680"/>
      <c r="AK32" s="2680"/>
      <c r="AL32" s="2680"/>
      <c r="AM32" s="2680"/>
      <c r="AN32" s="2680"/>
      <c r="AO32" s="2680"/>
      <c r="AP32" s="2680"/>
      <c r="AQ32" s="2680"/>
      <c r="AR32" s="2680"/>
      <c r="AS32" s="2680"/>
      <c r="AT32" s="2680"/>
      <c r="AU32" s="2680"/>
      <c r="AV32" s="2680"/>
      <c r="AW32" s="2680"/>
      <c r="AX32" s="2680"/>
      <c r="AY32" s="2680"/>
      <c r="AZ32" s="2681"/>
      <c r="BA32" s="1529"/>
      <c r="BB32" s="1529"/>
      <c r="BC32" s="1529"/>
      <c r="BD32" s="1529"/>
      <c r="BE32" s="1535"/>
    </row>
    <row r="33" spans="1:58" ht="15" customHeight="1">
      <c r="A33" s="1818"/>
      <c r="B33" s="2674"/>
      <c r="C33" s="2672"/>
      <c r="D33" s="2672"/>
      <c r="E33" s="2672"/>
      <c r="F33" s="2672"/>
      <c r="G33" s="2672"/>
      <c r="H33" s="2672"/>
      <c r="I33" s="2673"/>
      <c r="J33" s="2678"/>
      <c r="K33" s="2676"/>
      <c r="L33" s="2676"/>
      <c r="M33" s="2677"/>
      <c r="N33" s="2678"/>
      <c r="O33" s="2676"/>
      <c r="P33" s="2676"/>
      <c r="Q33" s="2676"/>
      <c r="R33" s="2682" t="s">
        <v>2056</v>
      </c>
      <c r="S33" s="2683"/>
      <c r="T33" s="2683"/>
      <c r="U33" s="2683"/>
      <c r="V33" s="2683"/>
      <c r="W33" s="2683"/>
      <c r="X33" s="2683"/>
      <c r="Y33" s="2683"/>
      <c r="Z33" s="2683"/>
      <c r="AA33" s="2683"/>
      <c r="AB33" s="2683"/>
      <c r="AC33" s="2683"/>
      <c r="AD33" s="2683"/>
      <c r="AE33" s="2683"/>
      <c r="AF33" s="2683"/>
      <c r="AG33" s="2683"/>
      <c r="AH33" s="2683"/>
      <c r="AI33" s="2683"/>
      <c r="AJ33" s="2683"/>
      <c r="AK33" s="2683"/>
      <c r="AL33" s="2683"/>
      <c r="AM33" s="2683"/>
      <c r="AN33" s="2683"/>
      <c r="AO33" s="2683"/>
      <c r="AP33" s="2683"/>
      <c r="AQ33" s="2683"/>
      <c r="AR33" s="2683"/>
      <c r="AS33" s="2683"/>
      <c r="AT33" s="2683"/>
      <c r="AU33" s="2683"/>
      <c r="AV33" s="2683"/>
      <c r="AW33" s="2683"/>
      <c r="AX33" s="2683"/>
      <c r="AY33" s="2683"/>
      <c r="AZ33" s="2684"/>
      <c r="BA33" s="1536"/>
      <c r="BB33" s="1529"/>
      <c r="BC33" s="1529"/>
      <c r="BD33" s="1529"/>
      <c r="BE33" s="1535"/>
    </row>
    <row r="34" spans="1:58" ht="15.75" customHeight="1" thickBot="1">
      <c r="A34" s="1818"/>
      <c r="B34" s="2674"/>
      <c r="C34" s="2672"/>
      <c r="D34" s="2672"/>
      <c r="E34" s="2672"/>
      <c r="F34" s="2672"/>
      <c r="G34" s="2672"/>
      <c r="H34" s="2672"/>
      <c r="I34" s="2673"/>
      <c r="J34" s="2678"/>
      <c r="K34" s="2676"/>
      <c r="L34" s="2676"/>
      <c r="M34" s="2677"/>
      <c r="N34" s="2678"/>
      <c r="O34" s="2676"/>
      <c r="P34" s="2676"/>
      <c r="Q34" s="2676"/>
      <c r="R34" s="2685"/>
      <c r="S34" s="2686"/>
      <c r="T34" s="2686"/>
      <c r="U34" s="2686"/>
      <c r="V34" s="2686"/>
      <c r="W34" s="2686"/>
      <c r="X34" s="2686"/>
      <c r="Y34" s="2686"/>
      <c r="Z34" s="2686"/>
      <c r="AA34" s="2686"/>
      <c r="AB34" s="2686"/>
      <c r="AC34" s="2686"/>
      <c r="AD34" s="2686"/>
      <c r="AE34" s="2686"/>
      <c r="AF34" s="2686"/>
      <c r="AG34" s="2686"/>
      <c r="AH34" s="2686"/>
      <c r="AI34" s="2686"/>
      <c r="AJ34" s="2686"/>
      <c r="AK34" s="2686"/>
      <c r="AL34" s="2686"/>
      <c r="AM34" s="2686"/>
      <c r="AN34" s="2686"/>
      <c r="AO34" s="2686"/>
      <c r="AP34" s="2686"/>
      <c r="AQ34" s="2686"/>
      <c r="AR34" s="2686"/>
      <c r="AS34" s="2686"/>
      <c r="AT34" s="2686"/>
      <c r="AU34" s="2686"/>
      <c r="AV34" s="2686"/>
      <c r="AW34" s="2686"/>
      <c r="AX34" s="2686"/>
      <c r="AY34" s="2686"/>
      <c r="AZ34" s="2687"/>
      <c r="BA34" s="1536"/>
      <c r="BB34" s="1529"/>
      <c r="BC34" s="1529"/>
      <c r="BD34" s="1529"/>
      <c r="BE34" s="1535"/>
    </row>
    <row r="35" spans="1:58" ht="15.75" customHeight="1" thickBot="1">
      <c r="A35" s="1818"/>
      <c r="B35" s="2674"/>
      <c r="C35" s="2672"/>
      <c r="D35" s="2672"/>
      <c r="E35" s="2672"/>
      <c r="F35" s="2672"/>
      <c r="G35" s="2672"/>
      <c r="H35" s="2672"/>
      <c r="I35" s="2673"/>
      <c r="J35" s="2678"/>
      <c r="K35" s="2676"/>
      <c r="L35" s="2676"/>
      <c r="M35" s="2677"/>
      <c r="N35" s="2678"/>
      <c r="O35" s="2676"/>
      <c r="P35" s="2676"/>
      <c r="Q35" s="2676"/>
      <c r="R35" s="2688">
        <v>0.5</v>
      </c>
      <c r="S35" s="2689"/>
      <c r="T35" s="2689"/>
      <c r="U35" s="2690"/>
      <c r="V35" s="2688">
        <v>0.6</v>
      </c>
      <c r="W35" s="2689"/>
      <c r="X35" s="2689"/>
      <c r="Y35" s="2690"/>
      <c r="Z35" s="2688">
        <v>0.7</v>
      </c>
      <c r="AA35" s="2689"/>
      <c r="AB35" s="2689"/>
      <c r="AC35" s="2690"/>
      <c r="AD35" s="2688">
        <v>0.8</v>
      </c>
      <c r="AE35" s="2689"/>
      <c r="AF35" s="2689"/>
      <c r="AG35" s="2690"/>
      <c r="AH35" s="2688">
        <v>1</v>
      </c>
      <c r="AI35" s="2689"/>
      <c r="AJ35" s="2689"/>
      <c r="AK35" s="2690"/>
      <c r="AL35" s="2688">
        <v>1.2</v>
      </c>
      <c r="AM35" s="2689"/>
      <c r="AN35" s="2690"/>
      <c r="AO35" s="2700" t="s">
        <v>2057</v>
      </c>
      <c r="AP35" s="2701"/>
      <c r="AQ35" s="2701"/>
      <c r="AR35" s="2701"/>
      <c r="AS35" s="2701"/>
      <c r="AT35" s="2702"/>
      <c r="AU35" s="2700" t="s">
        <v>2058</v>
      </c>
      <c r="AV35" s="2701"/>
      <c r="AW35" s="2701"/>
      <c r="AX35" s="2701"/>
      <c r="AY35" s="2701"/>
      <c r="AZ35" s="2702"/>
      <c r="BA35" s="1536"/>
      <c r="BB35" s="1529"/>
      <c r="BC35" s="1529"/>
      <c r="BD35" s="1529"/>
      <c r="BE35" s="1535"/>
      <c r="BF35" s="1527"/>
    </row>
    <row r="36" spans="1:58" ht="15.75" customHeight="1">
      <c r="A36" s="1818"/>
      <c r="B36" s="2703" t="s">
        <v>2059</v>
      </c>
      <c r="C36" s="2704"/>
      <c r="D36" s="2704"/>
      <c r="E36" s="2704"/>
      <c r="F36" s="2704"/>
      <c r="G36" s="2704"/>
      <c r="H36" s="2704"/>
      <c r="I36" s="2705"/>
      <c r="J36" s="2706" t="s">
        <v>2060</v>
      </c>
      <c r="K36" s="2707"/>
      <c r="L36" s="2707"/>
      <c r="M36" s="2708"/>
      <c r="N36" s="2709">
        <v>55</v>
      </c>
      <c r="O36" s="2710"/>
      <c r="P36" s="2710"/>
      <c r="Q36" s="2711"/>
      <c r="R36" s="2712">
        <v>10</v>
      </c>
      <c r="S36" s="2712"/>
      <c r="T36" s="2712"/>
      <c r="U36" s="2712"/>
      <c r="V36" s="2712">
        <v>30</v>
      </c>
      <c r="W36" s="2712"/>
      <c r="X36" s="2712"/>
      <c r="Y36" s="2712"/>
      <c r="Z36" s="2712"/>
      <c r="AA36" s="2712"/>
      <c r="AB36" s="2712"/>
      <c r="AC36" s="2712"/>
      <c r="AD36" s="2712">
        <v>59</v>
      </c>
      <c r="AE36" s="2712"/>
      <c r="AF36" s="2712"/>
      <c r="AG36" s="2712"/>
      <c r="AH36" s="2715"/>
      <c r="AI36" s="2715"/>
      <c r="AJ36" s="2715"/>
      <c r="AK36" s="2715"/>
      <c r="AL36" s="2715"/>
      <c r="AM36" s="2715"/>
      <c r="AN36" s="2715"/>
      <c r="AO36" s="2713">
        <f>SUM(R36:AN36)</f>
        <v>99</v>
      </c>
      <c r="AP36" s="2713"/>
      <c r="AQ36" s="2713"/>
      <c r="AR36" s="2713"/>
      <c r="AS36" s="2713"/>
      <c r="AT36" s="2713"/>
      <c r="AU36" s="2714">
        <f>AO36/$J$29</f>
        <v>0.6556291390728477</v>
      </c>
      <c r="AV36" s="2714"/>
      <c r="AW36" s="2714"/>
      <c r="AX36" s="2714"/>
      <c r="AY36" s="2714"/>
      <c r="AZ36" s="2714"/>
      <c r="BA36" s="1529"/>
      <c r="BB36" s="1529"/>
      <c r="BC36" s="1529"/>
      <c r="BD36" s="1529"/>
      <c r="BE36" s="1535"/>
      <c r="BF36" s="1527"/>
    </row>
    <row r="37" spans="1:58" ht="15.75" customHeight="1">
      <c r="A37" s="1818"/>
      <c r="B37" s="2691" t="s">
        <v>2061</v>
      </c>
      <c r="C37" s="2692"/>
      <c r="D37" s="2692"/>
      <c r="E37" s="2692"/>
      <c r="F37" s="2692"/>
      <c r="G37" s="2692"/>
      <c r="H37" s="2692"/>
      <c r="I37" s="2693"/>
      <c r="J37" s="2694" t="s">
        <v>2062</v>
      </c>
      <c r="K37" s="2695"/>
      <c r="L37" s="2695"/>
      <c r="M37" s="2696"/>
      <c r="N37" s="2697">
        <v>55</v>
      </c>
      <c r="O37" s="2695"/>
      <c r="P37" s="2695"/>
      <c r="Q37" s="2698"/>
      <c r="R37" s="2699"/>
      <c r="S37" s="2699"/>
      <c r="T37" s="2699"/>
      <c r="U37" s="2699"/>
      <c r="V37" s="2699"/>
      <c r="W37" s="2699"/>
      <c r="X37" s="2699"/>
      <c r="Y37" s="2699"/>
      <c r="Z37" s="2699"/>
      <c r="AA37" s="2699"/>
      <c r="AB37" s="2699"/>
      <c r="AC37" s="2699"/>
      <c r="AD37" s="2699"/>
      <c r="AE37" s="2699"/>
      <c r="AF37" s="2699"/>
      <c r="AG37" s="2699"/>
      <c r="AH37" s="2699"/>
      <c r="AI37" s="2699"/>
      <c r="AJ37" s="2699"/>
      <c r="AK37" s="2699"/>
      <c r="AL37" s="2699"/>
      <c r="AM37" s="2699"/>
      <c r="AN37" s="2699"/>
      <c r="AO37" s="2713">
        <f t="shared" ref="AO37:AO47" si="4">SUM(R37:AN37)</f>
        <v>0</v>
      </c>
      <c r="AP37" s="2713"/>
      <c r="AQ37" s="2713"/>
      <c r="AR37" s="2713"/>
      <c r="AS37" s="2713"/>
      <c r="AT37" s="2713"/>
      <c r="AU37" s="2714">
        <f t="shared" ref="AU37:AU47" si="5">AO37/$J$29</f>
        <v>0</v>
      </c>
      <c r="AV37" s="2714"/>
      <c r="AW37" s="2714"/>
      <c r="AX37" s="2714"/>
      <c r="AY37" s="2714"/>
      <c r="AZ37" s="2714"/>
      <c r="BA37" s="1529"/>
      <c r="BB37" s="1529"/>
      <c r="BC37" s="1529"/>
      <c r="BD37" s="1529"/>
      <c r="BE37" s="1535"/>
      <c r="BF37" s="1527"/>
    </row>
    <row r="38" spans="1:58" ht="15.75" customHeight="1">
      <c r="A38" s="1818"/>
      <c r="B38" s="2691" t="s">
        <v>2063</v>
      </c>
      <c r="C38" s="2692"/>
      <c r="D38" s="2692"/>
      <c r="E38" s="2692"/>
      <c r="F38" s="2692"/>
      <c r="G38" s="2692"/>
      <c r="H38" s="2692"/>
      <c r="I38" s="2693"/>
      <c r="J38" s="2694" t="s">
        <v>2064</v>
      </c>
      <c r="K38" s="2695"/>
      <c r="L38" s="2695"/>
      <c r="M38" s="2696"/>
      <c r="N38" s="2697">
        <v>55</v>
      </c>
      <c r="O38" s="2695"/>
      <c r="P38" s="2695"/>
      <c r="Q38" s="2698"/>
      <c r="R38" s="2699"/>
      <c r="S38" s="2699"/>
      <c r="T38" s="2699"/>
      <c r="U38" s="2699"/>
      <c r="V38" s="2699"/>
      <c r="W38" s="2699"/>
      <c r="X38" s="2699"/>
      <c r="Y38" s="2699"/>
      <c r="Z38" s="2699"/>
      <c r="AA38" s="2699"/>
      <c r="AB38" s="2699"/>
      <c r="AC38" s="2699"/>
      <c r="AD38" s="2699"/>
      <c r="AE38" s="2699"/>
      <c r="AF38" s="2699"/>
      <c r="AG38" s="2699"/>
      <c r="AH38" s="2699"/>
      <c r="AI38" s="2699"/>
      <c r="AJ38" s="2699"/>
      <c r="AK38" s="2699"/>
      <c r="AL38" s="2699"/>
      <c r="AM38" s="2699"/>
      <c r="AN38" s="2699"/>
      <c r="AO38" s="2713">
        <f t="shared" si="4"/>
        <v>0</v>
      </c>
      <c r="AP38" s="2713"/>
      <c r="AQ38" s="2713"/>
      <c r="AR38" s="2713"/>
      <c r="AS38" s="2713"/>
      <c r="AT38" s="2713"/>
      <c r="AU38" s="2714">
        <f t="shared" si="5"/>
        <v>0</v>
      </c>
      <c r="AV38" s="2714"/>
      <c r="AW38" s="2714"/>
      <c r="AX38" s="2714"/>
      <c r="AY38" s="2714"/>
      <c r="AZ38" s="2714"/>
      <c r="BA38" s="1529"/>
      <c r="BB38" s="1529"/>
      <c r="BC38" s="1529"/>
      <c r="BD38" s="1529"/>
      <c r="BE38" s="1535"/>
      <c r="BF38" s="1527"/>
    </row>
    <row r="39" spans="1:58" ht="15.75" customHeight="1">
      <c r="A39" s="1818"/>
      <c r="B39" s="2691" t="s">
        <v>2065</v>
      </c>
      <c r="C39" s="2692"/>
      <c r="D39" s="2692"/>
      <c r="E39" s="2692"/>
      <c r="F39" s="2692"/>
      <c r="G39" s="2692"/>
      <c r="H39" s="2692"/>
      <c r="I39" s="2693"/>
      <c r="J39" s="2716"/>
      <c r="K39" s="2717"/>
      <c r="L39" s="2717"/>
      <c r="M39" s="2718"/>
      <c r="N39" s="2719"/>
      <c r="O39" s="2717"/>
      <c r="P39" s="2717"/>
      <c r="Q39" s="2720"/>
      <c r="R39" s="2699"/>
      <c r="S39" s="2699"/>
      <c r="T39" s="2699"/>
      <c r="U39" s="2699"/>
      <c r="V39" s="2699"/>
      <c r="W39" s="2699"/>
      <c r="X39" s="2699"/>
      <c r="Y39" s="2699"/>
      <c r="Z39" s="2699"/>
      <c r="AA39" s="2699"/>
      <c r="AB39" s="2699"/>
      <c r="AC39" s="2699"/>
      <c r="AD39" s="2699"/>
      <c r="AE39" s="2699"/>
      <c r="AF39" s="2699"/>
      <c r="AG39" s="2699"/>
      <c r="AH39" s="2699"/>
      <c r="AI39" s="2699"/>
      <c r="AJ39" s="2699"/>
      <c r="AK39" s="2699"/>
      <c r="AL39" s="2699"/>
      <c r="AM39" s="2699"/>
      <c r="AN39" s="2699"/>
      <c r="AO39" s="2713">
        <f t="shared" si="4"/>
        <v>0</v>
      </c>
      <c r="AP39" s="2713"/>
      <c r="AQ39" s="2713"/>
      <c r="AR39" s="2713"/>
      <c r="AS39" s="2713"/>
      <c r="AT39" s="2713"/>
      <c r="AU39" s="2714">
        <f t="shared" si="5"/>
        <v>0</v>
      </c>
      <c r="AV39" s="2714"/>
      <c r="AW39" s="2714"/>
      <c r="AX39" s="2714"/>
      <c r="AY39" s="2714"/>
      <c r="AZ39" s="2714"/>
      <c r="BA39" s="1529"/>
      <c r="BB39" s="1529"/>
      <c r="BC39" s="1529"/>
      <c r="BD39" s="1529"/>
      <c r="BE39" s="1535"/>
    </row>
    <row r="40" spans="1:58" ht="15.75" customHeight="1">
      <c r="A40" s="1818"/>
      <c r="B40" s="2691" t="s">
        <v>2065</v>
      </c>
      <c r="C40" s="2692"/>
      <c r="D40" s="2692"/>
      <c r="E40" s="2692"/>
      <c r="F40" s="2692"/>
      <c r="G40" s="2692"/>
      <c r="H40" s="2692"/>
      <c r="I40" s="2693"/>
      <c r="J40" s="2716"/>
      <c r="K40" s="2717"/>
      <c r="L40" s="2717"/>
      <c r="M40" s="2718"/>
      <c r="N40" s="2719"/>
      <c r="O40" s="2717"/>
      <c r="P40" s="2717"/>
      <c r="Q40" s="2720"/>
      <c r="R40" s="2699"/>
      <c r="S40" s="2699"/>
      <c r="T40" s="2699"/>
      <c r="U40" s="2699"/>
      <c r="V40" s="2699"/>
      <c r="W40" s="2699"/>
      <c r="X40" s="2699"/>
      <c r="Y40" s="2699"/>
      <c r="Z40" s="2699"/>
      <c r="AA40" s="2699"/>
      <c r="AB40" s="2699"/>
      <c r="AC40" s="2699"/>
      <c r="AD40" s="2699"/>
      <c r="AE40" s="2699"/>
      <c r="AF40" s="2699"/>
      <c r="AG40" s="2699"/>
      <c r="AH40" s="2699"/>
      <c r="AI40" s="2699"/>
      <c r="AJ40" s="2699"/>
      <c r="AK40" s="2699"/>
      <c r="AL40" s="2699"/>
      <c r="AM40" s="2699"/>
      <c r="AN40" s="2699"/>
      <c r="AO40" s="2713">
        <f t="shared" si="4"/>
        <v>0</v>
      </c>
      <c r="AP40" s="2713"/>
      <c r="AQ40" s="2713"/>
      <c r="AR40" s="2713"/>
      <c r="AS40" s="2713"/>
      <c r="AT40" s="2713"/>
      <c r="AU40" s="2714">
        <f t="shared" si="5"/>
        <v>0</v>
      </c>
      <c r="AV40" s="2714"/>
      <c r="AW40" s="2714"/>
      <c r="AX40" s="2714"/>
      <c r="AY40" s="2714"/>
      <c r="AZ40" s="2714"/>
      <c r="BA40" s="1529"/>
      <c r="BB40" s="1529"/>
      <c r="BC40" s="1529"/>
      <c r="BD40" s="1529"/>
      <c r="BE40" s="1535"/>
    </row>
    <row r="41" spans="1:58" ht="15.75" customHeight="1">
      <c r="A41" s="1818"/>
      <c r="B41" s="2721" t="s">
        <v>2066</v>
      </c>
      <c r="C41" s="2722"/>
      <c r="D41" s="2722"/>
      <c r="E41" s="2722"/>
      <c r="F41" s="2722"/>
      <c r="G41" s="2722"/>
      <c r="H41" s="2722"/>
      <c r="I41" s="2723"/>
      <c r="J41" s="2716"/>
      <c r="K41" s="2717"/>
      <c r="L41" s="2717"/>
      <c r="M41" s="2718"/>
      <c r="N41" s="2719"/>
      <c r="O41" s="2717"/>
      <c r="P41" s="2717"/>
      <c r="Q41" s="2720"/>
      <c r="R41" s="2699"/>
      <c r="S41" s="2699"/>
      <c r="T41" s="2699"/>
      <c r="U41" s="2699"/>
      <c r="V41" s="2699"/>
      <c r="W41" s="2699"/>
      <c r="X41" s="2699"/>
      <c r="Y41" s="2699"/>
      <c r="Z41" s="2699"/>
      <c r="AA41" s="2699"/>
      <c r="AB41" s="2699"/>
      <c r="AC41" s="2699"/>
      <c r="AD41" s="2699"/>
      <c r="AE41" s="2699"/>
      <c r="AF41" s="2699"/>
      <c r="AG41" s="2699"/>
      <c r="AH41" s="2699"/>
      <c r="AI41" s="2699"/>
      <c r="AJ41" s="2699"/>
      <c r="AK41" s="2699"/>
      <c r="AL41" s="2699"/>
      <c r="AM41" s="2699"/>
      <c r="AN41" s="2699"/>
      <c r="AO41" s="2713">
        <f t="shared" si="4"/>
        <v>0</v>
      </c>
      <c r="AP41" s="2713"/>
      <c r="AQ41" s="2713"/>
      <c r="AR41" s="2713"/>
      <c r="AS41" s="2713"/>
      <c r="AT41" s="2713"/>
      <c r="AU41" s="2714">
        <f t="shared" si="5"/>
        <v>0</v>
      </c>
      <c r="AV41" s="2714"/>
      <c r="AW41" s="2714"/>
      <c r="AX41" s="2714"/>
      <c r="AY41" s="2714"/>
      <c r="AZ41" s="2714"/>
      <c r="BA41" s="1529"/>
      <c r="BB41" s="1529"/>
      <c r="BC41" s="1529"/>
      <c r="BD41" s="1529"/>
      <c r="BE41" s="1535"/>
    </row>
    <row r="42" spans="1:58" ht="15.75" customHeight="1">
      <c r="A42" s="1818"/>
      <c r="B42" s="2721" t="s">
        <v>2066</v>
      </c>
      <c r="C42" s="2722"/>
      <c r="D42" s="2722"/>
      <c r="E42" s="2722"/>
      <c r="F42" s="2722"/>
      <c r="G42" s="2722"/>
      <c r="H42" s="2722"/>
      <c r="I42" s="2723"/>
      <c r="J42" s="2716"/>
      <c r="K42" s="2717"/>
      <c r="L42" s="2717"/>
      <c r="M42" s="2718"/>
      <c r="N42" s="2719"/>
      <c r="O42" s="2717"/>
      <c r="P42" s="2717"/>
      <c r="Q42" s="2720"/>
      <c r="R42" s="2699"/>
      <c r="S42" s="2699"/>
      <c r="T42" s="2699"/>
      <c r="U42" s="2699"/>
      <c r="V42" s="2699"/>
      <c r="W42" s="2699"/>
      <c r="X42" s="2699"/>
      <c r="Y42" s="2699"/>
      <c r="Z42" s="2699"/>
      <c r="AA42" s="2699"/>
      <c r="AB42" s="2699"/>
      <c r="AC42" s="2699"/>
      <c r="AD42" s="2699"/>
      <c r="AE42" s="2699"/>
      <c r="AF42" s="2699"/>
      <c r="AG42" s="2699"/>
      <c r="AH42" s="2699"/>
      <c r="AI42" s="2699"/>
      <c r="AJ42" s="2699"/>
      <c r="AK42" s="2699"/>
      <c r="AL42" s="2699"/>
      <c r="AM42" s="2699"/>
      <c r="AN42" s="2699"/>
      <c r="AO42" s="2713">
        <f t="shared" si="4"/>
        <v>0</v>
      </c>
      <c r="AP42" s="2713"/>
      <c r="AQ42" s="2713"/>
      <c r="AR42" s="2713"/>
      <c r="AS42" s="2713"/>
      <c r="AT42" s="2713"/>
      <c r="AU42" s="2714">
        <f t="shared" si="5"/>
        <v>0</v>
      </c>
      <c r="AV42" s="2714"/>
      <c r="AW42" s="2714"/>
      <c r="AX42" s="2714"/>
      <c r="AY42" s="2714"/>
      <c r="AZ42" s="2714"/>
      <c r="BA42" s="1529"/>
      <c r="BB42" s="1529"/>
      <c r="BC42" s="1529"/>
      <c r="BD42" s="1529"/>
      <c r="BE42" s="1535"/>
    </row>
    <row r="43" spans="1:58" ht="15.75" customHeight="1">
      <c r="A43" s="1818"/>
      <c r="B43" s="2724" t="s">
        <v>2067</v>
      </c>
      <c r="C43" s="2725"/>
      <c r="D43" s="2725"/>
      <c r="E43" s="2725"/>
      <c r="F43" s="2725"/>
      <c r="G43" s="2725"/>
      <c r="H43" s="2725"/>
      <c r="I43" s="2726"/>
      <c r="J43" s="2716"/>
      <c r="K43" s="2717"/>
      <c r="L43" s="2717"/>
      <c r="M43" s="2718"/>
      <c r="N43" s="2719"/>
      <c r="O43" s="2717"/>
      <c r="P43" s="2717"/>
      <c r="Q43" s="2720"/>
      <c r="R43" s="2699"/>
      <c r="S43" s="2699"/>
      <c r="T43" s="2699"/>
      <c r="U43" s="2699"/>
      <c r="V43" s="2699"/>
      <c r="W43" s="2699"/>
      <c r="X43" s="2699"/>
      <c r="Y43" s="2699"/>
      <c r="Z43" s="2699"/>
      <c r="AA43" s="2699"/>
      <c r="AB43" s="2699"/>
      <c r="AC43" s="2699"/>
      <c r="AD43" s="2699"/>
      <c r="AE43" s="2699"/>
      <c r="AF43" s="2699"/>
      <c r="AG43" s="2699"/>
      <c r="AH43" s="2699"/>
      <c r="AI43" s="2699"/>
      <c r="AJ43" s="2699"/>
      <c r="AK43" s="2699"/>
      <c r="AL43" s="2699"/>
      <c r="AM43" s="2699"/>
      <c r="AN43" s="2699"/>
      <c r="AO43" s="2713">
        <f t="shared" si="4"/>
        <v>0</v>
      </c>
      <c r="AP43" s="2713"/>
      <c r="AQ43" s="2713"/>
      <c r="AR43" s="2713"/>
      <c r="AS43" s="2713"/>
      <c r="AT43" s="2713"/>
      <c r="AU43" s="2714">
        <f t="shared" si="5"/>
        <v>0</v>
      </c>
      <c r="AV43" s="2714"/>
      <c r="AW43" s="2714"/>
      <c r="AX43" s="2714"/>
      <c r="AY43" s="2714"/>
      <c r="AZ43" s="2714"/>
      <c r="BA43" s="1529"/>
      <c r="BB43" s="1529"/>
      <c r="BC43" s="1529"/>
      <c r="BD43" s="1529"/>
      <c r="BE43" s="1535"/>
    </row>
    <row r="44" spans="1:58" ht="15.75" customHeight="1">
      <c r="A44" s="1818"/>
      <c r="B44" s="2724" t="s">
        <v>2068</v>
      </c>
      <c r="C44" s="2725"/>
      <c r="D44" s="2725"/>
      <c r="E44" s="2725"/>
      <c r="F44" s="2725"/>
      <c r="G44" s="2725"/>
      <c r="H44" s="2725"/>
      <c r="I44" s="2726"/>
      <c r="J44" s="2716"/>
      <c r="K44" s="2717"/>
      <c r="L44" s="2717"/>
      <c r="M44" s="2718"/>
      <c r="N44" s="2719"/>
      <c r="O44" s="2717"/>
      <c r="P44" s="2717"/>
      <c r="Q44" s="2720"/>
      <c r="R44" s="2699"/>
      <c r="S44" s="2699"/>
      <c r="T44" s="2699"/>
      <c r="U44" s="2699"/>
      <c r="V44" s="2699"/>
      <c r="W44" s="2699"/>
      <c r="X44" s="2699"/>
      <c r="Y44" s="2699"/>
      <c r="Z44" s="2699"/>
      <c r="AA44" s="2699"/>
      <c r="AB44" s="2699"/>
      <c r="AC44" s="2699"/>
      <c r="AD44" s="2699"/>
      <c r="AE44" s="2699"/>
      <c r="AF44" s="2699"/>
      <c r="AG44" s="2699"/>
      <c r="AH44" s="2699"/>
      <c r="AI44" s="2699"/>
      <c r="AJ44" s="2699"/>
      <c r="AK44" s="2699"/>
      <c r="AL44" s="2699"/>
      <c r="AM44" s="2699"/>
      <c r="AN44" s="2699"/>
      <c r="AO44" s="2713">
        <f t="shared" si="4"/>
        <v>0</v>
      </c>
      <c r="AP44" s="2713"/>
      <c r="AQ44" s="2713"/>
      <c r="AR44" s="2713"/>
      <c r="AS44" s="2713"/>
      <c r="AT44" s="2713"/>
      <c r="AU44" s="2714">
        <f t="shared" si="5"/>
        <v>0</v>
      </c>
      <c r="AV44" s="2714"/>
      <c r="AW44" s="2714"/>
      <c r="AX44" s="2714"/>
      <c r="AY44" s="2714"/>
      <c r="AZ44" s="2714"/>
      <c r="BA44" s="1529"/>
      <c r="BB44" s="1529"/>
      <c r="BC44" s="1529"/>
      <c r="BD44" s="1529"/>
      <c r="BE44" s="1535"/>
    </row>
    <row r="45" spans="1:58" ht="15.75" customHeight="1">
      <c r="A45" s="1818"/>
      <c r="B45" s="2727" t="s">
        <v>2069</v>
      </c>
      <c r="C45" s="2728"/>
      <c r="D45" s="2728"/>
      <c r="E45" s="2728"/>
      <c r="F45" s="2728"/>
      <c r="G45" s="2728"/>
      <c r="H45" s="2728"/>
      <c r="I45" s="2729"/>
      <c r="J45" s="2716"/>
      <c r="K45" s="2717"/>
      <c r="L45" s="2717"/>
      <c r="M45" s="2718"/>
      <c r="N45" s="2719"/>
      <c r="O45" s="2717"/>
      <c r="P45" s="2717"/>
      <c r="Q45" s="2720"/>
      <c r="R45" s="2699"/>
      <c r="S45" s="2699"/>
      <c r="T45" s="2699"/>
      <c r="U45" s="2699"/>
      <c r="V45" s="2699"/>
      <c r="W45" s="2699"/>
      <c r="X45" s="2699"/>
      <c r="Y45" s="2699"/>
      <c r="Z45" s="2699"/>
      <c r="AA45" s="2699"/>
      <c r="AB45" s="2699"/>
      <c r="AC45" s="2699"/>
      <c r="AD45" s="2699"/>
      <c r="AE45" s="2699"/>
      <c r="AF45" s="2699"/>
      <c r="AG45" s="2699"/>
      <c r="AH45" s="2699"/>
      <c r="AI45" s="2699"/>
      <c r="AJ45" s="2699"/>
      <c r="AK45" s="2699"/>
      <c r="AL45" s="2699"/>
      <c r="AM45" s="2699"/>
      <c r="AN45" s="2699"/>
      <c r="AO45" s="2713">
        <f t="shared" si="4"/>
        <v>0</v>
      </c>
      <c r="AP45" s="2713"/>
      <c r="AQ45" s="2713"/>
      <c r="AR45" s="2713"/>
      <c r="AS45" s="2713"/>
      <c r="AT45" s="2713"/>
      <c r="AU45" s="2714">
        <f t="shared" si="5"/>
        <v>0</v>
      </c>
      <c r="AV45" s="2714"/>
      <c r="AW45" s="2714"/>
      <c r="AX45" s="2714"/>
      <c r="AY45" s="2714"/>
      <c r="AZ45" s="2714"/>
      <c r="BA45" s="1529"/>
      <c r="BB45" s="1529"/>
      <c r="BC45" s="1529"/>
      <c r="BD45" s="1529"/>
      <c r="BE45" s="1535"/>
    </row>
    <row r="46" spans="1:58" ht="15.75" customHeight="1">
      <c r="A46" s="1818"/>
      <c r="B46" s="2727" t="s">
        <v>2070</v>
      </c>
      <c r="C46" s="2728"/>
      <c r="D46" s="2728"/>
      <c r="E46" s="2728"/>
      <c r="F46" s="2728"/>
      <c r="G46" s="2728"/>
      <c r="H46" s="2728"/>
      <c r="I46" s="2729"/>
      <c r="J46" s="2716"/>
      <c r="K46" s="2717"/>
      <c r="L46" s="2717"/>
      <c r="M46" s="2718"/>
      <c r="N46" s="2697">
        <v>99</v>
      </c>
      <c r="O46" s="2695"/>
      <c r="P46" s="2695"/>
      <c r="Q46" s="2698"/>
      <c r="R46" s="2699"/>
      <c r="S46" s="2699"/>
      <c r="T46" s="2699"/>
      <c r="U46" s="2699"/>
      <c r="V46" s="2699"/>
      <c r="W46" s="2699"/>
      <c r="X46" s="2699"/>
      <c r="Y46" s="2699"/>
      <c r="Z46" s="2699"/>
      <c r="AA46" s="2699"/>
      <c r="AB46" s="2699"/>
      <c r="AC46" s="2699"/>
      <c r="AD46" s="2699"/>
      <c r="AE46" s="2699"/>
      <c r="AF46" s="2699"/>
      <c r="AG46" s="2699"/>
      <c r="AH46" s="2699"/>
      <c r="AI46" s="2699"/>
      <c r="AJ46" s="2699"/>
      <c r="AK46" s="2699"/>
      <c r="AL46" s="2699"/>
      <c r="AM46" s="2699"/>
      <c r="AN46" s="2699"/>
      <c r="AO46" s="2713">
        <f t="shared" si="4"/>
        <v>0</v>
      </c>
      <c r="AP46" s="2713"/>
      <c r="AQ46" s="2713"/>
      <c r="AR46" s="2713"/>
      <c r="AS46" s="2713"/>
      <c r="AT46" s="2713"/>
      <c r="AU46" s="2714">
        <f t="shared" si="5"/>
        <v>0</v>
      </c>
      <c r="AV46" s="2714"/>
      <c r="AW46" s="2714"/>
      <c r="AX46" s="2714"/>
      <c r="AY46" s="2714"/>
      <c r="AZ46" s="2714"/>
      <c r="BA46" s="1529"/>
      <c r="BB46" s="1529"/>
      <c r="BC46" s="1529"/>
      <c r="BD46" s="1529"/>
      <c r="BE46" s="1535"/>
    </row>
    <row r="47" spans="1:58" ht="15.75" customHeight="1" thickBot="1">
      <c r="A47" s="1818"/>
      <c r="B47" s="2730" t="s">
        <v>308</v>
      </c>
      <c r="C47" s="2731"/>
      <c r="D47" s="2731"/>
      <c r="E47" s="2731"/>
      <c r="F47" s="2731"/>
      <c r="G47" s="2731"/>
      <c r="H47" s="2731"/>
      <c r="I47" s="2732"/>
      <c r="J47" s="2733"/>
      <c r="K47" s="2734"/>
      <c r="L47" s="2734"/>
      <c r="M47" s="2735"/>
      <c r="N47" s="2736"/>
      <c r="O47" s="2734"/>
      <c r="P47" s="2734"/>
      <c r="Q47" s="2737"/>
      <c r="R47" s="2699"/>
      <c r="S47" s="2699"/>
      <c r="T47" s="2699"/>
      <c r="U47" s="2699"/>
      <c r="V47" s="2699"/>
      <c r="W47" s="2699"/>
      <c r="X47" s="2699"/>
      <c r="Y47" s="2699"/>
      <c r="Z47" s="2699"/>
      <c r="AA47" s="2699"/>
      <c r="AB47" s="2699"/>
      <c r="AC47" s="2699"/>
      <c r="AD47" s="2699"/>
      <c r="AE47" s="2699"/>
      <c r="AF47" s="2699"/>
      <c r="AG47" s="2699"/>
      <c r="AH47" s="2699"/>
      <c r="AI47" s="2699"/>
      <c r="AJ47" s="2699"/>
      <c r="AK47" s="2699"/>
      <c r="AL47" s="2699"/>
      <c r="AM47" s="2699"/>
      <c r="AN47" s="2699"/>
      <c r="AO47" s="2713">
        <f t="shared" si="4"/>
        <v>0</v>
      </c>
      <c r="AP47" s="2713"/>
      <c r="AQ47" s="2713"/>
      <c r="AR47" s="2713"/>
      <c r="AS47" s="2713"/>
      <c r="AT47" s="2713"/>
      <c r="AU47" s="2714">
        <f t="shared" si="5"/>
        <v>0</v>
      </c>
      <c r="AV47" s="2714"/>
      <c r="AW47" s="2714"/>
      <c r="AX47" s="2714"/>
      <c r="AY47" s="2714"/>
      <c r="AZ47" s="2714"/>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8" t="s">
        <v>2073</v>
      </c>
      <c r="C50" s="2739"/>
      <c r="D50" s="2739"/>
      <c r="E50" s="2739"/>
      <c r="F50" s="2739"/>
      <c r="G50" s="2739"/>
      <c r="H50" s="2739"/>
      <c r="I50" s="2739"/>
      <c r="J50" s="2739"/>
      <c r="K50" s="2739"/>
      <c r="L50" s="2739"/>
      <c r="M50" s="2739"/>
      <c r="N50" s="2739"/>
      <c r="O50" s="2739"/>
      <c r="P50" s="2739"/>
      <c r="Q50" s="2739"/>
      <c r="R50" s="2739"/>
      <c r="S50" s="2739"/>
      <c r="T50" s="2739"/>
      <c r="U50" s="2739"/>
      <c r="V50" s="2739"/>
      <c r="W50" s="2739"/>
      <c r="X50" s="2739"/>
      <c r="Y50" s="2739"/>
      <c r="Z50" s="2739"/>
      <c r="AA50" s="2739"/>
      <c r="AB50" s="2739"/>
      <c r="AC50" s="2739"/>
      <c r="AD50" s="2739"/>
      <c r="AE50" s="2739"/>
      <c r="AF50" s="2739"/>
      <c r="AG50" s="2739"/>
      <c r="AH50" s="2739"/>
      <c r="AI50" s="2739"/>
      <c r="AJ50" s="2739"/>
      <c r="AK50" s="2739"/>
      <c r="AL50" s="2739"/>
      <c r="AM50" s="2739"/>
      <c r="AN50" s="2739"/>
      <c r="AO50" s="2740"/>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41" t="s">
        <v>2074</v>
      </c>
      <c r="C51" s="2742"/>
      <c r="D51" s="2742"/>
      <c r="E51" s="2742"/>
      <c r="F51" s="2742"/>
      <c r="G51" s="2742"/>
      <c r="H51" s="2742"/>
      <c r="I51" s="2743"/>
      <c r="J51" s="2741" t="s">
        <v>2075</v>
      </c>
      <c r="K51" s="2742"/>
      <c r="L51" s="2742"/>
      <c r="M51" s="2742"/>
      <c r="N51" s="2742"/>
      <c r="O51" s="2742"/>
      <c r="P51" s="2742"/>
      <c r="Q51" s="2743"/>
      <c r="R51" s="2744" t="s">
        <v>2076</v>
      </c>
      <c r="S51" s="2745"/>
      <c r="T51" s="2745"/>
      <c r="U51" s="2745"/>
      <c r="V51" s="2745"/>
      <c r="W51" s="2745"/>
      <c r="X51" s="2745"/>
      <c r="Y51" s="2746"/>
      <c r="Z51" s="2747" t="s">
        <v>2077</v>
      </c>
      <c r="AA51" s="2748"/>
      <c r="AB51" s="2748"/>
      <c r="AC51" s="2748"/>
      <c r="AD51" s="2748"/>
      <c r="AE51" s="2748"/>
      <c r="AF51" s="2748"/>
      <c r="AG51" s="2749"/>
      <c r="AH51" s="2747" t="s">
        <v>2078</v>
      </c>
      <c r="AI51" s="2748"/>
      <c r="AJ51" s="2748"/>
      <c r="AK51" s="2748"/>
      <c r="AL51" s="2748"/>
      <c r="AM51" s="2748"/>
      <c r="AN51" s="2748"/>
      <c r="AO51" s="2749"/>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50"/>
      <c r="C52" s="2751"/>
      <c r="D52" s="2751"/>
      <c r="E52" s="2751"/>
      <c r="F52" s="2751"/>
      <c r="G52" s="2751"/>
      <c r="H52" s="2751"/>
      <c r="I52" s="2751"/>
      <c r="J52" s="2751"/>
      <c r="K52" s="2751"/>
      <c r="L52" s="2751"/>
      <c r="M52" s="2751"/>
      <c r="N52" s="2751"/>
      <c r="O52" s="2751"/>
      <c r="P52" s="2751"/>
      <c r="Q52" s="2751"/>
      <c r="R52" s="2752"/>
      <c r="S52" s="2752"/>
      <c r="T52" s="2752"/>
      <c r="U52" s="2752"/>
      <c r="V52" s="2752"/>
      <c r="W52" s="2752"/>
      <c r="X52" s="2752"/>
      <c r="Y52" s="2752"/>
      <c r="Z52" s="2751"/>
      <c r="AA52" s="2751"/>
      <c r="AB52" s="2751"/>
      <c r="AC52" s="2751"/>
      <c r="AD52" s="2751"/>
      <c r="AE52" s="2751"/>
      <c r="AF52" s="2751"/>
      <c r="AG52" s="2751"/>
      <c r="AH52" s="2751"/>
      <c r="AI52" s="2751"/>
      <c r="AJ52" s="2751"/>
      <c r="AK52" s="2751"/>
      <c r="AL52" s="2751"/>
      <c r="AM52" s="2751"/>
      <c r="AN52" s="2751"/>
      <c r="AO52" s="2753"/>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50"/>
      <c r="C53" s="2751"/>
      <c r="D53" s="2751"/>
      <c r="E53" s="2751"/>
      <c r="F53" s="2751"/>
      <c r="G53" s="2751"/>
      <c r="H53" s="2751"/>
      <c r="I53" s="2751"/>
      <c r="J53" s="2751"/>
      <c r="K53" s="2751"/>
      <c r="L53" s="2751"/>
      <c r="M53" s="2751"/>
      <c r="N53" s="2751"/>
      <c r="O53" s="2751"/>
      <c r="P53" s="2751"/>
      <c r="Q53" s="2751"/>
      <c r="R53" s="2752"/>
      <c r="S53" s="2752"/>
      <c r="T53" s="2752"/>
      <c r="U53" s="2752"/>
      <c r="V53" s="2752"/>
      <c r="W53" s="2752"/>
      <c r="X53" s="2752"/>
      <c r="Y53" s="2752"/>
      <c r="Z53" s="2751"/>
      <c r="AA53" s="2751"/>
      <c r="AB53" s="2751"/>
      <c r="AC53" s="2751"/>
      <c r="AD53" s="2751"/>
      <c r="AE53" s="2751"/>
      <c r="AF53" s="2751"/>
      <c r="AG53" s="2751"/>
      <c r="AH53" s="2751"/>
      <c r="AI53" s="2751"/>
      <c r="AJ53" s="2751"/>
      <c r="AK53" s="2751"/>
      <c r="AL53" s="2751"/>
      <c r="AM53" s="2751"/>
      <c r="AN53" s="2751"/>
      <c r="AO53" s="2753"/>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50"/>
      <c r="C54" s="2751"/>
      <c r="D54" s="2751"/>
      <c r="E54" s="2751"/>
      <c r="F54" s="2751"/>
      <c r="G54" s="2751"/>
      <c r="H54" s="2751"/>
      <c r="I54" s="2751"/>
      <c r="J54" s="2751"/>
      <c r="K54" s="2751"/>
      <c r="L54" s="2751"/>
      <c r="M54" s="2751"/>
      <c r="N54" s="2751"/>
      <c r="O54" s="2751"/>
      <c r="P54" s="2751"/>
      <c r="Q54" s="2751"/>
      <c r="R54" s="2752"/>
      <c r="S54" s="2752"/>
      <c r="T54" s="2752"/>
      <c r="U54" s="2752"/>
      <c r="V54" s="2752"/>
      <c r="W54" s="2752"/>
      <c r="X54" s="2752"/>
      <c r="Y54" s="2752"/>
      <c r="Z54" s="2751"/>
      <c r="AA54" s="2751"/>
      <c r="AB54" s="2751"/>
      <c r="AC54" s="2751"/>
      <c r="AD54" s="2751"/>
      <c r="AE54" s="2751"/>
      <c r="AF54" s="2751"/>
      <c r="AG54" s="2751"/>
      <c r="AH54" s="2751"/>
      <c r="AI54" s="2751"/>
      <c r="AJ54" s="2751"/>
      <c r="AK54" s="2751"/>
      <c r="AL54" s="2751"/>
      <c r="AM54" s="2751"/>
      <c r="AN54" s="2751"/>
      <c r="AO54" s="2753"/>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50"/>
      <c r="C55" s="2751"/>
      <c r="D55" s="2751"/>
      <c r="E55" s="2751"/>
      <c r="F55" s="2751"/>
      <c r="G55" s="2751"/>
      <c r="H55" s="2751"/>
      <c r="I55" s="2751"/>
      <c r="J55" s="2751"/>
      <c r="K55" s="2751"/>
      <c r="L55" s="2751"/>
      <c r="M55" s="2751"/>
      <c r="N55" s="2751"/>
      <c r="O55" s="2751"/>
      <c r="P55" s="2751"/>
      <c r="Q55" s="2751"/>
      <c r="R55" s="2752"/>
      <c r="S55" s="2752"/>
      <c r="T55" s="2752"/>
      <c r="U55" s="2752"/>
      <c r="V55" s="2752"/>
      <c r="W55" s="2752"/>
      <c r="X55" s="2752"/>
      <c r="Y55" s="2752"/>
      <c r="Z55" s="2751"/>
      <c r="AA55" s="2751"/>
      <c r="AB55" s="2751"/>
      <c r="AC55" s="2751"/>
      <c r="AD55" s="2751"/>
      <c r="AE55" s="2751"/>
      <c r="AF55" s="2751"/>
      <c r="AG55" s="2751"/>
      <c r="AH55" s="2751"/>
      <c r="AI55" s="2751"/>
      <c r="AJ55" s="2751"/>
      <c r="AK55" s="2751"/>
      <c r="AL55" s="2751"/>
      <c r="AM55" s="2751"/>
      <c r="AN55" s="2751"/>
      <c r="AO55" s="2753"/>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3"/>
      <c r="C56" s="2764"/>
      <c r="D56" s="2764"/>
      <c r="E56" s="2764"/>
      <c r="F56" s="2764"/>
      <c r="G56" s="2764"/>
      <c r="H56" s="2764"/>
      <c r="I56" s="2764"/>
      <c r="J56" s="2764"/>
      <c r="K56" s="2764"/>
      <c r="L56" s="2764"/>
      <c r="M56" s="2764"/>
      <c r="N56" s="2764"/>
      <c r="O56" s="2764"/>
      <c r="P56" s="2764"/>
      <c r="Q56" s="2764"/>
      <c r="R56" s="2765"/>
      <c r="S56" s="2765"/>
      <c r="T56" s="2765"/>
      <c r="U56" s="2765"/>
      <c r="V56" s="2765"/>
      <c r="W56" s="2765"/>
      <c r="X56" s="2765"/>
      <c r="Y56" s="2765"/>
      <c r="Z56" s="2764"/>
      <c r="AA56" s="2764"/>
      <c r="AB56" s="2764"/>
      <c r="AC56" s="2764"/>
      <c r="AD56" s="2764"/>
      <c r="AE56" s="2764"/>
      <c r="AF56" s="2764"/>
      <c r="AG56" s="2764"/>
      <c r="AH56" s="2764"/>
      <c r="AI56" s="2764"/>
      <c r="AJ56" s="2764"/>
      <c r="AK56" s="2764"/>
      <c r="AL56" s="2764"/>
      <c r="AM56" s="2764"/>
      <c r="AN56" s="2764"/>
      <c r="AO56" s="2766"/>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7" t="s">
        <v>1880</v>
      </c>
      <c r="C57" s="2768"/>
      <c r="D57" s="2768"/>
      <c r="E57" s="2768"/>
      <c r="F57" s="2768"/>
      <c r="G57" s="2768"/>
      <c r="H57" s="2768"/>
      <c r="I57" s="2768"/>
      <c r="J57" s="2768"/>
      <c r="K57" s="2768"/>
      <c r="L57" s="2768"/>
      <c r="M57" s="2768"/>
      <c r="N57" s="2768"/>
      <c r="O57" s="2768"/>
      <c r="P57" s="2768"/>
      <c r="Q57" s="2768"/>
      <c r="R57" s="2769">
        <f>SUM(R52:Y56)</f>
        <v>0</v>
      </c>
      <c r="S57" s="2769"/>
      <c r="T57" s="2769"/>
      <c r="U57" s="2769"/>
      <c r="V57" s="2769"/>
      <c r="W57" s="2769"/>
      <c r="X57" s="2769"/>
      <c r="Y57" s="2769"/>
      <c r="Z57" s="2769">
        <f t="shared" ref="Z57" si="6">SUM(Z52:AG56)</f>
        <v>0</v>
      </c>
      <c r="AA57" s="2769"/>
      <c r="AB57" s="2769"/>
      <c r="AC57" s="2769"/>
      <c r="AD57" s="2769"/>
      <c r="AE57" s="2769"/>
      <c r="AF57" s="2769"/>
      <c r="AG57" s="2769"/>
      <c r="AH57" s="2769">
        <f t="shared" ref="AH57" si="7">SUM(AH52:AO56)</f>
        <v>0</v>
      </c>
      <c r="AI57" s="2769"/>
      <c r="AJ57" s="2769"/>
      <c r="AK57" s="2769"/>
      <c r="AL57" s="2769"/>
      <c r="AM57" s="2769"/>
      <c r="AN57" s="2769"/>
      <c r="AO57" s="2769"/>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4" t="s">
        <v>2074</v>
      </c>
      <c r="C59" s="2755"/>
      <c r="D59" s="2755"/>
      <c r="E59" s="2755"/>
      <c r="F59" s="2755"/>
      <c r="G59" s="2755"/>
      <c r="H59" s="2755"/>
      <c r="I59" s="2756"/>
      <c r="J59" s="2757" t="s">
        <v>2079</v>
      </c>
      <c r="K59" s="2757"/>
      <c r="L59" s="2757"/>
      <c r="M59" s="2757"/>
      <c r="N59" s="2757"/>
      <c r="O59" s="2757"/>
      <c r="P59" s="2757"/>
      <c r="Q59" s="2757"/>
      <c r="R59" s="2757"/>
      <c r="S59" s="2757"/>
      <c r="T59" s="2757"/>
      <c r="U59" s="2757"/>
      <c r="V59" s="2757"/>
      <c r="W59" s="2757"/>
      <c r="X59" s="2757"/>
      <c r="Y59" s="2757"/>
      <c r="Z59" s="2757"/>
      <c r="AA59" s="2757"/>
      <c r="AB59" s="2757"/>
      <c r="AC59" s="2757"/>
      <c r="AD59" s="2757"/>
      <c r="AE59" s="2757"/>
      <c r="AF59" s="2757"/>
      <c r="AG59" s="2757"/>
      <c r="AH59" s="2757"/>
      <c r="AI59" s="2757"/>
      <c r="AJ59" s="2757"/>
      <c r="AK59" s="2757"/>
      <c r="AL59" s="2757"/>
      <c r="AM59" s="2757"/>
      <c r="AN59" s="2757"/>
      <c r="AO59" s="2757"/>
      <c r="AP59" s="2757"/>
      <c r="AQ59" s="2757"/>
      <c r="AR59" s="2757"/>
      <c r="AS59" s="2757"/>
      <c r="AT59" s="2757"/>
      <c r="AU59" s="2757"/>
      <c r="AV59" s="2757"/>
      <c r="AW59" s="2758"/>
      <c r="AX59" s="1529"/>
      <c r="AY59" s="1529"/>
      <c r="AZ59" s="1529"/>
      <c r="BA59" s="1529"/>
      <c r="BB59" s="1529"/>
      <c r="BC59" s="1529"/>
      <c r="BD59" s="1529"/>
      <c r="BE59" s="1535"/>
    </row>
    <row r="60" spans="1:58" ht="15.75" customHeight="1">
      <c r="A60" s="1818"/>
      <c r="B60" s="2759" t="str">
        <f>IF(B52="", "", B52)</f>
        <v/>
      </c>
      <c r="C60" s="2760"/>
      <c r="D60" s="2760"/>
      <c r="E60" s="2760"/>
      <c r="F60" s="2760"/>
      <c r="G60" s="2760"/>
      <c r="H60" s="2760"/>
      <c r="I60" s="2761"/>
      <c r="J60" s="2762"/>
      <c r="K60" s="2751"/>
      <c r="L60" s="2751"/>
      <c r="M60" s="2751"/>
      <c r="N60" s="2751"/>
      <c r="O60" s="2751"/>
      <c r="P60" s="2751"/>
      <c r="Q60" s="2751"/>
      <c r="R60" s="2751"/>
      <c r="S60" s="2751"/>
      <c r="T60" s="2751"/>
      <c r="U60" s="2751"/>
      <c r="V60" s="2751"/>
      <c r="W60" s="2751"/>
      <c r="X60" s="2751"/>
      <c r="Y60" s="2751"/>
      <c r="Z60" s="2751"/>
      <c r="AA60" s="2751"/>
      <c r="AB60" s="2751"/>
      <c r="AC60" s="2751"/>
      <c r="AD60" s="2751"/>
      <c r="AE60" s="2751"/>
      <c r="AF60" s="2751"/>
      <c r="AG60" s="2751"/>
      <c r="AH60" s="2751"/>
      <c r="AI60" s="2751"/>
      <c r="AJ60" s="2751"/>
      <c r="AK60" s="2751"/>
      <c r="AL60" s="2751"/>
      <c r="AM60" s="2751"/>
      <c r="AN60" s="2751"/>
      <c r="AO60" s="2751"/>
      <c r="AP60" s="2751"/>
      <c r="AQ60" s="2751"/>
      <c r="AR60" s="2751"/>
      <c r="AS60" s="2751"/>
      <c r="AT60" s="2751"/>
      <c r="AU60" s="2751"/>
      <c r="AV60" s="2751"/>
      <c r="AW60" s="2753"/>
      <c r="AX60" s="1529"/>
      <c r="AY60" s="1529"/>
      <c r="AZ60" s="1529"/>
      <c r="BA60" s="1529"/>
      <c r="BB60" s="1529"/>
      <c r="BC60" s="1529"/>
      <c r="BD60" s="1529"/>
      <c r="BE60" s="1535"/>
    </row>
    <row r="61" spans="1:58" ht="15.75" customHeight="1">
      <c r="A61" s="1818"/>
      <c r="B61" s="2759" t="str">
        <f t="shared" ref="B61:B64" si="8">IF(B53="", "", B53)</f>
        <v/>
      </c>
      <c r="C61" s="2760"/>
      <c r="D61" s="2760"/>
      <c r="E61" s="2760"/>
      <c r="F61" s="2760"/>
      <c r="G61" s="2760"/>
      <c r="H61" s="2760"/>
      <c r="I61" s="2761"/>
      <c r="J61" s="2762"/>
      <c r="K61" s="2751"/>
      <c r="L61" s="2751"/>
      <c r="M61" s="2751"/>
      <c r="N61" s="2751"/>
      <c r="O61" s="2751"/>
      <c r="P61" s="2751"/>
      <c r="Q61" s="2751"/>
      <c r="R61" s="2751"/>
      <c r="S61" s="2751"/>
      <c r="T61" s="2751"/>
      <c r="U61" s="2751"/>
      <c r="V61" s="2751"/>
      <c r="W61" s="2751"/>
      <c r="X61" s="2751"/>
      <c r="Y61" s="2751"/>
      <c r="Z61" s="2751"/>
      <c r="AA61" s="2751"/>
      <c r="AB61" s="2751"/>
      <c r="AC61" s="2751"/>
      <c r="AD61" s="2751"/>
      <c r="AE61" s="2751"/>
      <c r="AF61" s="2751"/>
      <c r="AG61" s="2751"/>
      <c r="AH61" s="2751"/>
      <c r="AI61" s="2751"/>
      <c r="AJ61" s="2751"/>
      <c r="AK61" s="2751"/>
      <c r="AL61" s="2751"/>
      <c r="AM61" s="2751"/>
      <c r="AN61" s="2751"/>
      <c r="AO61" s="2751"/>
      <c r="AP61" s="2751"/>
      <c r="AQ61" s="2751"/>
      <c r="AR61" s="2751"/>
      <c r="AS61" s="2751"/>
      <c r="AT61" s="2751"/>
      <c r="AU61" s="2751"/>
      <c r="AV61" s="2751"/>
      <c r="AW61" s="2753"/>
      <c r="AX61" s="1529"/>
      <c r="AY61" s="1529"/>
      <c r="AZ61" s="1529"/>
      <c r="BA61" s="1529"/>
      <c r="BB61" s="1529"/>
      <c r="BC61" s="1529"/>
      <c r="BD61" s="1529"/>
      <c r="BE61" s="1535"/>
    </row>
    <row r="62" spans="1:58" ht="15.75" customHeight="1">
      <c r="A62" s="1818"/>
      <c r="B62" s="2759" t="str">
        <f t="shared" si="8"/>
        <v/>
      </c>
      <c r="C62" s="2760"/>
      <c r="D62" s="2760"/>
      <c r="E62" s="2760"/>
      <c r="F62" s="2760"/>
      <c r="G62" s="2760"/>
      <c r="H62" s="2760"/>
      <c r="I62" s="2761"/>
      <c r="J62" s="2762"/>
      <c r="K62" s="2751"/>
      <c r="L62" s="2751"/>
      <c r="M62" s="2751"/>
      <c r="N62" s="2751"/>
      <c r="O62" s="2751"/>
      <c r="P62" s="2751"/>
      <c r="Q62" s="2751"/>
      <c r="R62" s="2751"/>
      <c r="S62" s="2751"/>
      <c r="T62" s="2751"/>
      <c r="U62" s="2751"/>
      <c r="V62" s="2751"/>
      <c r="W62" s="2751"/>
      <c r="X62" s="2751"/>
      <c r="Y62" s="2751"/>
      <c r="Z62" s="2751"/>
      <c r="AA62" s="2751"/>
      <c r="AB62" s="2751"/>
      <c r="AC62" s="2751"/>
      <c r="AD62" s="2751"/>
      <c r="AE62" s="2751"/>
      <c r="AF62" s="2751"/>
      <c r="AG62" s="2751"/>
      <c r="AH62" s="2751"/>
      <c r="AI62" s="2751"/>
      <c r="AJ62" s="2751"/>
      <c r="AK62" s="2751"/>
      <c r="AL62" s="2751"/>
      <c r="AM62" s="2751"/>
      <c r="AN62" s="2751"/>
      <c r="AO62" s="2751"/>
      <c r="AP62" s="2751"/>
      <c r="AQ62" s="2751"/>
      <c r="AR62" s="2751"/>
      <c r="AS62" s="2751"/>
      <c r="AT62" s="2751"/>
      <c r="AU62" s="2751"/>
      <c r="AV62" s="2751"/>
      <c r="AW62" s="2753"/>
      <c r="AX62" s="1529"/>
      <c r="AY62" s="1529"/>
      <c r="AZ62" s="1529"/>
      <c r="BA62" s="1529"/>
      <c r="BB62" s="1529"/>
      <c r="BC62" s="1529"/>
      <c r="BD62" s="1529"/>
      <c r="BE62" s="1535"/>
    </row>
    <row r="63" spans="1:58" ht="15.75" customHeight="1">
      <c r="A63" s="1818"/>
      <c r="B63" s="2759" t="str">
        <f t="shared" si="8"/>
        <v/>
      </c>
      <c r="C63" s="2760"/>
      <c r="D63" s="2760"/>
      <c r="E63" s="2760"/>
      <c r="F63" s="2760"/>
      <c r="G63" s="2760"/>
      <c r="H63" s="2760"/>
      <c r="I63" s="2761"/>
      <c r="J63" s="2762"/>
      <c r="K63" s="2751"/>
      <c r="L63" s="2751"/>
      <c r="M63" s="2751"/>
      <c r="N63" s="2751"/>
      <c r="O63" s="2751"/>
      <c r="P63" s="2751"/>
      <c r="Q63" s="2751"/>
      <c r="R63" s="2751"/>
      <c r="S63" s="2751"/>
      <c r="T63" s="2751"/>
      <c r="U63" s="2751"/>
      <c r="V63" s="2751"/>
      <c r="W63" s="2751"/>
      <c r="X63" s="2751"/>
      <c r="Y63" s="2751"/>
      <c r="Z63" s="2751"/>
      <c r="AA63" s="2751"/>
      <c r="AB63" s="2751"/>
      <c r="AC63" s="2751"/>
      <c r="AD63" s="2751"/>
      <c r="AE63" s="2751"/>
      <c r="AF63" s="2751"/>
      <c r="AG63" s="2751"/>
      <c r="AH63" s="2751"/>
      <c r="AI63" s="2751"/>
      <c r="AJ63" s="2751"/>
      <c r="AK63" s="2751"/>
      <c r="AL63" s="2751"/>
      <c r="AM63" s="2751"/>
      <c r="AN63" s="2751"/>
      <c r="AO63" s="2751"/>
      <c r="AP63" s="2751"/>
      <c r="AQ63" s="2751"/>
      <c r="AR63" s="2751"/>
      <c r="AS63" s="2751"/>
      <c r="AT63" s="2751"/>
      <c r="AU63" s="2751"/>
      <c r="AV63" s="2751"/>
      <c r="AW63" s="2753"/>
      <c r="AX63" s="1529"/>
      <c r="AY63" s="1529"/>
      <c r="AZ63" s="1529"/>
      <c r="BA63" s="1529"/>
      <c r="BB63" s="1529"/>
      <c r="BC63" s="1529"/>
      <c r="BD63" s="1529"/>
      <c r="BE63" s="1535"/>
    </row>
    <row r="64" spans="1:58" ht="15.75" customHeight="1" thickBot="1">
      <c r="A64" s="1818"/>
      <c r="B64" s="2782" t="str">
        <f t="shared" si="8"/>
        <v/>
      </c>
      <c r="C64" s="2783"/>
      <c r="D64" s="2783"/>
      <c r="E64" s="2783"/>
      <c r="F64" s="2783"/>
      <c r="G64" s="2783"/>
      <c r="H64" s="2783"/>
      <c r="I64" s="2784"/>
      <c r="J64" s="2785"/>
      <c r="K64" s="2764"/>
      <c r="L64" s="2764"/>
      <c r="M64" s="2764"/>
      <c r="N64" s="2764"/>
      <c r="O64" s="2764"/>
      <c r="P64" s="2764"/>
      <c r="Q64" s="2764"/>
      <c r="R64" s="2764"/>
      <c r="S64" s="2764"/>
      <c r="T64" s="2764"/>
      <c r="U64" s="2764"/>
      <c r="V64" s="2764"/>
      <c r="W64" s="2764"/>
      <c r="X64" s="2764"/>
      <c r="Y64" s="2764"/>
      <c r="Z64" s="2764"/>
      <c r="AA64" s="2764"/>
      <c r="AB64" s="2764"/>
      <c r="AC64" s="2764"/>
      <c r="AD64" s="2764"/>
      <c r="AE64" s="2764"/>
      <c r="AF64" s="2764"/>
      <c r="AG64" s="2764"/>
      <c r="AH64" s="2764"/>
      <c r="AI64" s="2764"/>
      <c r="AJ64" s="2764"/>
      <c r="AK64" s="2764"/>
      <c r="AL64" s="2764"/>
      <c r="AM64" s="2764"/>
      <c r="AN64" s="2764"/>
      <c r="AO64" s="2764"/>
      <c r="AP64" s="2764"/>
      <c r="AQ64" s="2764"/>
      <c r="AR64" s="2764"/>
      <c r="AS64" s="2764"/>
      <c r="AT64" s="2764"/>
      <c r="AU64" s="2764"/>
      <c r="AV64" s="2764"/>
      <c r="AW64" s="2766"/>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7" t="s">
        <v>2081</v>
      </c>
      <c r="C68" s="2638"/>
      <c r="D68" s="2638"/>
      <c r="E68" s="2638"/>
      <c r="F68" s="2638"/>
      <c r="G68" s="2638"/>
      <c r="H68" s="2638"/>
      <c r="I68" s="2638"/>
      <c r="J68" s="2638"/>
      <c r="K68" s="2638"/>
      <c r="L68" s="2638"/>
      <c r="M68" s="2638"/>
      <c r="N68" s="2638"/>
      <c r="O68" s="2638"/>
      <c r="P68" s="2638"/>
      <c r="Q68" s="2638"/>
      <c r="R68" s="2638"/>
      <c r="S68" s="2638"/>
      <c r="T68" s="2638"/>
      <c r="U68" s="2638"/>
      <c r="V68" s="2638"/>
      <c r="W68" s="2638"/>
      <c r="X68" s="2638"/>
      <c r="Y68" s="2638"/>
      <c r="Z68" s="2638"/>
      <c r="AA68" s="2639"/>
      <c r="AB68" s="1529"/>
      <c r="AC68" s="2796" t="s">
        <v>2082</v>
      </c>
      <c r="AD68" s="2797"/>
      <c r="AE68" s="2797"/>
      <c r="AF68" s="2797"/>
      <c r="AG68" s="2797"/>
      <c r="AH68" s="2797"/>
      <c r="AI68" s="2797"/>
      <c r="AJ68" s="2797"/>
      <c r="AK68" s="2797"/>
      <c r="AL68" s="2797"/>
      <c r="AM68" s="2797"/>
      <c r="AN68" s="2797"/>
      <c r="AO68" s="2797"/>
      <c r="AP68" s="2797"/>
      <c r="AQ68" s="2797"/>
      <c r="AR68" s="2797"/>
      <c r="AS68" s="2797"/>
      <c r="AT68" s="2797"/>
      <c r="AU68" s="2797"/>
      <c r="AV68" s="2770" t="s">
        <v>2038</v>
      </c>
      <c r="AW68" s="2770"/>
      <c r="AX68" s="2770"/>
      <c r="AY68" s="2770"/>
      <c r="AZ68" s="2770"/>
      <c r="BA68" s="2770"/>
      <c r="BB68" s="2770"/>
      <c r="BC68" s="2771"/>
      <c r="BD68" s="1529"/>
      <c r="BE68" s="1535"/>
    </row>
    <row r="69" spans="1:57" ht="15.75" customHeight="1" thickBot="1">
      <c r="A69" s="1818"/>
      <c r="B69" s="2772" t="s">
        <v>2083</v>
      </c>
      <c r="C69" s="2773"/>
      <c r="D69" s="2773"/>
      <c r="E69" s="2773"/>
      <c r="F69" s="2773"/>
      <c r="G69" s="2773"/>
      <c r="H69" s="2773"/>
      <c r="I69" s="2773"/>
      <c r="J69" s="2773"/>
      <c r="K69" s="2773"/>
      <c r="L69" s="2773"/>
      <c r="M69" s="2773"/>
      <c r="N69" s="2773"/>
      <c r="O69" s="2774" t="s">
        <v>2084</v>
      </c>
      <c r="P69" s="2775"/>
      <c r="Q69" s="2775"/>
      <c r="R69" s="2775"/>
      <c r="S69" s="2775"/>
      <c r="T69" s="2775"/>
      <c r="U69" s="2775"/>
      <c r="V69" s="2775"/>
      <c r="W69" s="2775"/>
      <c r="X69" s="2775"/>
      <c r="Y69" s="2775"/>
      <c r="Z69" s="2775"/>
      <c r="AA69" s="2776"/>
      <c r="AB69" s="1529"/>
      <c r="AC69" s="2777" t="s">
        <v>2085</v>
      </c>
      <c r="AD69" s="2778"/>
      <c r="AE69" s="2778"/>
      <c r="AF69" s="2778"/>
      <c r="AG69" s="2778"/>
      <c r="AH69" s="2778"/>
      <c r="AI69" s="2778"/>
      <c r="AJ69" s="2778"/>
      <c r="AK69" s="2778"/>
      <c r="AL69" s="2778"/>
      <c r="AM69" s="2778"/>
      <c r="AN69" s="2778"/>
      <c r="AO69" s="2778"/>
      <c r="AP69" s="2778"/>
      <c r="AQ69" s="2778"/>
      <c r="AR69" s="2778"/>
      <c r="AS69" s="2778"/>
      <c r="AT69" s="2778"/>
      <c r="AU69" s="2778"/>
      <c r="AV69" s="2779">
        <v>44197</v>
      </c>
      <c r="AW69" s="2780"/>
      <c r="AX69" s="2780"/>
      <c r="AY69" s="2780"/>
      <c r="AZ69" s="2780"/>
      <c r="BA69" s="2780"/>
      <c r="BB69" s="2780"/>
      <c r="BC69" s="2781"/>
      <c r="BD69" s="1529"/>
      <c r="BE69" s="1535"/>
    </row>
    <row r="70" spans="1:57" ht="15.75" customHeight="1">
      <c r="A70" s="1818"/>
      <c r="B70" s="2786"/>
      <c r="C70" s="2787"/>
      <c r="D70" s="2787"/>
      <c r="E70" s="2787"/>
      <c r="F70" s="2787"/>
      <c r="G70" s="2787"/>
      <c r="H70" s="2787"/>
      <c r="I70" s="2787"/>
      <c r="J70" s="2787"/>
      <c r="K70" s="2787"/>
      <c r="L70" s="2787"/>
      <c r="M70" s="2787"/>
      <c r="N70" s="2787"/>
      <c r="O70" s="2788"/>
      <c r="P70" s="2788"/>
      <c r="Q70" s="2788"/>
      <c r="R70" s="2788"/>
      <c r="S70" s="2788"/>
      <c r="T70" s="2788"/>
      <c r="U70" s="2788"/>
      <c r="V70" s="2788"/>
      <c r="W70" s="2788"/>
      <c r="X70" s="2788"/>
      <c r="Y70" s="2788"/>
      <c r="Z70" s="2788"/>
      <c r="AA70" s="2789"/>
      <c r="AB70" s="1529"/>
      <c r="AC70" s="2790" t="s">
        <v>2086</v>
      </c>
      <c r="AD70" s="2791"/>
      <c r="AE70" s="2791"/>
      <c r="AF70" s="2792"/>
      <c r="AG70" s="2792"/>
      <c r="AH70" s="2792"/>
      <c r="AI70" s="2792"/>
      <c r="AJ70" s="2792"/>
      <c r="AK70" s="2792"/>
      <c r="AL70" s="2792"/>
      <c r="AM70" s="2792"/>
      <c r="AN70" s="2792"/>
      <c r="AO70" s="2792"/>
      <c r="AP70" s="2792"/>
      <c r="AQ70" s="2792"/>
      <c r="AR70" s="2792"/>
      <c r="AS70" s="2792"/>
      <c r="AT70" s="2792"/>
      <c r="AU70" s="2793"/>
      <c r="AV70" s="1529"/>
      <c r="AW70" s="1529"/>
      <c r="AX70" s="1529"/>
      <c r="AY70" s="1529"/>
      <c r="AZ70" s="1529"/>
      <c r="BA70" s="1529"/>
      <c r="BB70" s="1529"/>
      <c r="BC70" s="1529"/>
      <c r="BD70" s="1529"/>
      <c r="BE70" s="1535"/>
    </row>
    <row r="71" spans="1:57" ht="15.75" customHeight="1" thickBot="1">
      <c r="A71" s="1818"/>
      <c r="B71" s="2719"/>
      <c r="C71" s="2717"/>
      <c r="D71" s="2717"/>
      <c r="E71" s="2717"/>
      <c r="F71" s="2717"/>
      <c r="G71" s="2717"/>
      <c r="H71" s="2717"/>
      <c r="I71" s="2717"/>
      <c r="J71" s="2717"/>
      <c r="K71" s="2717"/>
      <c r="L71" s="2717"/>
      <c r="M71" s="2717"/>
      <c r="N71" s="2717"/>
      <c r="O71" s="2788"/>
      <c r="P71" s="2788"/>
      <c r="Q71" s="2788"/>
      <c r="R71" s="2788"/>
      <c r="S71" s="2788"/>
      <c r="T71" s="2788"/>
      <c r="U71" s="2788"/>
      <c r="V71" s="2788"/>
      <c r="W71" s="2788"/>
      <c r="X71" s="2788"/>
      <c r="Y71" s="2788"/>
      <c r="Z71" s="2788"/>
      <c r="AA71" s="2789"/>
      <c r="AB71" s="1529"/>
      <c r="AC71" s="2794" t="s">
        <v>2087</v>
      </c>
      <c r="AD71" s="2795"/>
      <c r="AE71" s="2795"/>
      <c r="AF71" s="2734"/>
      <c r="AG71" s="2734"/>
      <c r="AH71" s="2734"/>
      <c r="AI71" s="2734"/>
      <c r="AJ71" s="2734"/>
      <c r="AK71" s="2734"/>
      <c r="AL71" s="2734"/>
      <c r="AM71" s="2734"/>
      <c r="AN71" s="2734"/>
      <c r="AO71" s="2734"/>
      <c r="AP71" s="2734"/>
      <c r="AQ71" s="2734"/>
      <c r="AR71" s="2734"/>
      <c r="AS71" s="2734"/>
      <c r="AT71" s="2734"/>
      <c r="AU71" s="2735"/>
      <c r="AV71" s="1529"/>
      <c r="AW71" s="1529"/>
      <c r="AX71" s="1529"/>
      <c r="AY71" s="1529"/>
      <c r="AZ71" s="1529"/>
      <c r="BA71" s="1529"/>
      <c r="BB71" s="1529"/>
      <c r="BC71" s="1529"/>
      <c r="BD71" s="1529"/>
      <c r="BE71" s="1535"/>
    </row>
    <row r="72" spans="1:57" ht="15.75" customHeight="1">
      <c r="A72" s="1818"/>
      <c r="B72" s="2719"/>
      <c r="C72" s="2717"/>
      <c r="D72" s="2717"/>
      <c r="E72" s="2717"/>
      <c r="F72" s="2717"/>
      <c r="G72" s="2717"/>
      <c r="H72" s="2717"/>
      <c r="I72" s="2717"/>
      <c r="J72" s="2717"/>
      <c r="K72" s="2717"/>
      <c r="L72" s="2717"/>
      <c r="M72" s="2717"/>
      <c r="N72" s="2717"/>
      <c r="O72" s="2788"/>
      <c r="P72" s="2788"/>
      <c r="Q72" s="2788"/>
      <c r="R72" s="2788"/>
      <c r="S72" s="2788"/>
      <c r="T72" s="2788"/>
      <c r="U72" s="2788"/>
      <c r="V72" s="2788"/>
      <c r="W72" s="2788"/>
      <c r="X72" s="2788"/>
      <c r="Y72" s="2788"/>
      <c r="Z72" s="2788"/>
      <c r="AA72" s="2789"/>
      <c r="AB72" s="1529"/>
      <c r="AC72" s="2803" t="s">
        <v>2088</v>
      </c>
      <c r="AD72" s="2804"/>
      <c r="AE72" s="2804"/>
      <c r="AF72" s="2804"/>
      <c r="AG72" s="2804"/>
      <c r="AH72" s="2804"/>
      <c r="AI72" s="2804"/>
      <c r="AJ72" s="2804"/>
      <c r="AK72" s="2804"/>
      <c r="AL72" s="2804"/>
      <c r="AM72" s="2804"/>
      <c r="AN72" s="2804"/>
      <c r="AO72" s="2804"/>
      <c r="AP72" s="2804"/>
      <c r="AQ72" s="2804"/>
      <c r="AR72" s="2804"/>
      <c r="AS72" s="2804"/>
      <c r="AT72" s="2804"/>
      <c r="AU72" s="2804"/>
      <c r="AV72" s="2804"/>
      <c r="AW72" s="2804"/>
      <c r="AX72" s="2804"/>
      <c r="AY72" s="2804"/>
      <c r="AZ72" s="2804"/>
      <c r="BA72" s="2804"/>
      <c r="BB72" s="2804"/>
      <c r="BC72" s="2805"/>
      <c r="BD72" s="1529"/>
      <c r="BE72" s="1535"/>
    </row>
    <row r="73" spans="1:57" ht="15.75" customHeight="1">
      <c r="A73" s="1818"/>
      <c r="B73" s="2719"/>
      <c r="C73" s="2717"/>
      <c r="D73" s="2717"/>
      <c r="E73" s="2717"/>
      <c r="F73" s="2717"/>
      <c r="G73" s="2717"/>
      <c r="H73" s="2717"/>
      <c r="I73" s="2717"/>
      <c r="J73" s="2717"/>
      <c r="K73" s="2717"/>
      <c r="L73" s="2717"/>
      <c r="M73" s="2717"/>
      <c r="N73" s="2717"/>
      <c r="O73" s="2788"/>
      <c r="P73" s="2788"/>
      <c r="Q73" s="2788"/>
      <c r="R73" s="2788"/>
      <c r="S73" s="2788"/>
      <c r="T73" s="2788"/>
      <c r="U73" s="2788"/>
      <c r="V73" s="2788"/>
      <c r="W73" s="2788"/>
      <c r="X73" s="2788"/>
      <c r="Y73" s="2788"/>
      <c r="Z73" s="2788"/>
      <c r="AA73" s="2789"/>
      <c r="AB73" s="1529"/>
      <c r="AC73" s="2719"/>
      <c r="AD73" s="2717"/>
      <c r="AE73" s="2717"/>
      <c r="AF73" s="2717"/>
      <c r="AG73" s="2717"/>
      <c r="AH73" s="2717"/>
      <c r="AI73" s="2717"/>
      <c r="AJ73" s="2717"/>
      <c r="AK73" s="2717"/>
      <c r="AL73" s="2717"/>
      <c r="AM73" s="2717"/>
      <c r="AN73" s="2717"/>
      <c r="AO73" s="2717"/>
      <c r="AP73" s="2717"/>
      <c r="AQ73" s="2717"/>
      <c r="AR73" s="2717"/>
      <c r="AS73" s="2717"/>
      <c r="AT73" s="2717"/>
      <c r="AU73" s="2717"/>
      <c r="AV73" s="2717"/>
      <c r="AW73" s="2717"/>
      <c r="AX73" s="2717"/>
      <c r="AY73" s="2717"/>
      <c r="AZ73" s="2717"/>
      <c r="BA73" s="2717"/>
      <c r="BB73" s="2717"/>
      <c r="BC73" s="2718"/>
      <c r="BD73" s="1529"/>
      <c r="BE73" s="1535"/>
    </row>
    <row r="74" spans="1:57" ht="15.75" customHeight="1" thickBot="1">
      <c r="A74" s="1818"/>
      <c r="B74" s="2719"/>
      <c r="C74" s="2717"/>
      <c r="D74" s="2717"/>
      <c r="E74" s="2717"/>
      <c r="F74" s="2717"/>
      <c r="G74" s="2717"/>
      <c r="H74" s="2717"/>
      <c r="I74" s="2717"/>
      <c r="J74" s="2717"/>
      <c r="K74" s="2717"/>
      <c r="L74" s="2717"/>
      <c r="M74" s="2717"/>
      <c r="N74" s="2717"/>
      <c r="O74" s="2806"/>
      <c r="P74" s="2806"/>
      <c r="Q74" s="2806"/>
      <c r="R74" s="2806"/>
      <c r="S74" s="2806"/>
      <c r="T74" s="2806"/>
      <c r="U74" s="2806"/>
      <c r="V74" s="2806"/>
      <c r="W74" s="2806"/>
      <c r="X74" s="2806"/>
      <c r="Y74" s="2806"/>
      <c r="Z74" s="2806"/>
      <c r="AA74" s="2807"/>
      <c r="AB74" s="1529"/>
      <c r="AC74" s="2719"/>
      <c r="AD74" s="2717"/>
      <c r="AE74" s="2717"/>
      <c r="AF74" s="2717"/>
      <c r="AG74" s="2717"/>
      <c r="AH74" s="2717"/>
      <c r="AI74" s="2717"/>
      <c r="AJ74" s="2717"/>
      <c r="AK74" s="2717"/>
      <c r="AL74" s="2717"/>
      <c r="AM74" s="2717"/>
      <c r="AN74" s="2717"/>
      <c r="AO74" s="2717"/>
      <c r="AP74" s="2717"/>
      <c r="AQ74" s="2717"/>
      <c r="AR74" s="2717"/>
      <c r="AS74" s="2717"/>
      <c r="AT74" s="2717"/>
      <c r="AU74" s="2717"/>
      <c r="AV74" s="2717"/>
      <c r="AW74" s="2717"/>
      <c r="AX74" s="2717"/>
      <c r="AY74" s="2717"/>
      <c r="AZ74" s="2717"/>
      <c r="BA74" s="2717"/>
      <c r="BB74" s="2717"/>
      <c r="BC74" s="2718"/>
      <c r="BD74" s="1529"/>
      <c r="BE74" s="1535"/>
    </row>
    <row r="75" spans="1:57" ht="15.75" customHeight="1" thickTop="1" thickBot="1">
      <c r="A75" s="1818"/>
      <c r="B75" s="2808" t="s">
        <v>129</v>
      </c>
      <c r="C75" s="2809"/>
      <c r="D75" s="2809"/>
      <c r="E75" s="2809"/>
      <c r="F75" s="2809"/>
      <c r="G75" s="2809"/>
      <c r="H75" s="2809"/>
      <c r="I75" s="2809"/>
      <c r="J75" s="2809"/>
      <c r="K75" s="2809"/>
      <c r="L75" s="2809"/>
      <c r="M75" s="2809"/>
      <c r="N75" s="2809"/>
      <c r="O75" s="2810">
        <f>SUM(O70:AA74)</f>
        <v>0</v>
      </c>
      <c r="P75" s="2811"/>
      <c r="Q75" s="2811"/>
      <c r="R75" s="2811"/>
      <c r="S75" s="2811"/>
      <c r="T75" s="2811"/>
      <c r="U75" s="2811"/>
      <c r="V75" s="2811"/>
      <c r="W75" s="2811"/>
      <c r="X75" s="2811"/>
      <c r="Y75" s="2811"/>
      <c r="Z75" s="2811"/>
      <c r="AA75" s="2812"/>
      <c r="AB75" s="1529"/>
      <c r="AC75" s="2719"/>
      <c r="AD75" s="2717"/>
      <c r="AE75" s="2717"/>
      <c r="AF75" s="2717"/>
      <c r="AG75" s="2717"/>
      <c r="AH75" s="2717"/>
      <c r="AI75" s="2717"/>
      <c r="AJ75" s="2717"/>
      <c r="AK75" s="2717"/>
      <c r="AL75" s="2717"/>
      <c r="AM75" s="2717"/>
      <c r="AN75" s="2717"/>
      <c r="AO75" s="2717"/>
      <c r="AP75" s="2717"/>
      <c r="AQ75" s="2717"/>
      <c r="AR75" s="2717"/>
      <c r="AS75" s="2717"/>
      <c r="AT75" s="2717"/>
      <c r="AU75" s="2717"/>
      <c r="AV75" s="2717"/>
      <c r="AW75" s="2717"/>
      <c r="AX75" s="2717"/>
      <c r="AY75" s="2717"/>
      <c r="AZ75" s="2717"/>
      <c r="BA75" s="2717"/>
      <c r="BB75" s="2717"/>
      <c r="BC75" s="2718"/>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9"/>
      <c r="AD76" s="2717"/>
      <c r="AE76" s="2717"/>
      <c r="AF76" s="2717"/>
      <c r="AG76" s="2717"/>
      <c r="AH76" s="2717"/>
      <c r="AI76" s="2717"/>
      <c r="AJ76" s="2717"/>
      <c r="AK76" s="2717"/>
      <c r="AL76" s="2717"/>
      <c r="AM76" s="2717"/>
      <c r="AN76" s="2717"/>
      <c r="AO76" s="2717"/>
      <c r="AP76" s="2717"/>
      <c r="AQ76" s="2717"/>
      <c r="AR76" s="2717"/>
      <c r="AS76" s="2717"/>
      <c r="AT76" s="2717"/>
      <c r="AU76" s="2717"/>
      <c r="AV76" s="2717"/>
      <c r="AW76" s="2717"/>
      <c r="AX76" s="2717"/>
      <c r="AY76" s="2717"/>
      <c r="AZ76" s="2717"/>
      <c r="BA76" s="2717"/>
      <c r="BB76" s="2717"/>
      <c r="BC76" s="2718"/>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6"/>
      <c r="AD77" s="2734"/>
      <c r="AE77" s="2734"/>
      <c r="AF77" s="2734"/>
      <c r="AG77" s="2734"/>
      <c r="AH77" s="2734"/>
      <c r="AI77" s="2734"/>
      <c r="AJ77" s="2734"/>
      <c r="AK77" s="2734"/>
      <c r="AL77" s="2734"/>
      <c r="AM77" s="2734"/>
      <c r="AN77" s="2734"/>
      <c r="AO77" s="2734"/>
      <c r="AP77" s="2734"/>
      <c r="AQ77" s="2734"/>
      <c r="AR77" s="2734"/>
      <c r="AS77" s="2734"/>
      <c r="AT77" s="2734"/>
      <c r="AU77" s="2734"/>
      <c r="AV77" s="2734"/>
      <c r="AW77" s="2734"/>
      <c r="AX77" s="2734"/>
      <c r="AY77" s="2734"/>
      <c r="AZ77" s="2734"/>
      <c r="BA77" s="2734"/>
      <c r="BB77" s="2734"/>
      <c r="BC77" s="273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8" t="s">
        <v>2090</v>
      </c>
      <c r="C79" s="2609"/>
      <c r="D79" s="2609"/>
      <c r="E79" s="2609"/>
      <c r="F79" s="2609"/>
      <c r="G79" s="2609"/>
      <c r="H79" s="2609"/>
      <c r="I79" s="2609"/>
      <c r="J79" s="2609"/>
      <c r="K79" s="2609"/>
      <c r="L79" s="2609"/>
      <c r="M79" s="2609"/>
      <c r="N79" s="2609"/>
      <c r="O79" s="2609"/>
      <c r="P79" s="2609"/>
      <c r="Q79" s="2609"/>
      <c r="R79" s="2609"/>
      <c r="S79" s="2609"/>
      <c r="T79" s="2609"/>
      <c r="U79" s="2609"/>
      <c r="V79" s="2609"/>
      <c r="W79" s="2609"/>
      <c r="X79" s="2609"/>
      <c r="Y79" s="2609"/>
      <c r="Z79" s="2609"/>
      <c r="AA79" s="2609"/>
      <c r="AB79" s="2798"/>
      <c r="AC79" s="2798"/>
      <c r="AD79" s="2798"/>
      <c r="AE79" s="2798"/>
      <c r="AF79" s="2798"/>
      <c r="AG79" s="279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8"/>
      <c r="C80" s="2609"/>
      <c r="D80" s="2609"/>
      <c r="E80" s="2609"/>
      <c r="F80" s="2609"/>
      <c r="G80" s="2609"/>
      <c r="H80" s="2610"/>
      <c r="I80" s="2800" t="s">
        <v>2091</v>
      </c>
      <c r="J80" s="2801"/>
      <c r="K80" s="2801"/>
      <c r="L80" s="2801"/>
      <c r="M80" s="2801"/>
      <c r="N80" s="2802"/>
      <c r="O80" s="2800" t="s">
        <v>2092</v>
      </c>
      <c r="P80" s="2801"/>
      <c r="Q80" s="2801"/>
      <c r="R80" s="2801"/>
      <c r="S80" s="2801"/>
      <c r="T80" s="2801"/>
      <c r="U80" s="2802"/>
      <c r="V80" s="2800" t="s">
        <v>2093</v>
      </c>
      <c r="W80" s="2801"/>
      <c r="X80" s="2801"/>
      <c r="Y80" s="2801"/>
      <c r="Z80" s="2801"/>
      <c r="AA80" s="2802"/>
      <c r="AB80" s="2800" t="s">
        <v>2094</v>
      </c>
      <c r="AC80" s="2801"/>
      <c r="AD80" s="2801"/>
      <c r="AE80" s="2801"/>
      <c r="AF80" s="2801"/>
      <c r="AG80" s="2802"/>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0" t="s">
        <v>2095</v>
      </c>
      <c r="C81" s="2801"/>
      <c r="D81" s="2801"/>
      <c r="E81" s="2801"/>
      <c r="F81" s="2801"/>
      <c r="G81" s="2801"/>
      <c r="H81" s="2802"/>
      <c r="I81" s="2819"/>
      <c r="J81" s="2820"/>
      <c r="K81" s="2820"/>
      <c r="L81" s="2820"/>
      <c r="M81" s="2820"/>
      <c r="N81" s="2820"/>
      <c r="O81" s="2820"/>
      <c r="P81" s="2820"/>
      <c r="Q81" s="2820"/>
      <c r="R81" s="2820"/>
      <c r="S81" s="2820"/>
      <c r="T81" s="2820"/>
      <c r="U81" s="2820"/>
      <c r="V81" s="2820"/>
      <c r="W81" s="2820"/>
      <c r="X81" s="2820"/>
      <c r="Y81" s="2820"/>
      <c r="Z81" s="2820"/>
      <c r="AA81" s="2821"/>
      <c r="AB81" s="2820"/>
      <c r="AC81" s="2820"/>
      <c r="AD81" s="2820"/>
      <c r="AE81" s="2820"/>
      <c r="AF81" s="2820"/>
      <c r="AG81" s="2821"/>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0" t="s">
        <v>2096</v>
      </c>
      <c r="C82" s="2801"/>
      <c r="D82" s="2801"/>
      <c r="E82" s="2801"/>
      <c r="F82" s="2801"/>
      <c r="G82" s="2801"/>
      <c r="H82" s="2802"/>
      <c r="I82" s="2822"/>
      <c r="J82" s="2823"/>
      <c r="K82" s="2823"/>
      <c r="L82" s="2823"/>
      <c r="M82" s="2823"/>
      <c r="N82" s="2823"/>
      <c r="O82" s="2823"/>
      <c r="P82" s="2823"/>
      <c r="Q82" s="2823"/>
      <c r="R82" s="2823"/>
      <c r="S82" s="2823"/>
      <c r="T82" s="2823"/>
      <c r="U82" s="2823"/>
      <c r="V82" s="2823"/>
      <c r="W82" s="2823"/>
      <c r="X82" s="2823"/>
      <c r="Y82" s="2823"/>
      <c r="Z82" s="2823"/>
      <c r="AA82" s="2824"/>
      <c r="AB82" s="2823"/>
      <c r="AC82" s="2823"/>
      <c r="AD82" s="2823"/>
      <c r="AE82" s="2823"/>
      <c r="AF82" s="2823"/>
      <c r="AG82" s="2824"/>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3" t="s">
        <v>2098</v>
      </c>
      <c r="C86" s="2814"/>
      <c r="D86" s="2814"/>
      <c r="E86" s="2814"/>
      <c r="F86" s="2814"/>
      <c r="G86" s="2814"/>
      <c r="H86" s="2814"/>
      <c r="I86" s="2814"/>
      <c r="J86" s="2814"/>
      <c r="K86" s="2814"/>
      <c r="L86" s="2814"/>
      <c r="M86" s="2814"/>
      <c r="N86" s="2814"/>
      <c r="O86" s="2814"/>
      <c r="P86" s="2814"/>
      <c r="Q86" s="2814"/>
      <c r="R86" s="2814"/>
      <c r="S86" s="2814"/>
      <c r="T86" s="2814"/>
      <c r="U86" s="2814"/>
      <c r="V86" s="2814"/>
      <c r="W86" s="2814"/>
      <c r="X86" s="2814"/>
      <c r="Y86" s="2814"/>
      <c r="Z86" s="2814"/>
      <c r="AA86" s="2814"/>
      <c r="AB86" s="2814"/>
      <c r="AC86" s="2814"/>
      <c r="AD86" s="2814"/>
      <c r="AE86" s="2814"/>
      <c r="AF86" s="2814"/>
      <c r="AG86" s="2814"/>
      <c r="AH86" s="2815"/>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8"/>
      <c r="C87" s="2609"/>
      <c r="D87" s="2609"/>
      <c r="E87" s="2609"/>
      <c r="F87" s="2609"/>
      <c r="G87" s="2609"/>
      <c r="H87" s="2610"/>
      <c r="I87" s="2800" t="s">
        <v>2091</v>
      </c>
      <c r="J87" s="2801"/>
      <c r="K87" s="2801"/>
      <c r="L87" s="2801"/>
      <c r="M87" s="2801"/>
      <c r="N87" s="2802"/>
      <c r="O87" s="2800" t="s">
        <v>2092</v>
      </c>
      <c r="P87" s="2801"/>
      <c r="Q87" s="2801"/>
      <c r="R87" s="2801"/>
      <c r="S87" s="2801"/>
      <c r="T87" s="2801"/>
      <c r="U87" s="2802"/>
      <c r="V87" s="2800" t="s">
        <v>2093</v>
      </c>
      <c r="W87" s="2801"/>
      <c r="X87" s="2801"/>
      <c r="Y87" s="2801"/>
      <c r="Z87" s="2801"/>
      <c r="AA87" s="2802"/>
      <c r="AB87" s="2816" t="s">
        <v>2094</v>
      </c>
      <c r="AC87" s="2817"/>
      <c r="AD87" s="2817"/>
      <c r="AE87" s="2817"/>
      <c r="AF87" s="2817"/>
      <c r="AG87" s="2817"/>
      <c r="AH87" s="281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0" t="s">
        <v>2095</v>
      </c>
      <c r="C88" s="2801"/>
      <c r="D88" s="2801"/>
      <c r="E88" s="2801"/>
      <c r="F88" s="2801"/>
      <c r="G88" s="2801"/>
      <c r="H88" s="2802"/>
      <c r="I88" s="2819"/>
      <c r="J88" s="2820"/>
      <c r="K88" s="2820"/>
      <c r="L88" s="2820"/>
      <c r="M88" s="2820"/>
      <c r="N88" s="2820"/>
      <c r="O88" s="2820"/>
      <c r="P88" s="2820"/>
      <c r="Q88" s="2820"/>
      <c r="R88" s="2820"/>
      <c r="S88" s="2820"/>
      <c r="T88" s="2820"/>
      <c r="U88" s="2820"/>
      <c r="V88" s="2820"/>
      <c r="W88" s="2820"/>
      <c r="X88" s="2820"/>
      <c r="Y88" s="2820"/>
      <c r="Z88" s="2820"/>
      <c r="AA88" s="2825"/>
      <c r="AB88" s="2792"/>
      <c r="AC88" s="2792"/>
      <c r="AD88" s="2792"/>
      <c r="AE88" s="2792"/>
      <c r="AF88" s="2792"/>
      <c r="AG88" s="2792"/>
      <c r="AH88" s="2793"/>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0" t="s">
        <v>2096</v>
      </c>
      <c r="C89" s="2801"/>
      <c r="D89" s="2801"/>
      <c r="E89" s="2801"/>
      <c r="F89" s="2801"/>
      <c r="G89" s="2801"/>
      <c r="H89" s="2802"/>
      <c r="I89" s="2822"/>
      <c r="J89" s="2823"/>
      <c r="K89" s="2823"/>
      <c r="L89" s="2823"/>
      <c r="M89" s="2823"/>
      <c r="N89" s="2823"/>
      <c r="O89" s="2823"/>
      <c r="P89" s="2823"/>
      <c r="Q89" s="2823"/>
      <c r="R89" s="2823"/>
      <c r="S89" s="2823"/>
      <c r="T89" s="2823"/>
      <c r="U89" s="2823"/>
      <c r="V89" s="2823"/>
      <c r="W89" s="2823"/>
      <c r="X89" s="2823"/>
      <c r="Y89" s="2823"/>
      <c r="Z89" s="2823"/>
      <c r="AA89" s="2826"/>
      <c r="AB89" s="2734"/>
      <c r="AC89" s="2734"/>
      <c r="AD89" s="2734"/>
      <c r="AE89" s="2734"/>
      <c r="AF89" s="2734"/>
      <c r="AG89" s="2734"/>
      <c r="AH89" s="273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8" t="s">
        <v>2100</v>
      </c>
      <c r="C93" s="2609"/>
      <c r="D93" s="2609"/>
      <c r="E93" s="2609"/>
      <c r="F93" s="2609"/>
      <c r="G93" s="2609"/>
      <c r="H93" s="2609"/>
      <c r="I93" s="2609"/>
      <c r="J93" s="2609"/>
      <c r="K93" s="2609"/>
      <c r="L93" s="2609"/>
      <c r="M93" s="2609"/>
      <c r="N93" s="2609"/>
      <c r="O93" s="2609"/>
      <c r="P93" s="2609"/>
      <c r="Q93" s="2609"/>
      <c r="R93" s="2609"/>
      <c r="S93" s="2609"/>
      <c r="T93" s="2609"/>
      <c r="U93" s="2609"/>
      <c r="V93" s="2609"/>
      <c r="W93" s="2609"/>
      <c r="X93" s="2609"/>
      <c r="Y93" s="2609"/>
      <c r="Z93" s="2609"/>
      <c r="AA93" s="2609"/>
      <c r="AB93" s="2609"/>
      <c r="AC93" s="2609"/>
      <c r="AD93" s="2609"/>
      <c r="AE93" s="2609"/>
      <c r="AF93" s="2609"/>
      <c r="AG93" s="2609"/>
      <c r="AH93" s="2610"/>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8"/>
      <c r="C94" s="2609"/>
      <c r="D94" s="2609"/>
      <c r="E94" s="2609"/>
      <c r="F94" s="2609"/>
      <c r="G94" s="2609"/>
      <c r="H94" s="2610"/>
      <c r="I94" s="2800" t="s">
        <v>2091</v>
      </c>
      <c r="J94" s="2801"/>
      <c r="K94" s="2801"/>
      <c r="L94" s="2801"/>
      <c r="M94" s="2801"/>
      <c r="N94" s="2802"/>
      <c r="O94" s="2800" t="s">
        <v>2092</v>
      </c>
      <c r="P94" s="2801"/>
      <c r="Q94" s="2801"/>
      <c r="R94" s="2801"/>
      <c r="S94" s="2801"/>
      <c r="T94" s="2801"/>
      <c r="U94" s="2802"/>
      <c r="V94" s="2800" t="s">
        <v>2093</v>
      </c>
      <c r="W94" s="2801"/>
      <c r="X94" s="2801"/>
      <c r="Y94" s="2801"/>
      <c r="Z94" s="2801"/>
      <c r="AA94" s="2802"/>
      <c r="AB94" s="2816" t="s">
        <v>2094</v>
      </c>
      <c r="AC94" s="2817"/>
      <c r="AD94" s="2817"/>
      <c r="AE94" s="2817"/>
      <c r="AF94" s="2817"/>
      <c r="AG94" s="2817"/>
      <c r="AH94" s="2818"/>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0" t="s">
        <v>2095</v>
      </c>
      <c r="C95" s="2801"/>
      <c r="D95" s="2801"/>
      <c r="E95" s="2801"/>
      <c r="F95" s="2801"/>
      <c r="G95" s="2801"/>
      <c r="H95" s="2802"/>
      <c r="I95" s="2819"/>
      <c r="J95" s="2820"/>
      <c r="K95" s="2820"/>
      <c r="L95" s="2820"/>
      <c r="M95" s="2820"/>
      <c r="N95" s="2820"/>
      <c r="O95" s="2820"/>
      <c r="P95" s="2820"/>
      <c r="Q95" s="2820"/>
      <c r="R95" s="2820"/>
      <c r="S95" s="2820"/>
      <c r="T95" s="2820"/>
      <c r="U95" s="2820"/>
      <c r="V95" s="2820"/>
      <c r="W95" s="2820"/>
      <c r="X95" s="2820"/>
      <c r="Y95" s="2820"/>
      <c r="Z95" s="2820"/>
      <c r="AA95" s="2821"/>
      <c r="AB95" s="2792"/>
      <c r="AC95" s="2792"/>
      <c r="AD95" s="2792"/>
      <c r="AE95" s="2792"/>
      <c r="AF95" s="2792"/>
      <c r="AG95" s="2792"/>
      <c r="AH95" s="2793"/>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0" t="s">
        <v>2096</v>
      </c>
      <c r="C96" s="2801"/>
      <c r="D96" s="2801"/>
      <c r="E96" s="2801"/>
      <c r="F96" s="2801"/>
      <c r="G96" s="2801"/>
      <c r="H96" s="2802"/>
      <c r="I96" s="2822"/>
      <c r="J96" s="2823"/>
      <c r="K96" s="2823"/>
      <c r="L96" s="2823"/>
      <c r="M96" s="2823"/>
      <c r="N96" s="2823"/>
      <c r="O96" s="2823"/>
      <c r="P96" s="2823"/>
      <c r="Q96" s="2823"/>
      <c r="R96" s="2823"/>
      <c r="S96" s="2823"/>
      <c r="T96" s="2823"/>
      <c r="U96" s="2823"/>
      <c r="V96" s="2823"/>
      <c r="W96" s="2823"/>
      <c r="X96" s="2823"/>
      <c r="Y96" s="2823"/>
      <c r="Z96" s="2823"/>
      <c r="AA96" s="2824"/>
      <c r="AB96" s="2734"/>
      <c r="AC96" s="2734"/>
      <c r="AD96" s="2734"/>
      <c r="AE96" s="2734"/>
      <c r="AF96" s="2734"/>
      <c r="AG96" s="2734"/>
      <c r="AH96" s="273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7" t="s">
        <v>2102</v>
      </c>
      <c r="C100" s="2638"/>
      <c r="D100" s="2638"/>
      <c r="E100" s="2638"/>
      <c r="F100" s="2638"/>
      <c r="G100" s="2638"/>
      <c r="H100" s="2638"/>
      <c r="I100" s="2638"/>
      <c r="J100" s="2638"/>
      <c r="K100" s="2638"/>
      <c r="L100" s="2638"/>
      <c r="M100" s="2638"/>
      <c r="N100" s="2638"/>
      <c r="O100" s="2638"/>
      <c r="P100" s="2638"/>
      <c r="Q100" s="2638"/>
      <c r="R100" s="2638"/>
      <c r="S100" s="2638"/>
      <c r="T100" s="2638"/>
      <c r="U100" s="2841"/>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2"/>
      <c r="C101" s="2843"/>
      <c r="D101" s="2843"/>
      <c r="E101" s="2843"/>
      <c r="F101" s="2843"/>
      <c r="G101" s="2843"/>
      <c r="H101" s="2844"/>
      <c r="I101" s="2774" t="s">
        <v>2092</v>
      </c>
      <c r="J101" s="2775"/>
      <c r="K101" s="2775"/>
      <c r="L101" s="2775"/>
      <c r="M101" s="2775"/>
      <c r="N101" s="2775"/>
      <c r="O101" s="2845"/>
      <c r="P101" s="2774" t="s">
        <v>2103</v>
      </c>
      <c r="Q101" s="2775"/>
      <c r="R101" s="2775"/>
      <c r="S101" s="2775"/>
      <c r="T101" s="2775"/>
      <c r="U101" s="2845"/>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6" t="s">
        <v>2095</v>
      </c>
      <c r="C102" s="2847"/>
      <c r="D102" s="2847"/>
      <c r="E102" s="2847"/>
      <c r="F102" s="2847"/>
      <c r="G102" s="2847"/>
      <c r="H102" s="2847"/>
      <c r="I102" s="2827"/>
      <c r="J102" s="2828"/>
      <c r="K102" s="2828"/>
      <c r="L102" s="2828"/>
      <c r="M102" s="2828"/>
      <c r="N102" s="2828"/>
      <c r="O102" s="2829"/>
      <c r="P102" s="2827"/>
      <c r="Q102" s="2828"/>
      <c r="R102" s="2828"/>
      <c r="S102" s="2828"/>
      <c r="T102" s="2828"/>
      <c r="U102" s="2829"/>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7" t="s">
        <v>2096</v>
      </c>
      <c r="C103" s="2778"/>
      <c r="D103" s="2778"/>
      <c r="E103" s="2778"/>
      <c r="F103" s="2778"/>
      <c r="G103" s="2778"/>
      <c r="H103" s="2778"/>
      <c r="I103" s="2827"/>
      <c r="J103" s="2828"/>
      <c r="K103" s="2828"/>
      <c r="L103" s="2828"/>
      <c r="M103" s="2828"/>
      <c r="N103" s="2828"/>
      <c r="O103" s="2829"/>
      <c r="P103" s="2827"/>
      <c r="Q103" s="2828"/>
      <c r="R103" s="2828"/>
      <c r="S103" s="2828"/>
      <c r="T103" s="2828"/>
      <c r="U103" s="2829"/>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30" t="s">
        <v>2104</v>
      </c>
      <c r="C105" s="2831"/>
      <c r="D105" s="2831"/>
      <c r="E105" s="2831"/>
      <c r="F105" s="2831"/>
      <c r="G105" s="2831"/>
      <c r="H105" s="2831"/>
      <c r="I105" s="2831"/>
      <c r="J105" s="2831"/>
      <c r="K105" s="2831"/>
      <c r="L105" s="2831"/>
      <c r="M105" s="2831"/>
      <c r="N105" s="2831"/>
      <c r="O105" s="2831"/>
      <c r="P105" s="2831"/>
      <c r="Q105" s="2831"/>
      <c r="R105" s="2832"/>
      <c r="S105" s="2832"/>
      <c r="T105" s="2832"/>
      <c r="U105" s="2832"/>
      <c r="V105" s="2832"/>
      <c r="W105" s="2832"/>
      <c r="X105" s="2832"/>
      <c r="Y105" s="2832"/>
      <c r="Z105" s="2832"/>
      <c r="AA105" s="2832"/>
      <c r="AB105" s="2832"/>
      <c r="AC105" s="2832"/>
      <c r="AD105" s="2832"/>
      <c r="AE105" s="2832"/>
      <c r="AF105" s="2832"/>
      <c r="AG105" s="2833" t="s">
        <v>2038</v>
      </c>
      <c r="AH105" s="2833"/>
      <c r="AI105" s="2833"/>
      <c r="AJ105" s="2834"/>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5" t="s">
        <v>2105</v>
      </c>
      <c r="C106" s="2836"/>
      <c r="D106" s="2836"/>
      <c r="E106" s="2836"/>
      <c r="F106" s="2836"/>
      <c r="G106" s="2836"/>
      <c r="H106" s="2836"/>
      <c r="I106" s="2836"/>
      <c r="J106" s="2836"/>
      <c r="K106" s="2836"/>
      <c r="L106" s="2836"/>
      <c r="M106" s="2836"/>
      <c r="N106" s="2836"/>
      <c r="O106" s="2836"/>
      <c r="P106" s="2836"/>
      <c r="Q106" s="2837"/>
      <c r="R106" s="2838" t="s">
        <v>2106</v>
      </c>
      <c r="S106" s="2839"/>
      <c r="T106" s="2839"/>
      <c r="U106" s="2839"/>
      <c r="V106" s="2839"/>
      <c r="W106" s="2839"/>
      <c r="X106" s="2839"/>
      <c r="Y106" s="2839"/>
      <c r="Z106" s="2839"/>
      <c r="AA106" s="2839"/>
      <c r="AB106" s="2839"/>
      <c r="AC106" s="2839"/>
      <c r="AD106" s="2839"/>
      <c r="AE106" s="2839"/>
      <c r="AF106" s="2839"/>
      <c r="AG106" s="2839"/>
      <c r="AH106" s="2839"/>
      <c r="AI106" s="2839"/>
      <c r="AJ106" s="2839"/>
      <c r="AK106" s="2839"/>
      <c r="AL106" s="2839"/>
      <c r="AM106" s="2839"/>
      <c r="AN106" s="2839"/>
      <c r="AO106" s="2839"/>
      <c r="AP106" s="2839"/>
      <c r="AQ106" s="2839"/>
      <c r="AR106" s="2839"/>
      <c r="AS106" s="2839"/>
      <c r="AT106" s="2839"/>
      <c r="AU106" s="2839"/>
      <c r="AV106" s="2839"/>
      <c r="AW106" s="2839"/>
      <c r="AX106" s="2840"/>
      <c r="AY106" s="1529"/>
      <c r="AZ106" s="1529"/>
      <c r="BA106" s="1529"/>
      <c r="BB106" s="1529"/>
      <c r="BC106" s="1529"/>
      <c r="BD106" s="1529"/>
      <c r="BE106" s="1535"/>
    </row>
    <row r="107" spans="1:57" ht="15.75" customHeight="1">
      <c r="A107" s="1818"/>
      <c r="B107" s="2861" t="s">
        <v>2107</v>
      </c>
      <c r="C107" s="2862"/>
      <c r="D107" s="2862"/>
      <c r="E107" s="2862"/>
      <c r="F107" s="2862"/>
      <c r="G107" s="2862"/>
      <c r="H107" s="2862"/>
      <c r="I107" s="2862"/>
      <c r="J107" s="2862"/>
      <c r="K107" s="2862"/>
      <c r="L107" s="2862"/>
      <c r="M107" s="2862"/>
      <c r="N107" s="2862"/>
      <c r="O107" s="2862"/>
      <c r="P107" s="2862"/>
      <c r="Q107" s="2862"/>
      <c r="R107" s="2862"/>
      <c r="S107" s="2862"/>
      <c r="T107" s="2862"/>
      <c r="U107" s="2862"/>
      <c r="V107" s="2862"/>
      <c r="W107" s="2862"/>
      <c r="X107" s="2862"/>
      <c r="Y107" s="2862"/>
      <c r="Z107" s="2862"/>
      <c r="AA107" s="2862"/>
      <c r="AB107" s="2862"/>
      <c r="AC107" s="2862"/>
      <c r="AD107" s="2862"/>
      <c r="AE107" s="2862"/>
      <c r="AF107" s="2862"/>
      <c r="AG107" s="2862"/>
      <c r="AH107" s="2862"/>
      <c r="AI107" s="2862"/>
      <c r="AJ107" s="2862"/>
      <c r="AK107" s="2862"/>
      <c r="AL107" s="2862"/>
      <c r="AM107" s="2862"/>
      <c r="AN107" s="2862"/>
      <c r="AO107" s="2862"/>
      <c r="AP107" s="2862"/>
      <c r="AQ107" s="2862"/>
      <c r="AR107" s="2862"/>
      <c r="AS107" s="2862"/>
      <c r="AT107" s="2862"/>
      <c r="AU107" s="2862"/>
      <c r="AV107" s="2862"/>
      <c r="AW107" s="2862"/>
      <c r="AX107" s="2863"/>
      <c r="AY107" s="1529"/>
      <c r="AZ107" s="1529"/>
      <c r="BA107" s="1529"/>
      <c r="BB107" s="1529"/>
      <c r="BC107" s="1529"/>
      <c r="BD107" s="1529"/>
      <c r="BE107" s="1535"/>
    </row>
    <row r="108" spans="1:57" ht="15.75" customHeight="1">
      <c r="A108" s="1818"/>
      <c r="B108" s="2864"/>
      <c r="C108" s="2865"/>
      <c r="D108" s="2865"/>
      <c r="E108" s="2865"/>
      <c r="F108" s="2865"/>
      <c r="G108" s="2865"/>
      <c r="H108" s="2865"/>
      <c r="I108" s="2865"/>
      <c r="J108" s="2865"/>
      <c r="K108" s="2865"/>
      <c r="L108" s="2865"/>
      <c r="M108" s="2865"/>
      <c r="N108" s="2865"/>
      <c r="O108" s="2865"/>
      <c r="P108" s="2865"/>
      <c r="Q108" s="2865"/>
      <c r="R108" s="2865"/>
      <c r="S108" s="2865"/>
      <c r="T108" s="2865"/>
      <c r="U108" s="2865"/>
      <c r="V108" s="2865"/>
      <c r="W108" s="2865"/>
      <c r="X108" s="2865"/>
      <c r="Y108" s="2865"/>
      <c r="Z108" s="2865"/>
      <c r="AA108" s="2865"/>
      <c r="AB108" s="2865"/>
      <c r="AC108" s="2865"/>
      <c r="AD108" s="2865"/>
      <c r="AE108" s="2865"/>
      <c r="AF108" s="2865"/>
      <c r="AG108" s="2865"/>
      <c r="AH108" s="2865"/>
      <c r="AI108" s="2865"/>
      <c r="AJ108" s="2865"/>
      <c r="AK108" s="2865"/>
      <c r="AL108" s="2865"/>
      <c r="AM108" s="2865"/>
      <c r="AN108" s="2865"/>
      <c r="AO108" s="2865"/>
      <c r="AP108" s="2865"/>
      <c r="AQ108" s="2865"/>
      <c r="AR108" s="2865"/>
      <c r="AS108" s="2865"/>
      <c r="AT108" s="2865"/>
      <c r="AU108" s="2865"/>
      <c r="AV108" s="2865"/>
      <c r="AW108" s="2865"/>
      <c r="AX108" s="2866"/>
      <c r="AY108" s="1529"/>
      <c r="AZ108" s="1529"/>
      <c r="BA108" s="1529"/>
      <c r="BB108" s="1529"/>
      <c r="BC108" s="1529"/>
      <c r="BD108" s="1529"/>
      <c r="BE108" s="1535"/>
    </row>
    <row r="109" spans="1:57" ht="15.75" customHeight="1">
      <c r="A109" s="1818"/>
      <c r="B109" s="2864"/>
      <c r="C109" s="2865"/>
      <c r="D109" s="2865"/>
      <c r="E109" s="2865"/>
      <c r="F109" s="2865"/>
      <c r="G109" s="2865"/>
      <c r="H109" s="2865"/>
      <c r="I109" s="2865"/>
      <c r="J109" s="2865"/>
      <c r="K109" s="2865"/>
      <c r="L109" s="2865"/>
      <c r="M109" s="2865"/>
      <c r="N109" s="2865"/>
      <c r="O109" s="2865"/>
      <c r="P109" s="2865"/>
      <c r="Q109" s="2865"/>
      <c r="R109" s="2865"/>
      <c r="S109" s="2865"/>
      <c r="T109" s="2865"/>
      <c r="U109" s="2865"/>
      <c r="V109" s="2865"/>
      <c r="W109" s="2865"/>
      <c r="X109" s="2865"/>
      <c r="Y109" s="2865"/>
      <c r="Z109" s="2865"/>
      <c r="AA109" s="2865"/>
      <c r="AB109" s="2865"/>
      <c r="AC109" s="2865"/>
      <c r="AD109" s="2865"/>
      <c r="AE109" s="2865"/>
      <c r="AF109" s="2865"/>
      <c r="AG109" s="2865"/>
      <c r="AH109" s="2865"/>
      <c r="AI109" s="2865"/>
      <c r="AJ109" s="2865"/>
      <c r="AK109" s="2865"/>
      <c r="AL109" s="2865"/>
      <c r="AM109" s="2865"/>
      <c r="AN109" s="2865"/>
      <c r="AO109" s="2865"/>
      <c r="AP109" s="2865"/>
      <c r="AQ109" s="2865"/>
      <c r="AR109" s="2865"/>
      <c r="AS109" s="2865"/>
      <c r="AT109" s="2865"/>
      <c r="AU109" s="2865"/>
      <c r="AV109" s="2865"/>
      <c r="AW109" s="2865"/>
      <c r="AX109" s="2866"/>
      <c r="AY109" s="1529"/>
      <c r="AZ109" s="1529"/>
      <c r="BA109" s="1529"/>
      <c r="BB109" s="1529"/>
      <c r="BC109" s="1529"/>
      <c r="BD109" s="1529"/>
      <c r="BE109" s="1535"/>
    </row>
    <row r="110" spans="1:57" ht="15.75" customHeight="1">
      <c r="A110" s="1818"/>
      <c r="B110" s="2864"/>
      <c r="C110" s="2865"/>
      <c r="D110" s="2865"/>
      <c r="E110" s="2865"/>
      <c r="F110" s="2865"/>
      <c r="G110" s="2865"/>
      <c r="H110" s="2865"/>
      <c r="I110" s="2865"/>
      <c r="J110" s="2865"/>
      <c r="K110" s="2865"/>
      <c r="L110" s="2865"/>
      <c r="M110" s="2865"/>
      <c r="N110" s="2865"/>
      <c r="O110" s="2865"/>
      <c r="P110" s="2865"/>
      <c r="Q110" s="2865"/>
      <c r="R110" s="2865"/>
      <c r="S110" s="2865"/>
      <c r="T110" s="2865"/>
      <c r="U110" s="2865"/>
      <c r="V110" s="2865"/>
      <c r="W110" s="2865"/>
      <c r="X110" s="2865"/>
      <c r="Y110" s="2865"/>
      <c r="Z110" s="2865"/>
      <c r="AA110" s="2865"/>
      <c r="AB110" s="2865"/>
      <c r="AC110" s="2865"/>
      <c r="AD110" s="2865"/>
      <c r="AE110" s="2865"/>
      <c r="AF110" s="2865"/>
      <c r="AG110" s="2865"/>
      <c r="AH110" s="2865"/>
      <c r="AI110" s="2865"/>
      <c r="AJ110" s="2865"/>
      <c r="AK110" s="2865"/>
      <c r="AL110" s="2865"/>
      <c r="AM110" s="2865"/>
      <c r="AN110" s="2865"/>
      <c r="AO110" s="2865"/>
      <c r="AP110" s="2865"/>
      <c r="AQ110" s="2865"/>
      <c r="AR110" s="2865"/>
      <c r="AS110" s="2865"/>
      <c r="AT110" s="2865"/>
      <c r="AU110" s="2865"/>
      <c r="AV110" s="2865"/>
      <c r="AW110" s="2865"/>
      <c r="AX110" s="2866"/>
      <c r="AY110" s="1529"/>
      <c r="AZ110" s="1529"/>
      <c r="BA110" s="1529"/>
      <c r="BB110" s="1529"/>
      <c r="BC110" s="1529"/>
      <c r="BD110" s="1529"/>
      <c r="BE110" s="1535"/>
    </row>
    <row r="111" spans="1:57" ht="15.75" customHeight="1">
      <c r="A111" s="1818"/>
      <c r="B111" s="2864"/>
      <c r="C111" s="2865"/>
      <c r="D111" s="2865"/>
      <c r="E111" s="2865"/>
      <c r="F111" s="2865"/>
      <c r="G111" s="2865"/>
      <c r="H111" s="2865"/>
      <c r="I111" s="2865"/>
      <c r="J111" s="2865"/>
      <c r="K111" s="2865"/>
      <c r="L111" s="2865"/>
      <c r="M111" s="2865"/>
      <c r="N111" s="2865"/>
      <c r="O111" s="2865"/>
      <c r="P111" s="2865"/>
      <c r="Q111" s="2865"/>
      <c r="R111" s="2865"/>
      <c r="S111" s="2865"/>
      <c r="T111" s="2865"/>
      <c r="U111" s="2865"/>
      <c r="V111" s="2865"/>
      <c r="W111" s="2865"/>
      <c r="X111" s="2865"/>
      <c r="Y111" s="2865"/>
      <c r="Z111" s="2865"/>
      <c r="AA111" s="2865"/>
      <c r="AB111" s="2865"/>
      <c r="AC111" s="2865"/>
      <c r="AD111" s="2865"/>
      <c r="AE111" s="2865"/>
      <c r="AF111" s="2865"/>
      <c r="AG111" s="2865"/>
      <c r="AH111" s="2865"/>
      <c r="AI111" s="2865"/>
      <c r="AJ111" s="2865"/>
      <c r="AK111" s="2865"/>
      <c r="AL111" s="2865"/>
      <c r="AM111" s="2865"/>
      <c r="AN111" s="2865"/>
      <c r="AO111" s="2865"/>
      <c r="AP111" s="2865"/>
      <c r="AQ111" s="2865"/>
      <c r="AR111" s="2865"/>
      <c r="AS111" s="2865"/>
      <c r="AT111" s="2865"/>
      <c r="AU111" s="2865"/>
      <c r="AV111" s="2865"/>
      <c r="AW111" s="2865"/>
      <c r="AX111" s="2866"/>
      <c r="AY111" s="1529"/>
      <c r="AZ111" s="1529"/>
      <c r="BA111" s="1529"/>
      <c r="BB111" s="1529"/>
      <c r="BC111" s="1529"/>
      <c r="BD111" s="1529"/>
      <c r="BE111" s="1535"/>
    </row>
    <row r="112" spans="1:57" ht="15.75" customHeight="1">
      <c r="A112" s="1818"/>
      <c r="B112" s="2864"/>
      <c r="C112" s="2865"/>
      <c r="D112" s="2865"/>
      <c r="E112" s="2865"/>
      <c r="F112" s="2865"/>
      <c r="G112" s="2865"/>
      <c r="H112" s="2865"/>
      <c r="I112" s="2865"/>
      <c r="J112" s="2865"/>
      <c r="K112" s="2865"/>
      <c r="L112" s="2865"/>
      <c r="M112" s="2865"/>
      <c r="N112" s="2865"/>
      <c r="O112" s="2865"/>
      <c r="P112" s="2865"/>
      <c r="Q112" s="2865"/>
      <c r="R112" s="2865"/>
      <c r="S112" s="2865"/>
      <c r="T112" s="2865"/>
      <c r="U112" s="2865"/>
      <c r="V112" s="2865"/>
      <c r="W112" s="2865"/>
      <c r="X112" s="2865"/>
      <c r="Y112" s="2865"/>
      <c r="Z112" s="2865"/>
      <c r="AA112" s="2865"/>
      <c r="AB112" s="2865"/>
      <c r="AC112" s="2865"/>
      <c r="AD112" s="2865"/>
      <c r="AE112" s="2865"/>
      <c r="AF112" s="2865"/>
      <c r="AG112" s="2865"/>
      <c r="AH112" s="2865"/>
      <c r="AI112" s="2865"/>
      <c r="AJ112" s="2865"/>
      <c r="AK112" s="2865"/>
      <c r="AL112" s="2865"/>
      <c r="AM112" s="2865"/>
      <c r="AN112" s="2865"/>
      <c r="AO112" s="2865"/>
      <c r="AP112" s="2865"/>
      <c r="AQ112" s="2865"/>
      <c r="AR112" s="2865"/>
      <c r="AS112" s="2865"/>
      <c r="AT112" s="2865"/>
      <c r="AU112" s="2865"/>
      <c r="AV112" s="2865"/>
      <c r="AW112" s="2865"/>
      <c r="AX112" s="2866"/>
      <c r="AY112" s="1529"/>
      <c r="AZ112" s="1529"/>
      <c r="BA112" s="1529"/>
      <c r="BB112" s="1529"/>
      <c r="BC112" s="1529"/>
      <c r="BD112" s="1529"/>
      <c r="BE112" s="1535"/>
    </row>
    <row r="113" spans="1:57" ht="15.75" customHeight="1">
      <c r="A113" s="1818"/>
      <c r="B113" s="2864"/>
      <c r="C113" s="2865"/>
      <c r="D113" s="2865"/>
      <c r="E113" s="2865"/>
      <c r="F113" s="2865"/>
      <c r="G113" s="2865"/>
      <c r="H113" s="2865"/>
      <c r="I113" s="2865"/>
      <c r="J113" s="2865"/>
      <c r="K113" s="2865"/>
      <c r="L113" s="2865"/>
      <c r="M113" s="2865"/>
      <c r="N113" s="2865"/>
      <c r="O113" s="2865"/>
      <c r="P113" s="2865"/>
      <c r="Q113" s="2865"/>
      <c r="R113" s="2865"/>
      <c r="S113" s="2865"/>
      <c r="T113" s="2865"/>
      <c r="U113" s="2865"/>
      <c r="V113" s="2865"/>
      <c r="W113" s="2865"/>
      <c r="X113" s="2865"/>
      <c r="Y113" s="2865"/>
      <c r="Z113" s="2865"/>
      <c r="AA113" s="2865"/>
      <c r="AB113" s="2865"/>
      <c r="AC113" s="2865"/>
      <c r="AD113" s="2865"/>
      <c r="AE113" s="2865"/>
      <c r="AF113" s="2865"/>
      <c r="AG113" s="2865"/>
      <c r="AH113" s="2865"/>
      <c r="AI113" s="2865"/>
      <c r="AJ113" s="2865"/>
      <c r="AK113" s="2865"/>
      <c r="AL113" s="2865"/>
      <c r="AM113" s="2865"/>
      <c r="AN113" s="2865"/>
      <c r="AO113" s="2865"/>
      <c r="AP113" s="2865"/>
      <c r="AQ113" s="2865"/>
      <c r="AR113" s="2865"/>
      <c r="AS113" s="2865"/>
      <c r="AT113" s="2865"/>
      <c r="AU113" s="2865"/>
      <c r="AV113" s="2865"/>
      <c r="AW113" s="2865"/>
      <c r="AX113" s="2866"/>
      <c r="AY113" s="1529"/>
      <c r="AZ113" s="1529"/>
      <c r="BA113" s="1529"/>
      <c r="BB113" s="1529"/>
      <c r="BC113" s="1529"/>
      <c r="BD113" s="1529"/>
      <c r="BE113" s="1535"/>
    </row>
    <row r="114" spans="1:57" ht="15.75" customHeight="1">
      <c r="A114" s="1818"/>
      <c r="B114" s="2864"/>
      <c r="C114" s="2865"/>
      <c r="D114" s="2865"/>
      <c r="E114" s="2865"/>
      <c r="F114" s="2865"/>
      <c r="G114" s="2865"/>
      <c r="H114" s="2865"/>
      <c r="I114" s="2865"/>
      <c r="J114" s="2865"/>
      <c r="K114" s="2865"/>
      <c r="L114" s="2865"/>
      <c r="M114" s="2865"/>
      <c r="N114" s="2865"/>
      <c r="O114" s="2865"/>
      <c r="P114" s="2865"/>
      <c r="Q114" s="2865"/>
      <c r="R114" s="2865"/>
      <c r="S114" s="2865"/>
      <c r="T114" s="2865"/>
      <c r="U114" s="2865"/>
      <c r="V114" s="2865"/>
      <c r="W114" s="2865"/>
      <c r="X114" s="2865"/>
      <c r="Y114" s="2865"/>
      <c r="Z114" s="2865"/>
      <c r="AA114" s="2865"/>
      <c r="AB114" s="2865"/>
      <c r="AC114" s="2865"/>
      <c r="AD114" s="2865"/>
      <c r="AE114" s="2865"/>
      <c r="AF114" s="2865"/>
      <c r="AG114" s="2865"/>
      <c r="AH114" s="2865"/>
      <c r="AI114" s="2865"/>
      <c r="AJ114" s="2865"/>
      <c r="AK114" s="2865"/>
      <c r="AL114" s="2865"/>
      <c r="AM114" s="2865"/>
      <c r="AN114" s="2865"/>
      <c r="AO114" s="2865"/>
      <c r="AP114" s="2865"/>
      <c r="AQ114" s="2865"/>
      <c r="AR114" s="2865"/>
      <c r="AS114" s="2865"/>
      <c r="AT114" s="2865"/>
      <c r="AU114" s="2865"/>
      <c r="AV114" s="2865"/>
      <c r="AW114" s="2865"/>
      <c r="AX114" s="2866"/>
      <c r="AY114" s="1529"/>
      <c r="AZ114" s="1529"/>
      <c r="BA114" s="1529"/>
      <c r="BB114" s="1529"/>
      <c r="BC114" s="1529"/>
      <c r="BD114" s="1529"/>
      <c r="BE114" s="1535"/>
    </row>
    <row r="115" spans="1:57" ht="15.75" customHeight="1">
      <c r="A115" s="1818"/>
      <c r="B115" s="2864"/>
      <c r="C115" s="2865"/>
      <c r="D115" s="2865"/>
      <c r="E115" s="2865"/>
      <c r="F115" s="2865"/>
      <c r="G115" s="2865"/>
      <c r="H115" s="2865"/>
      <c r="I115" s="2865"/>
      <c r="J115" s="2865"/>
      <c r="K115" s="2865"/>
      <c r="L115" s="2865"/>
      <c r="M115" s="2865"/>
      <c r="N115" s="2865"/>
      <c r="O115" s="2865"/>
      <c r="P115" s="2865"/>
      <c r="Q115" s="2865"/>
      <c r="R115" s="2865"/>
      <c r="S115" s="2865"/>
      <c r="T115" s="2865"/>
      <c r="U115" s="2865"/>
      <c r="V115" s="2865"/>
      <c r="W115" s="2865"/>
      <c r="X115" s="2865"/>
      <c r="Y115" s="2865"/>
      <c r="Z115" s="2865"/>
      <c r="AA115" s="2865"/>
      <c r="AB115" s="2865"/>
      <c r="AC115" s="2865"/>
      <c r="AD115" s="2865"/>
      <c r="AE115" s="2865"/>
      <c r="AF115" s="2865"/>
      <c r="AG115" s="2865"/>
      <c r="AH115" s="2865"/>
      <c r="AI115" s="2865"/>
      <c r="AJ115" s="2865"/>
      <c r="AK115" s="2865"/>
      <c r="AL115" s="2865"/>
      <c r="AM115" s="2865"/>
      <c r="AN115" s="2865"/>
      <c r="AO115" s="2865"/>
      <c r="AP115" s="2865"/>
      <c r="AQ115" s="2865"/>
      <c r="AR115" s="2865"/>
      <c r="AS115" s="2865"/>
      <c r="AT115" s="2865"/>
      <c r="AU115" s="2865"/>
      <c r="AV115" s="2865"/>
      <c r="AW115" s="2865"/>
      <c r="AX115" s="2866"/>
      <c r="AY115" s="1529"/>
      <c r="AZ115" s="1529"/>
      <c r="BA115" s="1529"/>
      <c r="BB115" s="1529"/>
      <c r="BC115" s="1529"/>
      <c r="BD115" s="1529"/>
      <c r="BE115" s="1535"/>
    </row>
    <row r="116" spans="1:57" ht="15.75" customHeight="1" thickBot="1">
      <c r="A116" s="1818"/>
      <c r="B116" s="2867"/>
      <c r="C116" s="2868"/>
      <c r="D116" s="2868"/>
      <c r="E116" s="2868"/>
      <c r="F116" s="2868"/>
      <c r="G116" s="2868"/>
      <c r="H116" s="2868"/>
      <c r="I116" s="2868"/>
      <c r="J116" s="2868"/>
      <c r="K116" s="2868"/>
      <c r="L116" s="2868"/>
      <c r="M116" s="2868"/>
      <c r="N116" s="2868"/>
      <c r="O116" s="2868"/>
      <c r="P116" s="2868"/>
      <c r="Q116" s="2868"/>
      <c r="R116" s="2868"/>
      <c r="S116" s="2868"/>
      <c r="T116" s="2868"/>
      <c r="U116" s="2868"/>
      <c r="V116" s="2868"/>
      <c r="W116" s="2868"/>
      <c r="X116" s="2868"/>
      <c r="Y116" s="2868"/>
      <c r="Z116" s="2868"/>
      <c r="AA116" s="2868"/>
      <c r="AB116" s="2868"/>
      <c r="AC116" s="2868"/>
      <c r="AD116" s="2868"/>
      <c r="AE116" s="2868"/>
      <c r="AF116" s="2868"/>
      <c r="AG116" s="2868"/>
      <c r="AH116" s="2868"/>
      <c r="AI116" s="2868"/>
      <c r="AJ116" s="2868"/>
      <c r="AK116" s="2868"/>
      <c r="AL116" s="2868"/>
      <c r="AM116" s="2868"/>
      <c r="AN116" s="2868"/>
      <c r="AO116" s="2868"/>
      <c r="AP116" s="2868"/>
      <c r="AQ116" s="2868"/>
      <c r="AR116" s="2868"/>
      <c r="AS116" s="2868"/>
      <c r="AT116" s="2868"/>
      <c r="AU116" s="2868"/>
      <c r="AV116" s="2868"/>
      <c r="AW116" s="2868"/>
      <c r="AX116" s="2869"/>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7" t="s">
        <v>2109</v>
      </c>
      <c r="C120" s="2638"/>
      <c r="D120" s="2638"/>
      <c r="E120" s="2638"/>
      <c r="F120" s="2638"/>
      <c r="G120" s="2638"/>
      <c r="H120" s="2638"/>
      <c r="I120" s="2638"/>
      <c r="J120" s="2638"/>
      <c r="K120" s="2638"/>
      <c r="L120" s="2638"/>
      <c r="M120" s="2638"/>
      <c r="N120" s="2638"/>
      <c r="O120" s="2638"/>
      <c r="P120" s="2638"/>
      <c r="Q120" s="2638"/>
      <c r="R120" s="2638"/>
      <c r="S120" s="2638"/>
      <c r="T120" s="2638"/>
      <c r="U120" s="2841"/>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2"/>
      <c r="C121" s="2843"/>
      <c r="D121" s="2843"/>
      <c r="E121" s="2843"/>
      <c r="F121" s="2843"/>
      <c r="G121" s="2843"/>
      <c r="H121" s="2844"/>
      <c r="I121" s="2774" t="s">
        <v>2092</v>
      </c>
      <c r="J121" s="2775"/>
      <c r="K121" s="2775"/>
      <c r="L121" s="2775"/>
      <c r="M121" s="2775"/>
      <c r="N121" s="2775"/>
      <c r="O121" s="2845"/>
      <c r="P121" s="2774" t="s">
        <v>2103</v>
      </c>
      <c r="Q121" s="2775"/>
      <c r="R121" s="2775"/>
      <c r="S121" s="2775"/>
      <c r="T121" s="2775"/>
      <c r="U121" s="2845"/>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6" t="s">
        <v>2095</v>
      </c>
      <c r="C122" s="2847"/>
      <c r="D122" s="2847"/>
      <c r="E122" s="2847"/>
      <c r="F122" s="2847"/>
      <c r="G122" s="2847"/>
      <c r="H122" s="2847"/>
      <c r="I122" s="2827"/>
      <c r="J122" s="2828"/>
      <c r="K122" s="2828"/>
      <c r="L122" s="2828"/>
      <c r="M122" s="2828"/>
      <c r="N122" s="2828"/>
      <c r="O122" s="2829"/>
      <c r="P122" s="2827"/>
      <c r="Q122" s="2828"/>
      <c r="R122" s="2828"/>
      <c r="S122" s="2828"/>
      <c r="T122" s="2828"/>
      <c r="U122" s="2829"/>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7" t="s">
        <v>2096</v>
      </c>
      <c r="C123" s="2778"/>
      <c r="D123" s="2778"/>
      <c r="E123" s="2778"/>
      <c r="F123" s="2778"/>
      <c r="G123" s="2778"/>
      <c r="H123" s="2778"/>
      <c r="I123" s="2827"/>
      <c r="J123" s="2828"/>
      <c r="K123" s="2828"/>
      <c r="L123" s="2828"/>
      <c r="M123" s="2828"/>
      <c r="N123" s="2828"/>
      <c r="O123" s="2829"/>
      <c r="P123" s="2827"/>
      <c r="Q123" s="2828"/>
      <c r="R123" s="2828"/>
      <c r="S123" s="2828"/>
      <c r="T123" s="2828"/>
      <c r="U123" s="2829"/>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8" t="s">
        <v>2110</v>
      </c>
      <c r="D125" s="2849"/>
      <c r="E125" s="2849"/>
      <c r="F125" s="2849"/>
      <c r="G125" s="2849"/>
      <c r="H125" s="2849"/>
      <c r="I125" s="2849"/>
      <c r="J125" s="2849"/>
      <c r="K125" s="2849"/>
      <c r="L125" s="2849"/>
      <c r="M125" s="2849"/>
      <c r="N125" s="2849"/>
      <c r="O125" s="2849"/>
      <c r="P125" s="2849"/>
      <c r="Q125" s="2849"/>
      <c r="R125" s="2849"/>
      <c r="S125" s="2849"/>
      <c r="T125" s="2849"/>
      <c r="U125" s="2849"/>
      <c r="V125" s="2849"/>
      <c r="W125" s="2849"/>
      <c r="X125" s="2849"/>
      <c r="Y125" s="2849"/>
      <c r="Z125" s="2849"/>
      <c r="AA125" s="2849"/>
      <c r="AB125" s="2849"/>
      <c r="AC125" s="2849"/>
      <c r="AD125" s="2849"/>
      <c r="AE125" s="2849"/>
      <c r="AF125" s="2849"/>
      <c r="AG125" s="2850"/>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51" t="s">
        <v>2111</v>
      </c>
      <c r="D126" s="2852"/>
      <c r="E126" s="2852"/>
      <c r="F126" s="2852"/>
      <c r="G126" s="2852"/>
      <c r="H126" s="2852"/>
      <c r="I126" s="2852"/>
      <c r="J126" s="2852"/>
      <c r="K126" s="2852"/>
      <c r="L126" s="2852"/>
      <c r="M126" s="2852"/>
      <c r="N126" s="2852"/>
      <c r="O126" s="2852"/>
      <c r="P126" s="2853"/>
      <c r="Q126" s="2854" t="s">
        <v>2112</v>
      </c>
      <c r="R126" s="2852"/>
      <c r="S126" s="2853"/>
      <c r="T126" s="2855" t="s">
        <v>2113</v>
      </c>
      <c r="U126" s="2856"/>
      <c r="V126" s="2856"/>
      <c r="W126" s="2856"/>
      <c r="X126" s="2856"/>
      <c r="Y126" s="2856"/>
      <c r="Z126" s="2856"/>
      <c r="AA126" s="2857"/>
      <c r="AB126" s="2858" t="s">
        <v>2114</v>
      </c>
      <c r="AC126" s="2859"/>
      <c r="AD126" s="2859"/>
      <c r="AE126" s="2859"/>
      <c r="AF126" s="2859"/>
      <c r="AG126" s="2860"/>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70" t="s">
        <v>2115</v>
      </c>
      <c r="D127" s="2871"/>
      <c r="E127" s="2871"/>
      <c r="F127" s="2871"/>
      <c r="G127" s="2871"/>
      <c r="H127" s="2871"/>
      <c r="I127" s="2871"/>
      <c r="J127" s="2871"/>
      <c r="K127" s="2871"/>
      <c r="L127" s="2871"/>
      <c r="M127" s="2871"/>
      <c r="N127" s="2871"/>
      <c r="O127" s="2871"/>
      <c r="P127" s="2872"/>
      <c r="Q127" s="2873">
        <v>55</v>
      </c>
      <c r="R127" s="2874"/>
      <c r="S127" s="2875"/>
      <c r="T127" s="2881"/>
      <c r="U127" s="2882"/>
      <c r="V127" s="2882"/>
      <c r="W127" s="2882"/>
      <c r="X127" s="2882"/>
      <c r="Y127" s="2882"/>
      <c r="Z127" s="2882"/>
      <c r="AA127" s="2882"/>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70" t="s">
        <v>430</v>
      </c>
      <c r="D128" s="2871"/>
      <c r="E128" s="2871"/>
      <c r="F128" s="2871"/>
      <c r="G128" s="2871"/>
      <c r="H128" s="2871"/>
      <c r="I128" s="2871"/>
      <c r="J128" s="2871"/>
      <c r="K128" s="2871"/>
      <c r="L128" s="2871"/>
      <c r="M128" s="2871"/>
      <c r="N128" s="2871"/>
      <c r="O128" s="2871"/>
      <c r="P128" s="2872"/>
      <c r="Q128" s="2873">
        <v>55</v>
      </c>
      <c r="R128" s="2874"/>
      <c r="S128" s="2875"/>
      <c r="T128" s="2883" t="str">
        <f>_xlfn.CONCAT(Application!AC515,"/", Application!AH515)</f>
        <v>N/A/</v>
      </c>
      <c r="U128" s="2884"/>
      <c r="V128" s="2884"/>
      <c r="W128" s="2884"/>
      <c r="X128" s="2884"/>
      <c r="Y128" s="2884"/>
      <c r="Z128" s="2884"/>
      <c r="AA128" s="2884"/>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70" t="s">
        <v>2116</v>
      </c>
      <c r="D129" s="2871"/>
      <c r="E129" s="2871"/>
      <c r="F129" s="2871"/>
      <c r="G129" s="2871"/>
      <c r="H129" s="2871"/>
      <c r="I129" s="2871"/>
      <c r="J129" s="2871"/>
      <c r="K129" s="2871"/>
      <c r="L129" s="2871"/>
      <c r="M129" s="2871"/>
      <c r="N129" s="2871"/>
      <c r="O129" s="2871"/>
      <c r="P129" s="2872"/>
      <c r="Q129" s="2873">
        <v>55</v>
      </c>
      <c r="R129" s="2874"/>
      <c r="S129" s="2875"/>
      <c r="T129" s="2876"/>
      <c r="U129" s="2877"/>
      <c r="V129" s="2877"/>
      <c r="W129" s="2877"/>
      <c r="X129" s="2877"/>
      <c r="Y129" s="2877"/>
      <c r="Z129" s="2877"/>
      <c r="AA129" s="2877"/>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70" t="s">
        <v>2117</v>
      </c>
      <c r="D130" s="2871"/>
      <c r="E130" s="2871"/>
      <c r="F130" s="2871"/>
      <c r="G130" s="2871"/>
      <c r="H130" s="2871"/>
      <c r="I130" s="2871"/>
      <c r="J130" s="2871"/>
      <c r="K130" s="2871"/>
      <c r="L130" s="2871"/>
      <c r="M130" s="2871"/>
      <c r="N130" s="2871"/>
      <c r="O130" s="2871"/>
      <c r="P130" s="2872"/>
      <c r="Q130" s="2878"/>
      <c r="R130" s="2879"/>
      <c r="S130" s="2880"/>
      <c r="T130" s="2881"/>
      <c r="U130" s="2882"/>
      <c r="V130" s="2882"/>
      <c r="W130" s="2882"/>
      <c r="X130" s="2882"/>
      <c r="Y130" s="2882"/>
      <c r="Z130" s="2882"/>
      <c r="AA130" s="2882"/>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70" t="s">
        <v>2070</v>
      </c>
      <c r="D131" s="2871"/>
      <c r="E131" s="2871"/>
      <c r="F131" s="2871"/>
      <c r="G131" s="2871"/>
      <c r="H131" s="2871"/>
      <c r="I131" s="2871"/>
      <c r="J131" s="2871"/>
      <c r="K131" s="2871"/>
      <c r="L131" s="2871"/>
      <c r="M131" s="2871"/>
      <c r="N131" s="2871"/>
      <c r="O131" s="2871"/>
      <c r="P131" s="2872"/>
      <c r="Q131" s="2885">
        <f>Application!AG400</f>
        <v>75</v>
      </c>
      <c r="R131" s="2886"/>
      <c r="S131" s="2887"/>
      <c r="T131" s="2881"/>
      <c r="U131" s="2882"/>
      <c r="V131" s="2882"/>
      <c r="W131" s="2882"/>
      <c r="X131" s="2882"/>
      <c r="Y131" s="2882"/>
      <c r="Z131" s="2882"/>
      <c r="AA131" s="2888"/>
      <c r="AB131" s="2889" t="str">
        <f>Application!AE401</f>
        <v>NEED</v>
      </c>
      <c r="AC131" s="2890"/>
      <c r="AD131" s="2890"/>
      <c r="AE131" s="2890"/>
      <c r="AF131" s="2890"/>
      <c r="AG131" s="2891"/>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6" t="s">
        <v>175</v>
      </c>
      <c r="D132" s="2607"/>
      <c r="E132" s="2607"/>
      <c r="F132" s="2892" t="s">
        <v>2118</v>
      </c>
      <c r="G132" s="2892"/>
      <c r="H132" s="2892"/>
      <c r="I132" s="2892"/>
      <c r="J132" s="2892"/>
      <c r="K132" s="2892"/>
      <c r="L132" s="2892"/>
      <c r="M132" s="2892"/>
      <c r="N132" s="2892"/>
      <c r="O132" s="2892"/>
      <c r="P132" s="2892"/>
      <c r="Q132" s="2893">
        <v>55</v>
      </c>
      <c r="R132" s="2893"/>
      <c r="S132" s="2893"/>
      <c r="T132" s="2894"/>
      <c r="U132" s="2894"/>
      <c r="V132" s="2894"/>
      <c r="W132" s="2894"/>
      <c r="X132" s="2894"/>
      <c r="Y132" s="2894"/>
      <c r="Z132" s="2894"/>
      <c r="AA132" s="2894"/>
      <c r="AB132" s="2895"/>
      <c r="AC132" s="2896"/>
      <c r="AD132" s="2896"/>
      <c r="AE132" s="2896"/>
      <c r="AF132" s="2896"/>
      <c r="AG132" s="2897"/>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6" t="s">
        <v>175</v>
      </c>
      <c r="D133" s="2607"/>
      <c r="E133" s="2607"/>
      <c r="F133" s="2892" t="s">
        <v>2118</v>
      </c>
      <c r="G133" s="2892"/>
      <c r="H133" s="2892"/>
      <c r="I133" s="2892"/>
      <c r="J133" s="2892"/>
      <c r="K133" s="2892"/>
      <c r="L133" s="2892"/>
      <c r="M133" s="2892"/>
      <c r="N133" s="2892"/>
      <c r="O133" s="2892"/>
      <c r="P133" s="2892"/>
      <c r="Q133" s="2893">
        <v>55</v>
      </c>
      <c r="R133" s="2893"/>
      <c r="S133" s="2893"/>
      <c r="T133" s="2894"/>
      <c r="U133" s="2894"/>
      <c r="V133" s="2894"/>
      <c r="W133" s="2894"/>
      <c r="X133" s="2894"/>
      <c r="Y133" s="2894"/>
      <c r="Z133" s="2894"/>
      <c r="AA133" s="2894"/>
      <c r="AB133" s="2895"/>
      <c r="AC133" s="2896"/>
      <c r="AD133" s="2896"/>
      <c r="AE133" s="2896"/>
      <c r="AF133" s="2896"/>
      <c r="AG133" s="2897"/>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6" t="s">
        <v>175</v>
      </c>
      <c r="D134" s="2607"/>
      <c r="E134" s="2607"/>
      <c r="F134" s="2898" t="s">
        <v>2118</v>
      </c>
      <c r="G134" s="2898"/>
      <c r="H134" s="2898"/>
      <c r="I134" s="2898"/>
      <c r="J134" s="2898"/>
      <c r="K134" s="2898"/>
      <c r="L134" s="2898"/>
      <c r="M134" s="2898"/>
      <c r="N134" s="2898"/>
      <c r="O134" s="2898"/>
      <c r="P134" s="2898"/>
      <c r="Q134" s="2780">
        <v>55</v>
      </c>
      <c r="R134" s="2780"/>
      <c r="S134" s="2780"/>
      <c r="T134" s="2779"/>
      <c r="U134" s="2779"/>
      <c r="V134" s="2779"/>
      <c r="W134" s="2779"/>
      <c r="X134" s="2779"/>
      <c r="Y134" s="2779"/>
      <c r="Z134" s="2779"/>
      <c r="AA134" s="2779"/>
      <c r="AB134" s="2899"/>
      <c r="AC134" s="2900"/>
      <c r="AD134" s="2900"/>
      <c r="AE134" s="2900"/>
      <c r="AF134" s="2900"/>
      <c r="AG134" s="2901"/>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8" t="s">
        <v>2119</v>
      </c>
      <c r="D136" s="2609"/>
      <c r="E136" s="2609"/>
      <c r="F136" s="2609"/>
      <c r="G136" s="2609"/>
      <c r="H136" s="2609"/>
      <c r="I136" s="2609"/>
      <c r="J136" s="2609"/>
      <c r="K136" s="2609"/>
      <c r="L136" s="2609"/>
      <c r="M136" s="2609"/>
      <c r="N136" s="2610"/>
      <c r="O136" s="1529"/>
      <c r="P136" s="2903" t="s">
        <v>2120</v>
      </c>
      <c r="Q136" s="2904"/>
      <c r="R136" s="2904"/>
      <c r="S136" s="2904"/>
      <c r="T136" s="2904"/>
      <c r="U136" s="2904"/>
      <c r="V136" s="2904"/>
      <c r="W136" s="2904"/>
      <c r="X136" s="2904"/>
      <c r="Y136" s="2904"/>
      <c r="Z136" s="2904"/>
      <c r="AA136" s="2904"/>
      <c r="AB136" s="2904"/>
      <c r="AC136" s="2904"/>
      <c r="AD136" s="2904"/>
      <c r="AE136" s="2904"/>
      <c r="AF136" s="2904"/>
      <c r="AG136" s="2904"/>
      <c r="AH136" s="2904"/>
      <c r="AI136" s="2904"/>
      <c r="AJ136" s="2904"/>
      <c r="AK136" s="2904"/>
      <c r="AL136" s="2904"/>
      <c r="AM136" s="2904"/>
      <c r="AN136" s="2904"/>
      <c r="AO136" s="2905"/>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3" t="s">
        <v>2121</v>
      </c>
      <c r="D137" s="2814"/>
      <c r="E137" s="2814"/>
      <c r="F137" s="2814"/>
      <c r="G137" s="2814"/>
      <c r="H137" s="2815"/>
      <c r="I137" s="2813" t="s">
        <v>2122</v>
      </c>
      <c r="J137" s="2814"/>
      <c r="K137" s="2814"/>
      <c r="L137" s="2814"/>
      <c r="M137" s="2814"/>
      <c r="N137" s="2815"/>
      <c r="O137" s="1529"/>
      <c r="P137" s="2906"/>
      <c r="Q137" s="2907"/>
      <c r="R137" s="2907"/>
      <c r="S137" s="2907"/>
      <c r="T137" s="2907"/>
      <c r="U137" s="2907"/>
      <c r="V137" s="2907"/>
      <c r="W137" s="2907"/>
      <c r="X137" s="2907"/>
      <c r="Y137" s="2907"/>
      <c r="Z137" s="2907"/>
      <c r="AA137" s="2907"/>
      <c r="AB137" s="2907"/>
      <c r="AC137" s="2907"/>
      <c r="AD137" s="2907"/>
      <c r="AE137" s="2907"/>
      <c r="AF137" s="2907"/>
      <c r="AG137" s="2907"/>
      <c r="AH137" s="2907"/>
      <c r="AI137" s="2907"/>
      <c r="AJ137" s="2907"/>
      <c r="AK137" s="2907"/>
      <c r="AL137" s="2907"/>
      <c r="AM137" s="2907"/>
      <c r="AN137" s="2907"/>
      <c r="AO137" s="2908"/>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7"/>
      <c r="D138" s="2717"/>
      <c r="E138" s="2717"/>
      <c r="F138" s="2717"/>
      <c r="G138" s="2717"/>
      <c r="H138" s="2717"/>
      <c r="I138" s="2902"/>
      <c r="J138" s="2902"/>
      <c r="K138" s="2902"/>
      <c r="L138" s="2902"/>
      <c r="M138" s="2902"/>
      <c r="N138" s="2902"/>
      <c r="O138" s="1529"/>
      <c r="P138" s="2906"/>
      <c r="Q138" s="2907"/>
      <c r="R138" s="2907"/>
      <c r="S138" s="2907"/>
      <c r="T138" s="2907"/>
      <c r="U138" s="2907"/>
      <c r="V138" s="2907"/>
      <c r="W138" s="2907"/>
      <c r="X138" s="2907"/>
      <c r="Y138" s="2907"/>
      <c r="Z138" s="2907"/>
      <c r="AA138" s="2907"/>
      <c r="AB138" s="2907"/>
      <c r="AC138" s="2907"/>
      <c r="AD138" s="2907"/>
      <c r="AE138" s="2907"/>
      <c r="AF138" s="2907"/>
      <c r="AG138" s="2907"/>
      <c r="AH138" s="2907"/>
      <c r="AI138" s="2907"/>
      <c r="AJ138" s="2907"/>
      <c r="AK138" s="2907"/>
      <c r="AL138" s="2907"/>
      <c r="AM138" s="2907"/>
      <c r="AN138" s="2907"/>
      <c r="AO138" s="2908"/>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7"/>
      <c r="D139" s="2717"/>
      <c r="E139" s="2717"/>
      <c r="F139" s="2717"/>
      <c r="G139" s="2717"/>
      <c r="H139" s="2717"/>
      <c r="I139" s="2902"/>
      <c r="J139" s="2902"/>
      <c r="K139" s="2902"/>
      <c r="L139" s="2902"/>
      <c r="M139" s="2902"/>
      <c r="N139" s="2902"/>
      <c r="O139" s="1529"/>
      <c r="P139" s="2906"/>
      <c r="Q139" s="2907"/>
      <c r="R139" s="2907"/>
      <c r="S139" s="2907"/>
      <c r="T139" s="2907"/>
      <c r="U139" s="2907"/>
      <c r="V139" s="2907"/>
      <c r="W139" s="2907"/>
      <c r="X139" s="2907"/>
      <c r="Y139" s="2907"/>
      <c r="Z139" s="2907"/>
      <c r="AA139" s="2907"/>
      <c r="AB139" s="2907"/>
      <c r="AC139" s="2907"/>
      <c r="AD139" s="2907"/>
      <c r="AE139" s="2907"/>
      <c r="AF139" s="2907"/>
      <c r="AG139" s="2907"/>
      <c r="AH139" s="2907"/>
      <c r="AI139" s="2907"/>
      <c r="AJ139" s="2907"/>
      <c r="AK139" s="2907"/>
      <c r="AL139" s="2907"/>
      <c r="AM139" s="2907"/>
      <c r="AN139" s="2907"/>
      <c r="AO139" s="2908"/>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7"/>
      <c r="D140" s="2717"/>
      <c r="E140" s="2717"/>
      <c r="F140" s="2717"/>
      <c r="G140" s="2717"/>
      <c r="H140" s="2717"/>
      <c r="I140" s="2902"/>
      <c r="J140" s="2902"/>
      <c r="K140" s="2902"/>
      <c r="L140" s="2902"/>
      <c r="M140" s="2902"/>
      <c r="N140" s="2902"/>
      <c r="O140" s="1529"/>
      <c r="P140" s="2906"/>
      <c r="Q140" s="2907"/>
      <c r="R140" s="2907"/>
      <c r="S140" s="2907"/>
      <c r="T140" s="2907"/>
      <c r="U140" s="2907"/>
      <c r="V140" s="2907"/>
      <c r="W140" s="2907"/>
      <c r="X140" s="2907"/>
      <c r="Y140" s="2907"/>
      <c r="Z140" s="2907"/>
      <c r="AA140" s="2907"/>
      <c r="AB140" s="2907"/>
      <c r="AC140" s="2907"/>
      <c r="AD140" s="2907"/>
      <c r="AE140" s="2907"/>
      <c r="AF140" s="2907"/>
      <c r="AG140" s="2907"/>
      <c r="AH140" s="2907"/>
      <c r="AI140" s="2907"/>
      <c r="AJ140" s="2907"/>
      <c r="AK140" s="2907"/>
      <c r="AL140" s="2907"/>
      <c r="AM140" s="2907"/>
      <c r="AN140" s="2907"/>
      <c r="AO140" s="2908"/>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7"/>
      <c r="D141" s="2717"/>
      <c r="E141" s="2717"/>
      <c r="F141" s="2717"/>
      <c r="G141" s="2717"/>
      <c r="H141" s="2717"/>
      <c r="I141" s="2902"/>
      <c r="J141" s="2902"/>
      <c r="K141" s="2902"/>
      <c r="L141" s="2902"/>
      <c r="M141" s="2902"/>
      <c r="N141" s="2902"/>
      <c r="O141" s="1529"/>
      <c r="P141" s="2906"/>
      <c r="Q141" s="2907"/>
      <c r="R141" s="2907"/>
      <c r="S141" s="2907"/>
      <c r="T141" s="2907"/>
      <c r="U141" s="2907"/>
      <c r="V141" s="2907"/>
      <c r="W141" s="2907"/>
      <c r="X141" s="2907"/>
      <c r="Y141" s="2907"/>
      <c r="Z141" s="2907"/>
      <c r="AA141" s="2907"/>
      <c r="AB141" s="2907"/>
      <c r="AC141" s="2907"/>
      <c r="AD141" s="2907"/>
      <c r="AE141" s="2907"/>
      <c r="AF141" s="2907"/>
      <c r="AG141" s="2907"/>
      <c r="AH141" s="2907"/>
      <c r="AI141" s="2907"/>
      <c r="AJ141" s="2907"/>
      <c r="AK141" s="2907"/>
      <c r="AL141" s="2907"/>
      <c r="AM141" s="2907"/>
      <c r="AN141" s="2907"/>
      <c r="AO141" s="2908"/>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7"/>
      <c r="D142" s="2717"/>
      <c r="E142" s="2717"/>
      <c r="F142" s="2717"/>
      <c r="G142" s="2717"/>
      <c r="H142" s="2717"/>
      <c r="I142" s="2902"/>
      <c r="J142" s="2902"/>
      <c r="K142" s="2902"/>
      <c r="L142" s="2902"/>
      <c r="M142" s="2902"/>
      <c r="N142" s="2902"/>
      <c r="O142" s="1529"/>
      <c r="P142" s="2906"/>
      <c r="Q142" s="2907"/>
      <c r="R142" s="2907"/>
      <c r="S142" s="2907"/>
      <c r="T142" s="2907"/>
      <c r="U142" s="2907"/>
      <c r="V142" s="2907"/>
      <c r="W142" s="2907"/>
      <c r="X142" s="2907"/>
      <c r="Y142" s="2907"/>
      <c r="Z142" s="2907"/>
      <c r="AA142" s="2907"/>
      <c r="AB142" s="2907"/>
      <c r="AC142" s="2907"/>
      <c r="AD142" s="2907"/>
      <c r="AE142" s="2907"/>
      <c r="AF142" s="2907"/>
      <c r="AG142" s="2907"/>
      <c r="AH142" s="2907"/>
      <c r="AI142" s="2907"/>
      <c r="AJ142" s="2907"/>
      <c r="AK142" s="2907"/>
      <c r="AL142" s="2907"/>
      <c r="AM142" s="2907"/>
      <c r="AN142" s="2907"/>
      <c r="AO142" s="2908"/>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7"/>
      <c r="D143" s="2717"/>
      <c r="E143" s="2717"/>
      <c r="F143" s="2717"/>
      <c r="G143" s="2717"/>
      <c r="H143" s="2717"/>
      <c r="I143" s="2902"/>
      <c r="J143" s="2902"/>
      <c r="K143" s="2902"/>
      <c r="L143" s="2902"/>
      <c r="M143" s="2902"/>
      <c r="N143" s="2902"/>
      <c r="O143" s="1529"/>
      <c r="P143" s="2906"/>
      <c r="Q143" s="2907"/>
      <c r="R143" s="2907"/>
      <c r="S143" s="2907"/>
      <c r="T143" s="2907"/>
      <c r="U143" s="2907"/>
      <c r="V143" s="2907"/>
      <c r="W143" s="2907"/>
      <c r="X143" s="2907"/>
      <c r="Y143" s="2907"/>
      <c r="Z143" s="2907"/>
      <c r="AA143" s="2907"/>
      <c r="AB143" s="2907"/>
      <c r="AC143" s="2907"/>
      <c r="AD143" s="2907"/>
      <c r="AE143" s="2907"/>
      <c r="AF143" s="2907"/>
      <c r="AG143" s="2907"/>
      <c r="AH143" s="2907"/>
      <c r="AI143" s="2907"/>
      <c r="AJ143" s="2907"/>
      <c r="AK143" s="2907"/>
      <c r="AL143" s="2907"/>
      <c r="AM143" s="2907"/>
      <c r="AN143" s="2907"/>
      <c r="AO143" s="2908"/>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7"/>
      <c r="D144" s="2717"/>
      <c r="E144" s="2717"/>
      <c r="F144" s="2717"/>
      <c r="G144" s="2717"/>
      <c r="H144" s="2717"/>
      <c r="I144" s="2902"/>
      <c r="J144" s="2902"/>
      <c r="K144" s="2902"/>
      <c r="L144" s="2902"/>
      <c r="M144" s="2902"/>
      <c r="N144" s="2902"/>
      <c r="O144" s="1529"/>
      <c r="P144" s="2909"/>
      <c r="Q144" s="2910"/>
      <c r="R144" s="2910"/>
      <c r="S144" s="2910"/>
      <c r="T144" s="2910"/>
      <c r="U144" s="2910"/>
      <c r="V144" s="2910"/>
      <c r="W144" s="2910"/>
      <c r="X144" s="2910"/>
      <c r="Y144" s="2910"/>
      <c r="Z144" s="2910"/>
      <c r="AA144" s="2910"/>
      <c r="AB144" s="2910"/>
      <c r="AC144" s="2910"/>
      <c r="AD144" s="2910"/>
      <c r="AE144" s="2910"/>
      <c r="AF144" s="2910"/>
      <c r="AG144" s="2910"/>
      <c r="AH144" s="2910"/>
      <c r="AI144" s="2910"/>
      <c r="AJ144" s="2910"/>
      <c r="AK144" s="2910"/>
      <c r="AL144" s="2910"/>
      <c r="AM144" s="2910"/>
      <c r="AN144" s="2910"/>
      <c r="AO144" s="2911"/>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2"/>
      <c r="D149" s="2923"/>
      <c r="E149" s="2923"/>
      <c r="F149" s="2923"/>
      <c r="G149" s="2923"/>
      <c r="H149" s="2923"/>
      <c r="I149" s="2923"/>
      <c r="J149" s="2923"/>
      <c r="K149" s="2923"/>
      <c r="L149" s="2923"/>
      <c r="M149" s="2924"/>
      <c r="N149" s="2925" t="s">
        <v>2125</v>
      </c>
      <c r="O149" s="2925"/>
      <c r="P149" s="2925"/>
      <c r="Q149" s="2925"/>
      <c r="R149" s="2925"/>
      <c r="S149" s="2925"/>
      <c r="T149" s="2926"/>
      <c r="U149" s="2927" t="s">
        <v>2111</v>
      </c>
      <c r="V149" s="2757"/>
      <c r="W149" s="2757"/>
      <c r="X149" s="2757"/>
      <c r="Y149" s="2757"/>
      <c r="Z149" s="2757"/>
      <c r="AA149" s="2757"/>
      <c r="AB149" s="2757"/>
      <c r="AC149" s="2757"/>
      <c r="AD149" s="2757"/>
      <c r="AE149" s="2758"/>
      <c r="AF149" s="1529"/>
      <c r="AG149" s="1529"/>
      <c r="AH149" s="2601" t="s">
        <v>2126</v>
      </c>
      <c r="AI149" s="2602"/>
      <c r="AJ149" s="2602"/>
      <c r="AK149" s="2602"/>
      <c r="AL149" s="2602"/>
      <c r="AM149" s="2602"/>
      <c r="AN149" s="2602"/>
      <c r="AO149" s="2602"/>
      <c r="AP149" s="2602"/>
      <c r="AQ149" s="2602"/>
      <c r="AR149" s="2602"/>
      <c r="AS149" s="2912"/>
      <c r="AT149" s="2913"/>
      <c r="AU149" s="2913"/>
      <c r="AV149" s="2913"/>
      <c r="AW149" s="2913"/>
      <c r="AX149" s="1529"/>
      <c r="AY149" s="1529"/>
      <c r="AZ149" s="1529"/>
      <c r="BA149" s="1529"/>
      <c r="BB149" s="1529"/>
      <c r="BC149" s="1529"/>
      <c r="BD149" s="1529"/>
      <c r="BE149" s="1535"/>
    </row>
    <row r="150" spans="1:57" ht="15.75" customHeight="1">
      <c r="A150" s="1818"/>
      <c r="B150" s="1529"/>
      <c r="C150" s="2851" t="s">
        <v>2127</v>
      </c>
      <c r="D150" s="2852"/>
      <c r="E150" s="2852"/>
      <c r="F150" s="2852"/>
      <c r="G150" s="2852"/>
      <c r="H150" s="2852"/>
      <c r="I150" s="2852"/>
      <c r="J150" s="2852"/>
      <c r="K150" s="2852"/>
      <c r="L150" s="2852"/>
      <c r="M150" s="2914"/>
      <c r="N150" s="2915">
        <f>'Sources and Uses Budget'!B104</f>
        <v>3500000</v>
      </c>
      <c r="O150" s="2915"/>
      <c r="P150" s="2915"/>
      <c r="Q150" s="2915"/>
      <c r="R150" s="2915"/>
      <c r="S150" s="2915"/>
      <c r="T150" s="2916"/>
      <c r="U150" s="2917"/>
      <c r="V150" s="2918"/>
      <c r="W150" s="2918"/>
      <c r="X150" s="2918"/>
      <c r="Y150" s="2918"/>
      <c r="Z150" s="2918"/>
      <c r="AA150" s="2918"/>
      <c r="AB150" s="2918"/>
      <c r="AC150" s="2918"/>
      <c r="AD150" s="2918"/>
      <c r="AE150" s="2919"/>
      <c r="AF150" s="1529"/>
      <c r="AG150" s="1529"/>
      <c r="AH150" s="2920" t="s">
        <v>2128</v>
      </c>
      <c r="AI150" s="2921"/>
      <c r="AJ150" s="2921"/>
      <c r="AK150" s="2921"/>
      <c r="AL150" s="2921"/>
      <c r="AM150" s="2921"/>
      <c r="AN150" s="2921"/>
      <c r="AO150" s="2921"/>
      <c r="AP150" s="2921"/>
      <c r="AQ150" s="2921"/>
      <c r="AR150" s="2921"/>
      <c r="AS150" s="2912"/>
      <c r="AT150" s="2913"/>
      <c r="AU150" s="2913"/>
      <c r="AV150" s="2913"/>
      <c r="AW150" s="2913"/>
      <c r="AX150" s="1529"/>
      <c r="AY150" s="1529"/>
      <c r="AZ150" s="1529"/>
      <c r="BA150" s="1529"/>
      <c r="BB150" s="1529"/>
      <c r="BC150" s="1529"/>
      <c r="BD150" s="1529"/>
      <c r="BE150" s="1535"/>
    </row>
    <row r="151" spans="1:57" ht="15.75" customHeight="1">
      <c r="A151" s="1818"/>
      <c r="B151" s="1529"/>
      <c r="C151" s="2851" t="s">
        <v>2129</v>
      </c>
      <c r="D151" s="2852"/>
      <c r="E151" s="2852"/>
      <c r="F151" s="2852"/>
      <c r="G151" s="2852"/>
      <c r="H151" s="2852"/>
      <c r="I151" s="2852"/>
      <c r="J151" s="2852"/>
      <c r="K151" s="2852"/>
      <c r="L151" s="2852"/>
      <c r="M151" s="2914"/>
      <c r="N151" s="2915">
        <f>N150/J29</f>
        <v>23178.807947019868</v>
      </c>
      <c r="O151" s="2915"/>
      <c r="P151" s="2915"/>
      <c r="Q151" s="2915"/>
      <c r="R151" s="2915"/>
      <c r="S151" s="2915"/>
      <c r="T151" s="2916"/>
      <c r="U151" s="1553"/>
      <c r="V151" s="1553"/>
      <c r="W151" s="1553"/>
      <c r="X151" s="1553"/>
      <c r="Y151" s="1553"/>
      <c r="Z151" s="1553"/>
      <c r="AA151" s="1553"/>
      <c r="AB151" s="1553"/>
      <c r="AC151" s="1553"/>
      <c r="AD151" s="1553"/>
      <c r="AE151" s="1554"/>
      <c r="AF151" s="1529"/>
      <c r="AG151" s="1529"/>
      <c r="AH151" s="2870" t="s">
        <v>2130</v>
      </c>
      <c r="AI151" s="2871"/>
      <c r="AJ151" s="2871"/>
      <c r="AK151" s="2871"/>
      <c r="AL151" s="2871"/>
      <c r="AM151" s="2871"/>
      <c r="AN151" s="2871"/>
      <c r="AO151" s="2871"/>
      <c r="AP151" s="2871"/>
      <c r="AQ151" s="2871"/>
      <c r="AR151" s="2872"/>
      <c r="AS151" s="2912"/>
      <c r="AT151" s="2913"/>
      <c r="AU151" s="2913"/>
      <c r="AV151" s="2913"/>
      <c r="AW151" s="2913"/>
      <c r="AX151" s="1529"/>
      <c r="AY151" s="1529"/>
      <c r="AZ151" s="1529"/>
      <c r="BA151" s="1529"/>
      <c r="BB151" s="1529"/>
      <c r="BC151" s="1529"/>
      <c r="BD151" s="1529"/>
      <c r="BE151" s="1535"/>
    </row>
    <row r="152" spans="1:57" ht="15.75" customHeight="1">
      <c r="A152" s="1818"/>
      <c r="B152" s="1529"/>
      <c r="C152" s="2938" t="s">
        <v>2131</v>
      </c>
      <c r="D152" s="2775"/>
      <c r="E152" s="2775"/>
      <c r="F152" s="2775"/>
      <c r="G152" s="2775"/>
      <c r="H152" s="2775"/>
      <c r="I152" s="2775"/>
      <c r="J152" s="2775"/>
      <c r="K152" s="2775"/>
      <c r="L152" s="2775"/>
      <c r="M152" s="2776"/>
      <c r="N152" s="2939"/>
      <c r="O152" s="2939"/>
      <c r="P152" s="2939"/>
      <c r="Q152" s="2939"/>
      <c r="R152" s="2939"/>
      <c r="S152" s="2939"/>
      <c r="T152" s="2940"/>
      <c r="U152" s="2945"/>
      <c r="V152" s="2946"/>
      <c r="W152" s="2946"/>
      <c r="X152" s="2946"/>
      <c r="Y152" s="2946"/>
      <c r="Z152" s="2946"/>
      <c r="AA152" s="2946"/>
      <c r="AB152" s="2946"/>
      <c r="AC152" s="2946"/>
      <c r="AD152" s="2946"/>
      <c r="AE152" s="2947"/>
      <c r="AF152" s="1529"/>
      <c r="AG152" s="1529"/>
      <c r="AH152" s="2917"/>
      <c r="AI152" s="2918"/>
      <c r="AJ152" s="2918"/>
      <c r="AK152" s="2918"/>
      <c r="AL152" s="2918"/>
      <c r="AM152" s="2918"/>
      <c r="AN152" s="2918"/>
      <c r="AO152" s="2918"/>
      <c r="AP152" s="2918"/>
      <c r="AQ152" s="2918"/>
      <c r="AR152" s="2941"/>
      <c r="AS152" s="2942"/>
      <c r="AT152" s="2943"/>
      <c r="AU152" s="2943"/>
      <c r="AV152" s="2943"/>
      <c r="AW152" s="2944"/>
      <c r="AX152" s="1529"/>
      <c r="AY152" s="1529"/>
      <c r="AZ152" s="1529"/>
      <c r="BA152" s="1529"/>
      <c r="BB152" s="1529"/>
      <c r="BC152" s="1529"/>
      <c r="BD152" s="1529"/>
      <c r="BE152" s="1535"/>
    </row>
    <row r="153" spans="1:57" ht="15.75" customHeight="1" thickBot="1">
      <c r="A153" s="1818"/>
      <c r="B153" s="1529"/>
      <c r="C153" s="2870" t="s">
        <v>2132</v>
      </c>
      <c r="D153" s="2871"/>
      <c r="E153" s="2871"/>
      <c r="F153" s="2871"/>
      <c r="G153" s="2871"/>
      <c r="H153" s="2871"/>
      <c r="I153" s="2871"/>
      <c r="J153" s="2871"/>
      <c r="K153" s="2871"/>
      <c r="L153" s="2871"/>
      <c r="M153" s="2928"/>
      <c r="N153" s="2929">
        <f>SUM('Sources and Uses Budget'!B85:B86)</f>
        <v>7465651</v>
      </c>
      <c r="O153" s="2929"/>
      <c r="P153" s="2929"/>
      <c r="Q153" s="2929"/>
      <c r="R153" s="2929"/>
      <c r="S153" s="2929"/>
      <c r="T153" s="2930"/>
      <c r="U153" s="2931"/>
      <c r="V153" s="2932"/>
      <c r="W153" s="2932"/>
      <c r="X153" s="2932"/>
      <c r="Y153" s="2932"/>
      <c r="Z153" s="2932"/>
      <c r="AA153" s="2932"/>
      <c r="AB153" s="2932"/>
      <c r="AC153" s="2932"/>
      <c r="AD153" s="2932"/>
      <c r="AE153" s="2933"/>
      <c r="AF153" s="1529"/>
      <c r="AG153" s="1529"/>
      <c r="AH153" s="2934" t="s">
        <v>2133</v>
      </c>
      <c r="AI153" s="2935"/>
      <c r="AJ153" s="2935"/>
      <c r="AK153" s="2935"/>
      <c r="AL153" s="2935"/>
      <c r="AM153" s="2935"/>
      <c r="AN153" s="2935"/>
      <c r="AO153" s="2935"/>
      <c r="AP153" s="2935"/>
      <c r="AQ153" s="2935"/>
      <c r="AR153" s="2935"/>
      <c r="AS153" s="2936">
        <f>SUM(AS149:AW151)</f>
        <v>0</v>
      </c>
      <c r="AT153" s="2937"/>
      <c r="AU153" s="2937"/>
      <c r="AV153" s="2937"/>
      <c r="AW153" s="2937"/>
      <c r="AX153" s="1529"/>
      <c r="AY153" s="1529"/>
      <c r="AZ153" s="1529"/>
      <c r="BA153" s="1529"/>
      <c r="BB153" s="1529"/>
      <c r="BC153" s="1529"/>
      <c r="BD153" s="1529"/>
      <c r="BE153" s="1535"/>
    </row>
    <row r="154" spans="1:57" ht="15.75" customHeight="1">
      <c r="A154" s="1818"/>
      <c r="B154" s="1529"/>
      <c r="C154" s="2870" t="s">
        <v>2134</v>
      </c>
      <c r="D154" s="2871"/>
      <c r="E154" s="2871"/>
      <c r="F154" s="2871"/>
      <c r="G154" s="2871"/>
      <c r="H154" s="2871"/>
      <c r="I154" s="2871"/>
      <c r="J154" s="2871"/>
      <c r="K154" s="2871"/>
      <c r="L154" s="2871"/>
      <c r="M154" s="2928"/>
      <c r="N154" s="2929">
        <f>'Sources and Uses Budget'!B8</f>
        <v>877425</v>
      </c>
      <c r="O154" s="2929"/>
      <c r="P154" s="2929"/>
      <c r="Q154" s="2929"/>
      <c r="R154" s="2929"/>
      <c r="S154" s="2929"/>
      <c r="T154" s="2930"/>
      <c r="U154" s="2931"/>
      <c r="V154" s="2932"/>
      <c r="W154" s="2932"/>
      <c r="X154" s="2932"/>
      <c r="Y154" s="2932"/>
      <c r="Z154" s="2932"/>
      <c r="AA154" s="2932"/>
      <c r="AB154" s="2932"/>
      <c r="AC154" s="2932"/>
      <c r="AD154" s="2932"/>
      <c r="AE154" s="2933"/>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70" t="s">
        <v>2135</v>
      </c>
      <c r="D155" s="2871"/>
      <c r="E155" s="2871"/>
      <c r="F155" s="2871"/>
      <c r="G155" s="2871"/>
      <c r="H155" s="2871"/>
      <c r="I155" s="2871"/>
      <c r="J155" s="2871"/>
      <c r="K155" s="2871"/>
      <c r="L155" s="2871"/>
      <c r="M155" s="2928"/>
      <c r="N155" s="2951"/>
      <c r="O155" s="2951"/>
      <c r="P155" s="2951"/>
      <c r="Q155" s="2951"/>
      <c r="R155" s="2951"/>
      <c r="S155" s="2951"/>
      <c r="T155" s="2952"/>
      <c r="U155" s="2931"/>
      <c r="V155" s="2932"/>
      <c r="W155" s="2932"/>
      <c r="X155" s="2932"/>
      <c r="Y155" s="2932"/>
      <c r="Z155" s="2932"/>
      <c r="AA155" s="2932"/>
      <c r="AB155" s="2932"/>
      <c r="AC155" s="2932"/>
      <c r="AD155" s="2932"/>
      <c r="AE155" s="2933"/>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70" t="s">
        <v>2128</v>
      </c>
      <c r="D156" s="2871"/>
      <c r="E156" s="2871"/>
      <c r="F156" s="2871"/>
      <c r="G156" s="2871"/>
      <c r="H156" s="2871"/>
      <c r="I156" s="2871"/>
      <c r="J156" s="2871"/>
      <c r="K156" s="2871"/>
      <c r="L156" s="2871"/>
      <c r="M156" s="2928"/>
      <c r="N156" s="2951"/>
      <c r="O156" s="2951"/>
      <c r="P156" s="2951"/>
      <c r="Q156" s="2951"/>
      <c r="R156" s="2951"/>
      <c r="S156" s="2951"/>
      <c r="T156" s="2952"/>
      <c r="U156" s="2931"/>
      <c r="V156" s="2932"/>
      <c r="W156" s="2932"/>
      <c r="X156" s="2932"/>
      <c r="Y156" s="2932"/>
      <c r="Z156" s="2932"/>
      <c r="AA156" s="2932"/>
      <c r="AB156" s="2932"/>
      <c r="AC156" s="2932"/>
      <c r="AD156" s="2932"/>
      <c r="AE156" s="2933"/>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8" t="s">
        <v>308</v>
      </c>
      <c r="D157" s="2949"/>
      <c r="E157" s="2892" t="s">
        <v>2118</v>
      </c>
      <c r="F157" s="2892"/>
      <c r="G157" s="2892"/>
      <c r="H157" s="2892"/>
      <c r="I157" s="2892"/>
      <c r="J157" s="2892"/>
      <c r="K157" s="2892"/>
      <c r="L157" s="2892"/>
      <c r="M157" s="2950"/>
      <c r="N157" s="2951"/>
      <c r="O157" s="2951"/>
      <c r="P157" s="2951"/>
      <c r="Q157" s="2951"/>
      <c r="R157" s="2951"/>
      <c r="S157" s="2951"/>
      <c r="T157" s="2952"/>
      <c r="U157" s="2931"/>
      <c r="V157" s="2932"/>
      <c r="W157" s="2932"/>
      <c r="X157" s="2932"/>
      <c r="Y157" s="2932"/>
      <c r="Z157" s="2932"/>
      <c r="AA157" s="2932"/>
      <c r="AB157" s="2932"/>
      <c r="AC157" s="2932"/>
      <c r="AD157" s="2932"/>
      <c r="AE157" s="2933"/>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5" t="s">
        <v>308</v>
      </c>
      <c r="D158" s="2946"/>
      <c r="E158" s="2892" t="s">
        <v>2118</v>
      </c>
      <c r="F158" s="2892"/>
      <c r="G158" s="2892"/>
      <c r="H158" s="2892"/>
      <c r="I158" s="2892"/>
      <c r="J158" s="2892"/>
      <c r="K158" s="2892"/>
      <c r="L158" s="2892"/>
      <c r="M158" s="2950"/>
      <c r="N158" s="2951"/>
      <c r="O158" s="2951"/>
      <c r="P158" s="2951"/>
      <c r="Q158" s="2951"/>
      <c r="R158" s="2951"/>
      <c r="S158" s="2951"/>
      <c r="T158" s="2952"/>
      <c r="U158" s="2931"/>
      <c r="V158" s="2932"/>
      <c r="W158" s="2932"/>
      <c r="X158" s="2932"/>
      <c r="Y158" s="2932"/>
      <c r="Z158" s="2932"/>
      <c r="AA158" s="2932"/>
      <c r="AB158" s="2932"/>
      <c r="AC158" s="2932"/>
      <c r="AD158" s="2932"/>
      <c r="AE158" s="2933"/>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4" t="s">
        <v>308</v>
      </c>
      <c r="D159" s="2965"/>
      <c r="E159" s="2898" t="s">
        <v>2118</v>
      </c>
      <c r="F159" s="2898"/>
      <c r="G159" s="2898"/>
      <c r="H159" s="2898"/>
      <c r="I159" s="2898"/>
      <c r="J159" s="2898"/>
      <c r="K159" s="2898"/>
      <c r="L159" s="2898"/>
      <c r="M159" s="2966"/>
      <c r="N159" s="2967"/>
      <c r="O159" s="2967"/>
      <c r="P159" s="2967"/>
      <c r="Q159" s="2967"/>
      <c r="R159" s="2967"/>
      <c r="S159" s="2967"/>
      <c r="T159" s="2968"/>
      <c r="U159" s="2969"/>
      <c r="V159" s="2970"/>
      <c r="W159" s="2970"/>
      <c r="X159" s="2970"/>
      <c r="Y159" s="2970"/>
      <c r="Z159" s="2970"/>
      <c r="AA159" s="2970"/>
      <c r="AB159" s="2970"/>
      <c r="AC159" s="2970"/>
      <c r="AD159" s="2970"/>
      <c r="AE159" s="297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2" t="s">
        <v>2136</v>
      </c>
      <c r="D160" s="2973"/>
      <c r="E160" s="2973"/>
      <c r="F160" s="2973"/>
      <c r="G160" s="2973"/>
      <c r="H160" s="2973"/>
      <c r="I160" s="2973"/>
      <c r="J160" s="2973"/>
      <c r="K160" s="2973"/>
      <c r="L160" s="2973"/>
      <c r="M160" s="2974"/>
      <c r="N160" s="2975">
        <f>SUM(N152:T159)</f>
        <v>8343076</v>
      </c>
      <c r="O160" s="2976"/>
      <c r="P160" s="2976"/>
      <c r="Q160" s="2976"/>
      <c r="R160" s="2976"/>
      <c r="S160" s="2976"/>
      <c r="T160" s="297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7" t="s">
        <v>2137</v>
      </c>
      <c r="D161" s="2778"/>
      <c r="E161" s="2778"/>
      <c r="F161" s="2778"/>
      <c r="G161" s="2778"/>
      <c r="H161" s="2778"/>
      <c r="I161" s="2778"/>
      <c r="J161" s="2778"/>
      <c r="K161" s="2778"/>
      <c r="L161" s="2778"/>
      <c r="M161" s="2778"/>
      <c r="N161" s="2953">
        <f>(N150-N160)/J29</f>
        <v>-32073.350993377484</v>
      </c>
      <c r="O161" s="2953"/>
      <c r="P161" s="2953"/>
      <c r="Q161" s="2953"/>
      <c r="R161" s="2953"/>
      <c r="S161" s="2953"/>
      <c r="T161" s="2954"/>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5" t="s">
        <v>2138</v>
      </c>
      <c r="C164" s="2956"/>
      <c r="D164" s="2956"/>
      <c r="E164" s="2956"/>
      <c r="F164" s="2956"/>
      <c r="G164" s="2956"/>
      <c r="H164" s="2956"/>
      <c r="I164" s="2956"/>
      <c r="J164" s="2956"/>
      <c r="K164" s="2956"/>
      <c r="L164" s="2956"/>
      <c r="M164" s="2956"/>
      <c r="N164" s="2956"/>
      <c r="O164" s="2956"/>
      <c r="P164" s="2956"/>
      <c r="Q164" s="2956"/>
      <c r="R164" s="2956"/>
      <c r="S164" s="2956"/>
      <c r="T164" s="2956"/>
      <c r="U164" s="2956"/>
      <c r="V164" s="2956"/>
      <c r="W164" s="2956"/>
      <c r="X164" s="2956"/>
      <c r="Y164" s="2956"/>
      <c r="Z164" s="2956"/>
      <c r="AA164" s="2956"/>
      <c r="AB164" s="2956"/>
      <c r="AC164" s="2956"/>
      <c r="AD164" s="2956"/>
      <c r="AE164" s="2956"/>
      <c r="AF164" s="2956"/>
      <c r="AG164" s="2956"/>
      <c r="AH164" s="2956"/>
      <c r="AI164" s="2956"/>
      <c r="AJ164" s="2956"/>
      <c r="AK164" s="2956"/>
      <c r="AL164" s="2956"/>
      <c r="AM164" s="2956"/>
      <c r="AN164" s="2956"/>
      <c r="AO164" s="2956"/>
      <c r="AP164" s="2956"/>
      <c r="AQ164" s="2956"/>
      <c r="AR164" s="2956"/>
      <c r="AS164" s="2956"/>
      <c r="AT164" s="2956"/>
      <c r="AU164" s="2956"/>
      <c r="AV164" s="2956"/>
      <c r="AW164" s="2956"/>
      <c r="AX164" s="2956"/>
      <c r="AY164" s="2956"/>
      <c r="AZ164" s="2956"/>
      <c r="BA164" s="2956"/>
      <c r="BB164" s="2956"/>
      <c r="BC164" s="2956"/>
      <c r="BD164" s="2957"/>
      <c r="BE164" s="1535"/>
    </row>
    <row r="165" spans="1:57" ht="15.75" customHeight="1">
      <c r="A165" s="1818"/>
      <c r="B165" s="2958"/>
      <c r="C165" s="2959"/>
      <c r="D165" s="2959"/>
      <c r="E165" s="2959"/>
      <c r="F165" s="2959"/>
      <c r="G165" s="2959"/>
      <c r="H165" s="2959"/>
      <c r="I165" s="2959"/>
      <c r="J165" s="2959"/>
      <c r="K165" s="2959"/>
      <c r="L165" s="2959"/>
      <c r="M165" s="2959"/>
      <c r="N165" s="2959"/>
      <c r="O165" s="2959"/>
      <c r="P165" s="2959"/>
      <c r="Q165" s="2959"/>
      <c r="R165" s="2959"/>
      <c r="S165" s="2959"/>
      <c r="T165" s="2959"/>
      <c r="U165" s="2959"/>
      <c r="V165" s="2959"/>
      <c r="W165" s="2959"/>
      <c r="X165" s="2959"/>
      <c r="Y165" s="2959"/>
      <c r="Z165" s="2959"/>
      <c r="AA165" s="2959"/>
      <c r="AB165" s="2959"/>
      <c r="AC165" s="2959"/>
      <c r="AD165" s="2959"/>
      <c r="AE165" s="2959"/>
      <c r="AF165" s="2959"/>
      <c r="AG165" s="2959"/>
      <c r="AH165" s="2959"/>
      <c r="AI165" s="2959"/>
      <c r="AJ165" s="2959"/>
      <c r="AK165" s="2959"/>
      <c r="AL165" s="2959"/>
      <c r="AM165" s="2959"/>
      <c r="AN165" s="2959"/>
      <c r="AO165" s="2959"/>
      <c r="AP165" s="2959"/>
      <c r="AQ165" s="2959"/>
      <c r="AR165" s="2959"/>
      <c r="AS165" s="2959"/>
      <c r="AT165" s="2959"/>
      <c r="AU165" s="2959"/>
      <c r="AV165" s="2959"/>
      <c r="AW165" s="2959"/>
      <c r="AX165" s="2959"/>
      <c r="AY165" s="2959"/>
      <c r="AZ165" s="2959"/>
      <c r="BA165" s="2959"/>
      <c r="BB165" s="2959"/>
      <c r="BC165" s="2959"/>
      <c r="BD165" s="2960"/>
      <c r="BE165" s="1535"/>
    </row>
    <row r="166" spans="1:57" ht="15.75" customHeight="1">
      <c r="A166" s="1818"/>
      <c r="B166" s="2961" t="s">
        <v>2139</v>
      </c>
      <c r="C166" s="2962"/>
      <c r="D166" s="2962"/>
      <c r="E166" s="2962"/>
      <c r="F166" s="2962"/>
      <c r="G166" s="2962"/>
      <c r="H166" s="2962"/>
      <c r="I166" s="2962"/>
      <c r="J166" s="2962"/>
      <c r="K166" s="2962"/>
      <c r="L166" s="2962"/>
      <c r="M166" s="2962"/>
      <c r="N166" s="2962"/>
      <c r="O166" s="2962"/>
      <c r="P166" s="2962"/>
      <c r="Q166" s="2962"/>
      <c r="R166" s="2962"/>
      <c r="S166" s="2962"/>
      <c r="T166" s="2962"/>
      <c r="U166" s="2962"/>
      <c r="V166" s="2962"/>
      <c r="W166" s="2962"/>
      <c r="X166" s="2962"/>
      <c r="Y166" s="2962"/>
      <c r="Z166" s="2962"/>
      <c r="AA166" s="2962"/>
      <c r="AB166" s="2962"/>
      <c r="AC166" s="2962"/>
      <c r="AD166" s="2962"/>
      <c r="AE166" s="2962"/>
      <c r="AF166" s="2962"/>
      <c r="AG166" s="2962"/>
      <c r="AH166" s="2962"/>
      <c r="AI166" s="2962"/>
      <c r="AJ166" s="2962"/>
      <c r="AK166" s="2962"/>
      <c r="AL166" s="2962"/>
      <c r="AM166" s="2962"/>
      <c r="AN166" s="2962"/>
      <c r="AO166" s="2962"/>
      <c r="AP166" s="2962"/>
      <c r="AQ166" s="2962"/>
      <c r="AR166" s="2962"/>
      <c r="AS166" s="2962"/>
      <c r="AT166" s="2962"/>
      <c r="AU166" s="2962"/>
      <c r="AV166" s="2962"/>
      <c r="AW166" s="2962"/>
      <c r="AX166" s="2962"/>
      <c r="AY166" s="2962"/>
      <c r="AZ166" s="2962"/>
      <c r="BA166" s="2962"/>
      <c r="BB166" s="2962"/>
      <c r="BC166" s="2962"/>
      <c r="BD166" s="2963"/>
      <c r="BE166" s="1535"/>
    </row>
    <row r="167" spans="1:57" ht="15.75" customHeight="1">
      <c r="A167" s="1818"/>
      <c r="B167" s="2961" t="s">
        <v>2140</v>
      </c>
      <c r="C167" s="2962"/>
      <c r="D167" s="2962"/>
      <c r="E167" s="2962"/>
      <c r="F167" s="2962"/>
      <c r="G167" s="2962"/>
      <c r="H167" s="2962"/>
      <c r="I167" s="2962"/>
      <c r="J167" s="2962"/>
      <c r="K167" s="2962"/>
      <c r="L167" s="2962"/>
      <c r="M167" s="2962"/>
      <c r="N167" s="2962"/>
      <c r="O167" s="2962"/>
      <c r="P167" s="2962"/>
      <c r="Q167" s="2962"/>
      <c r="R167" s="2962"/>
      <c r="S167" s="2962"/>
      <c r="T167" s="2962"/>
      <c r="U167" s="2962"/>
      <c r="V167" s="2962"/>
      <c r="W167" s="2962"/>
      <c r="X167" s="2962"/>
      <c r="Y167" s="2962"/>
      <c r="Z167" s="2962"/>
      <c r="AA167" s="2962"/>
      <c r="AB167" s="2962"/>
      <c r="AC167" s="2962"/>
      <c r="AD167" s="2962"/>
      <c r="AE167" s="2962"/>
      <c r="AF167" s="2962"/>
      <c r="AG167" s="2962"/>
      <c r="AH167" s="2962"/>
      <c r="AI167" s="2962"/>
      <c r="AJ167" s="2962"/>
      <c r="AK167" s="2962"/>
      <c r="AL167" s="2962"/>
      <c r="AM167" s="2962"/>
      <c r="AN167" s="2962"/>
      <c r="AO167" s="2962"/>
      <c r="AP167" s="2962"/>
      <c r="AQ167" s="2962"/>
      <c r="AR167" s="2962"/>
      <c r="AS167" s="2962"/>
      <c r="AT167" s="2962"/>
      <c r="AU167" s="2962"/>
      <c r="AV167" s="2962"/>
      <c r="AW167" s="2962"/>
      <c r="AX167" s="2962"/>
      <c r="AY167" s="2962"/>
      <c r="AZ167" s="2962"/>
      <c r="BA167" s="2962"/>
      <c r="BB167" s="2962"/>
      <c r="BC167" s="2962"/>
      <c r="BD167" s="2963"/>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4" t="s">
        <v>2141</v>
      </c>
      <c r="C169" s="2985"/>
      <c r="D169" s="2985"/>
      <c r="E169" s="2985"/>
      <c r="F169" s="2985"/>
      <c r="G169" s="2985"/>
      <c r="H169" s="2985"/>
      <c r="I169" s="2985"/>
      <c r="J169" s="2985"/>
      <c r="K169" s="2985"/>
      <c r="L169" s="2985"/>
      <c r="M169" s="2985"/>
      <c r="N169" s="2985"/>
      <c r="O169" s="2985"/>
      <c r="P169" s="2985"/>
      <c r="Q169" s="2985"/>
      <c r="R169" s="2985"/>
      <c r="S169" s="2985"/>
      <c r="T169" s="2985"/>
      <c r="U169" s="2985"/>
      <c r="V169" s="2985"/>
      <c r="W169" s="2985"/>
      <c r="X169" s="2985"/>
      <c r="Y169" s="2985"/>
      <c r="Z169" s="2985"/>
      <c r="AA169" s="2985"/>
      <c r="AB169" s="2985"/>
      <c r="AC169" s="2985"/>
      <c r="AD169" s="2985"/>
      <c r="AE169" s="2985"/>
      <c r="AF169" s="2985"/>
      <c r="AG169" s="2985"/>
      <c r="AH169" s="2985"/>
      <c r="AI169" s="2985"/>
      <c r="AJ169" s="2985"/>
      <c r="AK169" s="2985"/>
      <c r="AL169" s="2985"/>
      <c r="AM169" s="2985"/>
      <c r="AN169" s="2985"/>
      <c r="AO169" s="2985"/>
      <c r="AP169" s="2985"/>
      <c r="AQ169" s="2985"/>
      <c r="AR169" s="2985"/>
      <c r="AS169" s="2985"/>
      <c r="AT169" s="2985"/>
      <c r="AU169" s="2985"/>
      <c r="AV169" s="2985"/>
      <c r="AW169" s="2985"/>
      <c r="AX169" s="2985"/>
      <c r="AY169" s="2985"/>
      <c r="AZ169" s="2985"/>
      <c r="BA169" s="2985"/>
      <c r="BB169" s="2985"/>
      <c r="BC169" s="2985"/>
      <c r="BD169" s="298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7" t="s">
        <v>2143</v>
      </c>
      <c r="I173" s="2987"/>
      <c r="J173" s="2987"/>
      <c r="K173" s="2987"/>
      <c r="L173" s="2987"/>
      <c r="M173" s="2987"/>
      <c r="N173" s="2987"/>
      <c r="O173" s="2987"/>
      <c r="P173" s="2987"/>
      <c r="Q173" s="2987"/>
      <c r="R173" s="2987"/>
      <c r="S173" s="2987"/>
      <c r="T173" s="2987"/>
      <c r="U173" s="2987"/>
      <c r="V173" s="2987"/>
      <c r="W173" s="2987"/>
      <c r="X173" s="2987"/>
      <c r="Y173" s="2987"/>
      <c r="Z173" s="2987"/>
      <c r="AA173" s="2987"/>
      <c r="AB173" s="2987"/>
      <c r="AC173" s="2987"/>
      <c r="AD173" s="2987"/>
      <c r="AE173" s="2987"/>
      <c r="AF173" s="2987"/>
      <c r="AG173" s="2987"/>
      <c r="AH173" s="2987"/>
      <c r="AI173" s="2987"/>
      <c r="AJ173" s="2987"/>
      <c r="AK173" s="2987"/>
      <c r="AL173" s="2987"/>
      <c r="AM173" s="2987"/>
      <c r="AN173" s="2987"/>
      <c r="AO173" s="2987"/>
      <c r="AP173" s="2987"/>
      <c r="AQ173" s="2987"/>
      <c r="AR173" s="2987"/>
      <c r="AS173" s="2987"/>
      <c r="AT173" s="2987"/>
      <c r="AU173" s="2987"/>
      <c r="AV173" s="2987"/>
      <c r="AW173" s="2987"/>
      <c r="AX173" s="2987"/>
      <c r="AY173" s="298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8" t="s">
        <v>2144</v>
      </c>
      <c r="I175" s="2988"/>
      <c r="J175" s="2988"/>
      <c r="K175" s="2988"/>
      <c r="L175" s="2988"/>
      <c r="M175" s="2988"/>
      <c r="N175" s="2988"/>
      <c r="O175" s="2988"/>
      <c r="P175" s="2988"/>
      <c r="Q175" s="2988"/>
      <c r="R175" s="2988"/>
      <c r="S175" s="2988"/>
      <c r="T175" s="2988"/>
      <c r="U175" s="2988"/>
      <c r="V175" s="2988"/>
      <c r="W175" s="2988"/>
      <c r="X175" s="2988"/>
      <c r="Y175" s="2988"/>
      <c r="Z175" s="2988"/>
      <c r="AA175" s="2988"/>
      <c r="AB175" s="2988"/>
      <c r="AC175" s="2988"/>
      <c r="AD175" s="2988"/>
      <c r="AE175" s="2988"/>
      <c r="AF175" s="2988"/>
      <c r="AG175" s="2988"/>
      <c r="AH175" s="2988"/>
      <c r="AI175" s="2988"/>
      <c r="AJ175" s="2988"/>
      <c r="AK175" s="2988"/>
      <c r="AL175" s="2988"/>
      <c r="AM175" s="2988"/>
      <c r="AN175" s="2988"/>
      <c r="AO175" s="2988"/>
      <c r="AP175" s="2988"/>
      <c r="AQ175" s="2988"/>
      <c r="AR175" s="2988"/>
      <c r="AS175" s="2988"/>
      <c r="AT175" s="2988"/>
      <c r="AU175" s="2988"/>
      <c r="AV175" s="2988"/>
      <c r="AW175" s="2988"/>
      <c r="AX175" s="2988"/>
      <c r="AY175" s="2988"/>
      <c r="AZ175" s="2988"/>
      <c r="BA175" s="1555"/>
      <c r="BB175" s="1555"/>
      <c r="BC175" s="1555"/>
      <c r="BD175" s="1535"/>
      <c r="BE175" s="1535"/>
    </row>
    <row r="176" spans="1:57" ht="15.75" customHeight="1">
      <c r="A176" s="1818"/>
      <c r="B176" s="1528"/>
      <c r="C176" s="1555"/>
      <c r="D176" s="1555"/>
      <c r="E176" s="1555"/>
      <c r="F176" s="1555"/>
      <c r="G176" s="1555"/>
      <c r="H176" s="2988"/>
      <c r="I176" s="2988"/>
      <c r="J176" s="2988"/>
      <c r="K176" s="2988"/>
      <c r="L176" s="2988"/>
      <c r="M176" s="2988"/>
      <c r="N176" s="2988"/>
      <c r="O176" s="2988"/>
      <c r="P176" s="2988"/>
      <c r="Q176" s="2988"/>
      <c r="R176" s="2988"/>
      <c r="S176" s="2988"/>
      <c r="T176" s="2988"/>
      <c r="U176" s="2988"/>
      <c r="V176" s="2988"/>
      <c r="W176" s="2988"/>
      <c r="X176" s="2988"/>
      <c r="Y176" s="2988"/>
      <c r="Z176" s="2988"/>
      <c r="AA176" s="2988"/>
      <c r="AB176" s="2988"/>
      <c r="AC176" s="2988"/>
      <c r="AD176" s="2988"/>
      <c r="AE176" s="2988"/>
      <c r="AF176" s="2988"/>
      <c r="AG176" s="2988"/>
      <c r="AH176" s="2988"/>
      <c r="AI176" s="2988"/>
      <c r="AJ176" s="2988"/>
      <c r="AK176" s="2988"/>
      <c r="AL176" s="2988"/>
      <c r="AM176" s="2988"/>
      <c r="AN176" s="2988"/>
      <c r="AO176" s="2988"/>
      <c r="AP176" s="2988"/>
      <c r="AQ176" s="2988"/>
      <c r="AR176" s="2988"/>
      <c r="AS176" s="2988"/>
      <c r="AT176" s="2988"/>
      <c r="AU176" s="2988"/>
      <c r="AV176" s="2988"/>
      <c r="AW176" s="2988"/>
      <c r="AX176" s="2988"/>
      <c r="AY176" s="2988"/>
      <c r="AZ176" s="2988"/>
      <c r="BA176" s="1555"/>
      <c r="BB176" s="1555"/>
      <c r="BC176" s="1555"/>
      <c r="BD176" s="1535"/>
      <c r="BE176" s="1535"/>
    </row>
    <row r="177" spans="1:57" ht="15.75" customHeight="1">
      <c r="A177" s="1818"/>
      <c r="B177" s="1528"/>
      <c r="C177" s="1555"/>
      <c r="D177" s="1555"/>
      <c r="E177" s="1555"/>
      <c r="F177" s="1555"/>
      <c r="G177" s="1555"/>
      <c r="H177" s="2988"/>
      <c r="I177" s="2988"/>
      <c r="J177" s="2988"/>
      <c r="K177" s="2988"/>
      <c r="L177" s="2988"/>
      <c r="M177" s="2988"/>
      <c r="N177" s="2988"/>
      <c r="O177" s="2988"/>
      <c r="P177" s="2988"/>
      <c r="Q177" s="2988"/>
      <c r="R177" s="2988"/>
      <c r="S177" s="2988"/>
      <c r="T177" s="2988"/>
      <c r="U177" s="2988"/>
      <c r="V177" s="2988"/>
      <c r="W177" s="2988"/>
      <c r="X177" s="2988"/>
      <c r="Y177" s="2988"/>
      <c r="Z177" s="2988"/>
      <c r="AA177" s="2988"/>
      <c r="AB177" s="2988"/>
      <c r="AC177" s="2988"/>
      <c r="AD177" s="2988"/>
      <c r="AE177" s="2988"/>
      <c r="AF177" s="2988"/>
      <c r="AG177" s="2988"/>
      <c r="AH177" s="2988"/>
      <c r="AI177" s="2988"/>
      <c r="AJ177" s="2988"/>
      <c r="AK177" s="2988"/>
      <c r="AL177" s="2988"/>
      <c r="AM177" s="2988"/>
      <c r="AN177" s="2988"/>
      <c r="AO177" s="2988"/>
      <c r="AP177" s="2988"/>
      <c r="AQ177" s="2988"/>
      <c r="AR177" s="2988"/>
      <c r="AS177" s="2988"/>
      <c r="AT177" s="2988"/>
      <c r="AU177" s="2988"/>
      <c r="AV177" s="2988"/>
      <c r="AW177" s="2988"/>
      <c r="AX177" s="2988"/>
      <c r="AY177" s="2988"/>
      <c r="AZ177" s="298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9" t="s">
        <v>2145</v>
      </c>
      <c r="I180" s="2989"/>
      <c r="J180" s="2989"/>
      <c r="K180" s="2989"/>
      <c r="L180" s="2989"/>
      <c r="M180" s="2989"/>
      <c r="N180" s="2989"/>
      <c r="O180" s="2989"/>
      <c r="P180" s="2989"/>
      <c r="Q180" s="2989"/>
      <c r="R180" s="2989"/>
      <c r="S180" s="2989"/>
      <c r="T180" s="2989"/>
      <c r="U180" s="2989"/>
      <c r="V180" s="2989"/>
      <c r="W180" s="2989"/>
      <c r="X180" s="2989"/>
      <c r="Y180" s="2989"/>
      <c r="Z180" s="2989"/>
      <c r="AA180" s="2989"/>
      <c r="AB180" s="2989"/>
      <c r="AC180" s="2989"/>
      <c r="AD180" s="2989"/>
      <c r="AE180" s="2989"/>
      <c r="AF180" s="2989"/>
      <c r="AG180" s="2989"/>
      <c r="AH180" s="2989"/>
      <c r="AI180" s="2989"/>
      <c r="AJ180" s="2989"/>
      <c r="AK180" s="2989"/>
      <c r="AL180" s="2989"/>
      <c r="AM180" s="2989"/>
      <c r="AN180" s="2989"/>
      <c r="AO180" s="2989"/>
      <c r="AP180" s="2989"/>
      <c r="AQ180" s="2989"/>
      <c r="AR180" s="2989"/>
      <c r="AS180" s="2989"/>
      <c r="AT180" s="2989"/>
      <c r="AU180" s="2989"/>
      <c r="AV180" s="298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2" t="s">
        <v>2146</v>
      </c>
      <c r="I182" s="2982"/>
      <c r="J182" s="2982"/>
      <c r="K182" s="2982"/>
      <c r="L182" s="1564"/>
      <c r="M182" s="1564"/>
      <c r="N182" s="1564"/>
      <c r="O182" s="1564"/>
      <c r="P182" s="1564"/>
      <c r="Q182" s="1564"/>
      <c r="R182" s="1564"/>
      <c r="S182" s="2979"/>
      <c r="T182" s="2980"/>
      <c r="U182" s="2980"/>
      <c r="V182" s="2980"/>
      <c r="W182" s="2980"/>
      <c r="X182" s="2980"/>
      <c r="Y182" s="2980"/>
      <c r="Z182" s="2980"/>
      <c r="AA182" s="2980"/>
      <c r="AB182" s="2980"/>
      <c r="AC182" s="2980"/>
      <c r="AD182" s="2980"/>
      <c r="AE182" s="2980"/>
      <c r="AF182" s="2980"/>
      <c r="AG182" s="2980"/>
      <c r="AH182" s="2980"/>
      <c r="AI182" s="2980"/>
      <c r="AJ182" s="298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2" t="s">
        <v>2147</v>
      </c>
      <c r="I184" s="2982"/>
      <c r="J184" s="2982"/>
      <c r="K184" s="1566"/>
      <c r="L184" s="1564"/>
      <c r="M184" s="1564"/>
      <c r="N184" s="1564"/>
      <c r="O184" s="1564"/>
      <c r="P184" s="1564"/>
      <c r="Q184" s="1564"/>
      <c r="R184" s="1564"/>
      <c r="S184" s="2979"/>
      <c r="T184" s="2980"/>
      <c r="U184" s="2980"/>
      <c r="V184" s="2980"/>
      <c r="W184" s="2980"/>
      <c r="X184" s="2980"/>
      <c r="Y184" s="2980"/>
      <c r="Z184" s="2980"/>
      <c r="AA184" s="2980"/>
      <c r="AB184" s="2980"/>
      <c r="AC184" s="2980"/>
      <c r="AD184" s="2980"/>
      <c r="AE184" s="2980"/>
      <c r="AF184" s="2980"/>
      <c r="AG184" s="2980"/>
      <c r="AH184" s="2980"/>
      <c r="AI184" s="2980"/>
      <c r="AJ184" s="298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2" t="s">
        <v>463</v>
      </c>
      <c r="I186" s="2982"/>
      <c r="J186" s="1566"/>
      <c r="K186" s="1566"/>
      <c r="L186" s="1564"/>
      <c r="M186" s="1564"/>
      <c r="N186" s="1564"/>
      <c r="O186" s="1564"/>
      <c r="P186" s="1564"/>
      <c r="Q186" s="1564"/>
      <c r="R186" s="1564"/>
      <c r="S186" s="2979"/>
      <c r="T186" s="2980"/>
      <c r="U186" s="2980"/>
      <c r="V186" s="2980"/>
      <c r="W186" s="2980"/>
      <c r="X186" s="2980"/>
      <c r="Y186" s="2980"/>
      <c r="Z186" s="2980"/>
      <c r="AA186" s="2980"/>
      <c r="AB186" s="2980"/>
      <c r="AC186" s="2980"/>
      <c r="AD186" s="2980"/>
      <c r="AE186" s="2980"/>
      <c r="AF186" s="2980"/>
      <c r="AG186" s="2980"/>
      <c r="AH186" s="2980"/>
      <c r="AI186" s="2980"/>
      <c r="AJ186" s="298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3" t="s">
        <v>2148</v>
      </c>
      <c r="I188" s="2983"/>
      <c r="J188" s="2983"/>
      <c r="K188" s="2983"/>
      <c r="L188" s="2983"/>
      <c r="M188" s="2983"/>
      <c r="N188" s="2983"/>
      <c r="O188" s="2983"/>
      <c r="P188" s="1564"/>
      <c r="Q188" s="1564"/>
      <c r="R188" s="1564"/>
      <c r="S188" s="2979"/>
      <c r="T188" s="2980"/>
      <c r="U188" s="2980"/>
      <c r="V188" s="2980"/>
      <c r="W188" s="2980"/>
      <c r="X188" s="2980"/>
      <c r="Y188" s="2980"/>
      <c r="Z188" s="2980"/>
      <c r="AA188" s="2980"/>
      <c r="AB188" s="2980"/>
      <c r="AC188" s="2980"/>
      <c r="AD188" s="2980"/>
      <c r="AE188" s="2980"/>
      <c r="AF188" s="2980"/>
      <c r="AG188" s="2980"/>
      <c r="AH188" s="2980"/>
      <c r="AI188" s="2980"/>
      <c r="AJ188" s="298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8" t="s">
        <v>2149</v>
      </c>
      <c r="I190" s="2978"/>
      <c r="J190" s="1564"/>
      <c r="K190" s="1564"/>
      <c r="L190" s="1564"/>
      <c r="M190" s="1564"/>
      <c r="N190" s="1564"/>
      <c r="O190" s="1564"/>
      <c r="P190" s="1564"/>
      <c r="Q190" s="1564"/>
      <c r="R190" s="1564"/>
      <c r="S190" s="2979"/>
      <c r="T190" s="2980"/>
      <c r="U190" s="2980"/>
      <c r="V190" s="2980"/>
      <c r="W190" s="2980"/>
      <c r="X190" s="2980"/>
      <c r="Y190" s="2980"/>
      <c r="Z190" s="2980"/>
      <c r="AA190" s="2980"/>
      <c r="AB190" s="2980"/>
      <c r="AC190" s="2980"/>
      <c r="AD190" s="2980"/>
      <c r="AE190" s="2980"/>
      <c r="AF190" s="2980"/>
      <c r="AG190" s="2980"/>
      <c r="AH190" s="2980"/>
      <c r="AI190" s="2980"/>
      <c r="AJ190" s="298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00" zoomScaleNormal="100" zoomScaleSheetLayoutView="100" workbookViewId="0">
      <selection activeCell="E677" sqref="E677"/>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36" t="s">
        <v>1558</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row>
    <row r="2" spans="1:42" s="927" customFormat="1" ht="12.75" customHeight="1" thickBot="1">
      <c r="A2" s="3237"/>
      <c r="B2" s="3237"/>
      <c r="C2" s="3237"/>
      <c r="D2" s="3237"/>
      <c r="E2" s="3237"/>
      <c r="F2" s="323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2" t="s">
        <v>1563</v>
      </c>
      <c r="AF7" s="3212"/>
      <c r="AG7" s="3212"/>
      <c r="AH7" s="3212"/>
      <c r="AI7" s="3212"/>
      <c r="AJ7" s="3212"/>
      <c r="AK7" s="3212"/>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1" t="s">
        <v>625</v>
      </c>
      <c r="C12" s="3221"/>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8"/>
      <c r="AH12" s="3238"/>
      <c r="AI12" s="3238"/>
      <c r="AJ12" s="3239"/>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1" t="s">
        <v>625</v>
      </c>
      <c r="C15" s="3221"/>
      <c r="D15" s="940"/>
      <c r="E15" s="3240" t="s">
        <v>1566</v>
      </c>
      <c r="F15" s="3241"/>
      <c r="G15" s="3241"/>
      <c r="H15" s="3241"/>
      <c r="I15" s="3241"/>
      <c r="J15" s="3241"/>
      <c r="K15" s="3241"/>
      <c r="L15" s="3241"/>
      <c r="M15" s="3241"/>
      <c r="N15" s="3241"/>
      <c r="O15" s="3241"/>
      <c r="P15" s="3241"/>
      <c r="Q15" s="3241"/>
      <c r="R15" s="3241"/>
      <c r="S15" s="3241"/>
      <c r="T15" s="3241"/>
      <c r="U15" s="3241"/>
      <c r="V15" s="3241"/>
      <c r="W15" s="3241"/>
      <c r="X15" s="3241"/>
      <c r="Y15" s="3241"/>
      <c r="Z15" s="3241"/>
      <c r="AA15" s="3241"/>
      <c r="AB15" s="3241"/>
      <c r="AC15" s="3241"/>
      <c r="AD15" s="3241"/>
      <c r="AE15" s="3241"/>
      <c r="AF15" s="3241"/>
      <c r="AG15" s="3241"/>
      <c r="AH15" s="3241"/>
      <c r="AI15" s="3241"/>
      <c r="AJ15" s="3242"/>
      <c r="AK15" s="933"/>
      <c r="AL15" s="933"/>
      <c r="AM15" s="933"/>
      <c r="AN15" s="929"/>
      <c r="AO15" s="943">
        <f>IF($B24="yes",20,0)</f>
        <v>0</v>
      </c>
      <c r="AP15" s="51"/>
    </row>
    <row r="16" spans="1:42" s="930" customFormat="1" ht="12.75" customHeight="1">
      <c r="A16" s="933"/>
      <c r="B16" s="933"/>
      <c r="C16" s="933"/>
      <c r="D16" s="944"/>
      <c r="E16" s="3243"/>
      <c r="F16" s="3244"/>
      <c r="G16" s="3244"/>
      <c r="H16" s="3244"/>
      <c r="I16" s="3244"/>
      <c r="J16" s="3244"/>
      <c r="K16" s="3244"/>
      <c r="L16" s="3244"/>
      <c r="M16" s="3244"/>
      <c r="N16" s="3244"/>
      <c r="O16" s="3244"/>
      <c r="P16" s="3244"/>
      <c r="Q16" s="3244"/>
      <c r="R16" s="3244"/>
      <c r="S16" s="3244"/>
      <c r="T16" s="3244"/>
      <c r="U16" s="3244"/>
      <c r="V16" s="3244"/>
      <c r="W16" s="3244"/>
      <c r="X16" s="3244"/>
      <c r="Y16" s="3244"/>
      <c r="Z16" s="3244"/>
      <c r="AA16" s="3244"/>
      <c r="AB16" s="3244"/>
      <c r="AC16" s="3244"/>
      <c r="AD16" s="3244"/>
      <c r="AE16" s="3244"/>
      <c r="AF16" s="3244"/>
      <c r="AG16" s="3244"/>
      <c r="AH16" s="3244"/>
      <c r="AI16" s="3244"/>
      <c r="AJ16" s="3245"/>
      <c r="AK16" s="933"/>
      <c r="AL16" s="933"/>
      <c r="AM16" s="933"/>
      <c r="AN16" s="929"/>
      <c r="AO16" s="930">
        <f>IF(SUM(AO12:AO15)&gt;20,20,(SUM(AO12:AO15)))</f>
        <v>0</v>
      </c>
      <c r="AP16" s="930" t="s">
        <v>1567</v>
      </c>
    </row>
    <row r="17" spans="1:42" s="930" customFormat="1" ht="12.75" customHeight="1">
      <c r="A17" s="933"/>
      <c r="B17" s="933"/>
      <c r="C17" s="933"/>
      <c r="D17" s="944"/>
      <c r="E17" s="3243"/>
      <c r="F17" s="3244"/>
      <c r="G17" s="3244"/>
      <c r="H17" s="3244"/>
      <c r="I17" s="3244"/>
      <c r="J17" s="3244"/>
      <c r="K17" s="3244"/>
      <c r="L17" s="3244"/>
      <c r="M17" s="3244"/>
      <c r="N17" s="3244"/>
      <c r="O17" s="3244"/>
      <c r="P17" s="3244"/>
      <c r="Q17" s="3244"/>
      <c r="R17" s="3244"/>
      <c r="S17" s="3244"/>
      <c r="T17" s="3244"/>
      <c r="U17" s="3244"/>
      <c r="V17" s="3244"/>
      <c r="W17" s="3244"/>
      <c r="X17" s="3244"/>
      <c r="Y17" s="3244"/>
      <c r="Z17" s="3244"/>
      <c r="AA17" s="3244"/>
      <c r="AB17" s="3244"/>
      <c r="AC17" s="3244"/>
      <c r="AD17" s="3244"/>
      <c r="AE17" s="3244"/>
      <c r="AF17" s="3244"/>
      <c r="AG17" s="3244"/>
      <c r="AH17" s="3244"/>
      <c r="AI17" s="3244"/>
      <c r="AJ17" s="3245"/>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7"/>
      <c r="F19" s="3248"/>
      <c r="G19" s="3248"/>
      <c r="H19" s="3248"/>
      <c r="I19" s="3248"/>
      <c r="J19" s="3248"/>
      <c r="K19" s="3248"/>
      <c r="L19" s="3248"/>
      <c r="M19" s="3248"/>
      <c r="N19" s="3248"/>
      <c r="O19" s="3248"/>
      <c r="P19" s="3248"/>
      <c r="Q19" s="3248"/>
      <c r="R19" s="3248"/>
      <c r="S19" s="3248"/>
      <c r="T19" s="3248"/>
      <c r="U19" s="3248"/>
      <c r="V19" s="3248"/>
      <c r="W19" s="3248"/>
      <c r="X19" s="3248"/>
      <c r="Y19" s="3248"/>
      <c r="Z19" s="3248"/>
      <c r="AA19" s="3248"/>
      <c r="AB19" s="3248"/>
      <c r="AC19" s="3248"/>
      <c r="AD19" s="3248"/>
      <c r="AE19" s="3248"/>
      <c r="AF19" s="3248"/>
      <c r="AG19" s="3248"/>
      <c r="AH19" s="3248"/>
      <c r="AI19" s="3248"/>
      <c r="AJ19" s="3249"/>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21" t="s">
        <v>625</v>
      </c>
      <c r="C21" s="3221"/>
      <c r="D21" s="940"/>
      <c r="E21" s="3250" t="s">
        <v>1569</v>
      </c>
      <c r="F21" s="3251"/>
      <c r="G21" s="3251"/>
      <c r="H21" s="3251"/>
      <c r="I21" s="3251"/>
      <c r="J21" s="3251"/>
      <c r="K21" s="3251"/>
      <c r="L21" s="3251"/>
      <c r="M21" s="3251"/>
      <c r="N21" s="3251"/>
      <c r="O21" s="3251"/>
      <c r="P21" s="3251"/>
      <c r="Q21" s="3251"/>
      <c r="R21" s="3251"/>
      <c r="S21" s="3251"/>
      <c r="T21" s="3251"/>
      <c r="U21" s="3251"/>
      <c r="V21" s="3251"/>
      <c r="W21" s="3251"/>
      <c r="X21" s="3251"/>
      <c r="Y21" s="3251"/>
      <c r="Z21" s="3251"/>
      <c r="AA21" s="3251"/>
      <c r="AB21" s="3251"/>
      <c r="AC21" s="3251"/>
      <c r="AD21" s="3251"/>
      <c r="AE21" s="3251"/>
      <c r="AF21" s="3251"/>
      <c r="AG21" s="3251"/>
      <c r="AH21" s="3251"/>
      <c r="AI21" s="3251"/>
      <c r="AJ21" s="3252"/>
      <c r="AK21" s="933"/>
      <c r="AL21" s="933"/>
      <c r="AM21" s="933"/>
      <c r="AN21" s="929"/>
      <c r="AO21" s="930">
        <f>SUM(AO20)</f>
        <v>0</v>
      </c>
      <c r="AP21" s="930" t="s">
        <v>1567</v>
      </c>
    </row>
    <row r="22" spans="1:42" s="930" customFormat="1" ht="12.75" customHeight="1">
      <c r="A22" s="933"/>
      <c r="B22" s="933"/>
      <c r="C22" s="933"/>
      <c r="D22" s="943"/>
      <c r="E22" s="3253"/>
      <c r="F22" s="3254"/>
      <c r="G22" s="3254"/>
      <c r="H22" s="3254"/>
      <c r="I22" s="3254"/>
      <c r="J22" s="3254"/>
      <c r="K22" s="3254"/>
      <c r="L22" s="3254"/>
      <c r="M22" s="3254"/>
      <c r="N22" s="3254"/>
      <c r="O22" s="3254"/>
      <c r="P22" s="3254"/>
      <c r="Q22" s="3254"/>
      <c r="R22" s="3254"/>
      <c r="S22" s="3254"/>
      <c r="T22" s="3254"/>
      <c r="U22" s="3254"/>
      <c r="V22" s="3254"/>
      <c r="W22" s="3254"/>
      <c r="X22" s="3254"/>
      <c r="Y22" s="3254"/>
      <c r="Z22" s="3254"/>
      <c r="AA22" s="3254"/>
      <c r="AB22" s="3254"/>
      <c r="AC22" s="3254"/>
      <c r="AD22" s="3254"/>
      <c r="AE22" s="3254"/>
      <c r="AF22" s="3254"/>
      <c r="AG22" s="3254"/>
      <c r="AH22" s="3254"/>
      <c r="AI22" s="3254"/>
      <c r="AJ22" s="3255"/>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21" t="s">
        <v>625</v>
      </c>
      <c r="C24" s="3221"/>
      <c r="D24" s="940"/>
      <c r="E24" s="3152" t="s">
        <v>1570</v>
      </c>
      <c r="F24" s="3153"/>
      <c r="G24" s="3153"/>
      <c r="H24" s="3153"/>
      <c r="I24" s="3153"/>
      <c r="J24" s="3153"/>
      <c r="K24" s="3153"/>
      <c r="L24" s="3153"/>
      <c r="M24" s="3153"/>
      <c r="N24" s="3153"/>
      <c r="O24" s="3153"/>
      <c r="P24" s="3153"/>
      <c r="Q24" s="3153"/>
      <c r="R24" s="3153"/>
      <c r="S24" s="3153"/>
      <c r="T24" s="3153"/>
      <c r="U24" s="3153"/>
      <c r="V24" s="3153"/>
      <c r="W24" s="3153"/>
      <c r="X24" s="3153"/>
      <c r="Y24" s="3153"/>
      <c r="Z24" s="3153"/>
      <c r="AA24" s="3153"/>
      <c r="AB24" s="3153"/>
      <c r="AC24" s="3153"/>
      <c r="AD24" s="3153"/>
      <c r="AE24" s="3153"/>
      <c r="AF24" s="3153"/>
      <c r="AG24" s="3153"/>
      <c r="AH24" s="3153"/>
      <c r="AI24" s="3153"/>
      <c r="AJ24" s="3154"/>
      <c r="AK24" s="933"/>
      <c r="AL24" s="933"/>
      <c r="AM24" s="933"/>
      <c r="AN24" s="929"/>
      <c r="AO24" s="943">
        <f>IF($B39="yes",6,0)</f>
        <v>0</v>
      </c>
    </row>
    <row r="25" spans="1:42" s="930" customFormat="1" ht="12.75" customHeight="1">
      <c r="A25" s="933"/>
      <c r="B25" s="933"/>
      <c r="C25" s="933"/>
      <c r="D25" s="943"/>
      <c r="E25" s="3222"/>
      <c r="F25" s="3223"/>
      <c r="G25" s="3223"/>
      <c r="H25" s="3223"/>
      <c r="I25" s="3223"/>
      <c r="J25" s="3223"/>
      <c r="K25" s="3223"/>
      <c r="L25" s="3223"/>
      <c r="M25" s="3223"/>
      <c r="N25" s="3223"/>
      <c r="O25" s="3223"/>
      <c r="P25" s="3223"/>
      <c r="Q25" s="3223"/>
      <c r="R25" s="3223"/>
      <c r="S25" s="3223"/>
      <c r="T25" s="3223"/>
      <c r="U25" s="3223"/>
      <c r="V25" s="3223"/>
      <c r="W25" s="3223"/>
      <c r="X25" s="3223"/>
      <c r="Y25" s="3223"/>
      <c r="Z25" s="3223"/>
      <c r="AA25" s="3223"/>
      <c r="AB25" s="3223"/>
      <c r="AC25" s="3223"/>
      <c r="AD25" s="3223"/>
      <c r="AE25" s="3223"/>
      <c r="AF25" s="3223"/>
      <c r="AG25" s="3223"/>
      <c r="AH25" s="3223"/>
      <c r="AI25" s="3223"/>
      <c r="AJ25" s="3224"/>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21" t="s">
        <v>625</v>
      </c>
      <c r="C29" s="3221"/>
      <c r="D29" s="940"/>
      <c r="E29" s="3152" t="s">
        <v>1572</v>
      </c>
      <c r="F29" s="3153"/>
      <c r="G29" s="3153"/>
      <c r="H29" s="3153"/>
      <c r="I29" s="3153"/>
      <c r="J29" s="3153"/>
      <c r="K29" s="3153"/>
      <c r="L29" s="3153"/>
      <c r="M29" s="3153"/>
      <c r="N29" s="3153"/>
      <c r="O29" s="3153"/>
      <c r="P29" s="3153"/>
      <c r="Q29" s="3153"/>
      <c r="R29" s="3153"/>
      <c r="S29" s="3153"/>
      <c r="T29" s="3153"/>
      <c r="U29" s="3153"/>
      <c r="V29" s="3153"/>
      <c r="W29" s="3153"/>
      <c r="X29" s="3153"/>
      <c r="Y29" s="3153"/>
      <c r="Z29" s="3153"/>
      <c r="AA29" s="3153"/>
      <c r="AB29" s="3153"/>
      <c r="AC29" s="3153"/>
      <c r="AD29" s="3153"/>
      <c r="AE29" s="3153"/>
      <c r="AF29" s="3153"/>
      <c r="AG29" s="3153"/>
      <c r="AH29" s="3153"/>
      <c r="AI29" s="3153"/>
      <c r="AJ29" s="3154"/>
      <c r="AK29" s="933"/>
      <c r="AL29" s="933"/>
      <c r="AM29" s="933"/>
      <c r="AN29" s="929"/>
      <c r="AO29" s="943">
        <f>IF($B49="yes",6,0)</f>
        <v>0</v>
      </c>
    </row>
    <row r="30" spans="1:42" s="930" customFormat="1" ht="12.75" customHeight="1">
      <c r="A30" s="933"/>
      <c r="B30" s="933"/>
      <c r="C30" s="933"/>
      <c r="E30" s="3155"/>
      <c r="F30" s="3156"/>
      <c r="G30" s="3156"/>
      <c r="H30" s="3156"/>
      <c r="I30" s="3156"/>
      <c r="J30" s="3156"/>
      <c r="K30" s="3156"/>
      <c r="L30" s="3156"/>
      <c r="M30" s="3156"/>
      <c r="N30" s="3156"/>
      <c r="O30" s="3156"/>
      <c r="P30" s="3156"/>
      <c r="Q30" s="3156"/>
      <c r="R30" s="3156"/>
      <c r="S30" s="3156"/>
      <c r="T30" s="3156"/>
      <c r="U30" s="3156"/>
      <c r="V30" s="3156"/>
      <c r="W30" s="3156"/>
      <c r="X30" s="3156"/>
      <c r="Y30" s="3156"/>
      <c r="Z30" s="3156"/>
      <c r="AA30" s="3156"/>
      <c r="AB30" s="3156"/>
      <c r="AC30" s="3156"/>
      <c r="AD30" s="3156"/>
      <c r="AE30" s="3156"/>
      <c r="AF30" s="3156"/>
      <c r="AG30" s="3156"/>
      <c r="AH30" s="3156"/>
      <c r="AI30" s="3156"/>
      <c r="AJ30" s="3157"/>
      <c r="AK30" s="933"/>
      <c r="AL30" s="933"/>
      <c r="AM30" s="933"/>
      <c r="AN30" s="929"/>
      <c r="AO30" s="930">
        <f>IF(SUM(AO23:AO29)&gt;6,6,(SUM(AO23:AO29)))</f>
        <v>0</v>
      </c>
      <c r="AP30" s="930" t="s">
        <v>1567</v>
      </c>
    </row>
    <row r="31" spans="1:42" s="930" customFormat="1" ht="12.75" customHeight="1">
      <c r="A31" s="933"/>
      <c r="B31" s="933"/>
      <c r="C31" s="933"/>
      <c r="E31" s="3222"/>
      <c r="F31" s="3223"/>
      <c r="G31" s="3223"/>
      <c r="H31" s="3223"/>
      <c r="I31" s="3223"/>
      <c r="J31" s="3223"/>
      <c r="K31" s="3223"/>
      <c r="L31" s="3223"/>
      <c r="M31" s="3223"/>
      <c r="N31" s="3223"/>
      <c r="O31" s="3223"/>
      <c r="P31" s="3223"/>
      <c r="Q31" s="3223"/>
      <c r="R31" s="3223"/>
      <c r="S31" s="3223"/>
      <c r="T31" s="3223"/>
      <c r="U31" s="3223"/>
      <c r="V31" s="3223"/>
      <c r="W31" s="3223"/>
      <c r="X31" s="3223"/>
      <c r="Y31" s="3223"/>
      <c r="Z31" s="3223"/>
      <c r="AA31" s="3223"/>
      <c r="AB31" s="3223"/>
      <c r="AC31" s="3223"/>
      <c r="AD31" s="3223"/>
      <c r="AE31" s="3223"/>
      <c r="AF31" s="3223"/>
      <c r="AG31" s="3223"/>
      <c r="AH31" s="3223"/>
      <c r="AI31" s="3223"/>
      <c r="AJ31" s="3224"/>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6" t="s">
        <v>2399</v>
      </c>
      <c r="C34" s="3246"/>
      <c r="D34" s="3246"/>
      <c r="E34" s="3246"/>
      <c r="F34" s="3246"/>
      <c r="G34" s="3246"/>
      <c r="H34" s="3246"/>
      <c r="I34" s="3246"/>
      <c r="J34" s="3246"/>
      <c r="K34" s="3246"/>
      <c r="L34" s="3246"/>
      <c r="M34" s="3246"/>
      <c r="N34" s="3246"/>
      <c r="O34" s="3246"/>
      <c r="P34" s="3246"/>
      <c r="Q34" s="3246"/>
      <c r="R34" s="3246"/>
      <c r="S34" s="3246"/>
      <c r="T34" s="3246"/>
      <c r="U34" s="3246"/>
      <c r="V34" s="3246"/>
      <c r="W34" s="3246"/>
      <c r="X34" s="3246"/>
      <c r="Y34" s="3246"/>
      <c r="Z34" s="3246"/>
      <c r="AA34" s="3246"/>
      <c r="AB34" s="3246"/>
      <c r="AC34" s="3246"/>
      <c r="AD34" s="3246"/>
      <c r="AE34" s="3246"/>
      <c r="AF34" s="3246"/>
      <c r="AG34" s="3246"/>
      <c r="AH34" s="3246"/>
      <c r="AI34" s="3246"/>
      <c r="AJ34" s="3246"/>
      <c r="AK34" s="3246"/>
      <c r="AL34" s="933"/>
      <c r="AM34" s="933"/>
      <c r="AN34" s="929"/>
    </row>
    <row r="35" spans="1:41" s="930" customFormat="1" ht="12.75" customHeight="1">
      <c r="A35" s="933"/>
      <c r="B35" s="3246"/>
      <c r="C35" s="3246"/>
      <c r="D35" s="3246"/>
      <c r="E35" s="3246"/>
      <c r="F35" s="3246"/>
      <c r="G35" s="3246"/>
      <c r="H35" s="3246"/>
      <c r="I35" s="3246"/>
      <c r="J35" s="3246"/>
      <c r="K35" s="3246"/>
      <c r="L35" s="3246"/>
      <c r="M35" s="3246"/>
      <c r="N35" s="3246"/>
      <c r="O35" s="3246"/>
      <c r="P35" s="3246"/>
      <c r="Q35" s="3246"/>
      <c r="R35" s="3246"/>
      <c r="S35" s="3246"/>
      <c r="T35" s="3246"/>
      <c r="U35" s="3246"/>
      <c r="V35" s="3246"/>
      <c r="W35" s="3246"/>
      <c r="X35" s="3246"/>
      <c r="Y35" s="3246"/>
      <c r="Z35" s="3246"/>
      <c r="AA35" s="3246"/>
      <c r="AB35" s="3246"/>
      <c r="AC35" s="3246"/>
      <c r="AD35" s="3246"/>
      <c r="AE35" s="3246"/>
      <c r="AF35" s="3246"/>
      <c r="AG35" s="3246"/>
      <c r="AH35" s="3246"/>
      <c r="AI35" s="3246"/>
      <c r="AJ35" s="3246"/>
      <c r="AK35" s="3246"/>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1" t="s">
        <v>625</v>
      </c>
      <c r="C37" s="3221"/>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1" t="s">
        <v>625</v>
      </c>
      <c r="C39" s="3221"/>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1" t="s">
        <v>625</v>
      </c>
      <c r="C41" s="3221"/>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1" t="s">
        <v>625</v>
      </c>
      <c r="C43" s="3221"/>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1" t="s">
        <v>625</v>
      </c>
      <c r="C45" s="3221"/>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1" t="s">
        <v>625</v>
      </c>
      <c r="C47" s="3221"/>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1" t="s">
        <v>625</v>
      </c>
      <c r="C49" s="3221"/>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196">
        <f>AO32</f>
        <v>0</v>
      </c>
      <c r="AL51" s="3197"/>
      <c r="AM51" s="3198"/>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2" t="s">
        <v>1584</v>
      </c>
      <c r="AF54" s="3212"/>
      <c r="AG54" s="3212"/>
      <c r="AH54" s="3212"/>
      <c r="AI54" s="3212"/>
      <c r="AJ54" s="3212"/>
      <c r="AK54" s="3212"/>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1" t="s">
        <v>625</v>
      </c>
      <c r="C57" s="3221"/>
      <c r="D57" s="940" t="s">
        <v>1585</v>
      </c>
      <c r="E57" s="3240" t="s">
        <v>2238</v>
      </c>
      <c r="F57" s="3241"/>
      <c r="G57" s="3241"/>
      <c r="H57" s="3241"/>
      <c r="I57" s="3241"/>
      <c r="J57" s="3241"/>
      <c r="K57" s="3241"/>
      <c r="L57" s="3241"/>
      <c r="M57" s="3241"/>
      <c r="N57" s="3241"/>
      <c r="O57" s="3241"/>
      <c r="P57" s="3241"/>
      <c r="Q57" s="3241"/>
      <c r="R57" s="3241"/>
      <c r="S57" s="3241"/>
      <c r="T57" s="3241"/>
      <c r="U57" s="3241"/>
      <c r="V57" s="3241"/>
      <c r="W57" s="3241"/>
      <c r="X57" s="3241"/>
      <c r="Y57" s="3241"/>
      <c r="Z57" s="3241"/>
      <c r="AA57" s="3241"/>
      <c r="AB57" s="3241"/>
      <c r="AC57" s="3241"/>
      <c r="AD57" s="3241"/>
      <c r="AE57" s="3241"/>
      <c r="AF57" s="3241"/>
      <c r="AG57" s="3241"/>
      <c r="AH57" s="3241"/>
      <c r="AI57" s="3241"/>
      <c r="AJ57" s="3242"/>
      <c r="AK57" s="936"/>
      <c r="AL57" s="933"/>
      <c r="AM57" s="933"/>
      <c r="AN57" s="929"/>
      <c r="AO57" s="943">
        <f>IF($B57="yes",10,0)</f>
        <v>0</v>
      </c>
    </row>
    <row r="58" spans="1:50" s="930" customFormat="1" ht="12.75" customHeight="1">
      <c r="A58" s="931"/>
      <c r="B58" s="933"/>
      <c r="C58" s="933"/>
      <c r="D58" s="944"/>
      <c r="E58" s="3243"/>
      <c r="F58" s="3244"/>
      <c r="G58" s="3244"/>
      <c r="H58" s="3244"/>
      <c r="I58" s="3244"/>
      <c r="J58" s="3244"/>
      <c r="K58" s="3244"/>
      <c r="L58" s="3244"/>
      <c r="M58" s="3244"/>
      <c r="N58" s="3244"/>
      <c r="O58" s="3244"/>
      <c r="P58" s="3244"/>
      <c r="Q58" s="3244"/>
      <c r="R58" s="3244"/>
      <c r="S58" s="3244"/>
      <c r="T58" s="3244"/>
      <c r="U58" s="3244"/>
      <c r="V58" s="3244"/>
      <c r="W58" s="3244"/>
      <c r="X58" s="3244"/>
      <c r="Y58" s="3244"/>
      <c r="Z58" s="3244"/>
      <c r="AA58" s="3244"/>
      <c r="AB58" s="3244"/>
      <c r="AC58" s="3244"/>
      <c r="AD58" s="3244"/>
      <c r="AE58" s="3244"/>
      <c r="AF58" s="3244"/>
      <c r="AG58" s="3244"/>
      <c r="AH58" s="3244"/>
      <c r="AI58" s="3244"/>
      <c r="AJ58" s="3245"/>
      <c r="AK58" s="936"/>
      <c r="AL58" s="933"/>
      <c r="AM58" s="933"/>
      <c r="AN58" s="929"/>
      <c r="AO58" s="943">
        <f>IF($B62="yes",10,0)</f>
        <v>10</v>
      </c>
    </row>
    <row r="59" spans="1:50" s="930" customFormat="1" ht="12.75" customHeight="1">
      <c r="A59" s="931"/>
      <c r="B59" s="933"/>
      <c r="C59" s="933"/>
      <c r="D59" s="944"/>
      <c r="E59" s="3243"/>
      <c r="F59" s="3244"/>
      <c r="G59" s="3244"/>
      <c r="H59" s="3244"/>
      <c r="I59" s="3244"/>
      <c r="J59" s="3244"/>
      <c r="K59" s="3244"/>
      <c r="L59" s="3244"/>
      <c r="M59" s="3244"/>
      <c r="N59" s="3244"/>
      <c r="O59" s="3244"/>
      <c r="P59" s="3244"/>
      <c r="Q59" s="3244"/>
      <c r="R59" s="3244"/>
      <c r="S59" s="3244"/>
      <c r="T59" s="3244"/>
      <c r="U59" s="3244"/>
      <c r="V59" s="3244"/>
      <c r="W59" s="3244"/>
      <c r="X59" s="3244"/>
      <c r="Y59" s="3244"/>
      <c r="Z59" s="3244"/>
      <c r="AA59" s="3244"/>
      <c r="AB59" s="3244"/>
      <c r="AC59" s="3244"/>
      <c r="AD59" s="3244"/>
      <c r="AE59" s="3244"/>
      <c r="AF59" s="3244"/>
      <c r="AG59" s="3244"/>
      <c r="AH59" s="3244"/>
      <c r="AI59" s="3244"/>
      <c r="AJ59" s="3245"/>
      <c r="AK59" s="936"/>
      <c r="AL59" s="933"/>
      <c r="AM59" s="933"/>
      <c r="AN59" s="929"/>
      <c r="AO59" s="943">
        <f>IF($B69="yes",10,0)</f>
        <v>0</v>
      </c>
    </row>
    <row r="60" spans="1:50" s="930" customFormat="1" ht="12.75" customHeight="1">
      <c r="A60" s="931"/>
      <c r="B60" s="933"/>
      <c r="C60" s="933"/>
      <c r="D60" s="944"/>
      <c r="E60" s="3256"/>
      <c r="F60" s="3257"/>
      <c r="G60" s="3257"/>
      <c r="H60" s="3257"/>
      <c r="I60" s="3257"/>
      <c r="J60" s="3257"/>
      <c r="K60" s="3257"/>
      <c r="L60" s="3257"/>
      <c r="M60" s="3257"/>
      <c r="N60" s="3257"/>
      <c r="O60" s="3257"/>
      <c r="P60" s="3257"/>
      <c r="Q60" s="3257"/>
      <c r="R60" s="3257"/>
      <c r="S60" s="3257"/>
      <c r="T60" s="3257"/>
      <c r="U60" s="3257"/>
      <c r="V60" s="3257"/>
      <c r="W60" s="3257"/>
      <c r="X60" s="3257"/>
      <c r="Y60" s="3257"/>
      <c r="Z60" s="3257"/>
      <c r="AA60" s="3257"/>
      <c r="AB60" s="3257"/>
      <c r="AC60" s="3257"/>
      <c r="AD60" s="3257"/>
      <c r="AE60" s="3257"/>
      <c r="AF60" s="3257"/>
      <c r="AG60" s="3257"/>
      <c r="AH60" s="3257"/>
      <c r="AI60" s="3257"/>
      <c r="AJ60" s="3258"/>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1" t="s">
        <v>577</v>
      </c>
      <c r="C62" s="3221"/>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5" t="s">
        <v>625</v>
      </c>
      <c r="F63" s="3221"/>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9" t="s">
        <v>625</v>
      </c>
      <c r="F64" s="3220"/>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9" t="s">
        <v>625</v>
      </c>
      <c r="F65" s="3220"/>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5" t="s">
        <v>577</v>
      </c>
      <c r="F67" s="3221"/>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1" t="s">
        <v>625</v>
      </c>
      <c r="C69" s="3221"/>
      <c r="D69" s="940" t="s">
        <v>1590</v>
      </c>
      <c r="E69" s="3152" t="s">
        <v>2239</v>
      </c>
      <c r="F69" s="3153"/>
      <c r="G69" s="3153"/>
      <c r="H69" s="3153"/>
      <c r="I69" s="3153"/>
      <c r="J69" s="3153"/>
      <c r="K69" s="3153"/>
      <c r="L69" s="3153"/>
      <c r="M69" s="3153"/>
      <c r="N69" s="3153"/>
      <c r="O69" s="3153"/>
      <c r="P69" s="3153"/>
      <c r="Q69" s="3153"/>
      <c r="R69" s="3153"/>
      <c r="S69" s="3153"/>
      <c r="T69" s="3153"/>
      <c r="U69" s="3153"/>
      <c r="V69" s="3153"/>
      <c r="W69" s="3153"/>
      <c r="X69" s="3153"/>
      <c r="Y69" s="3153"/>
      <c r="Z69" s="3153"/>
      <c r="AA69" s="3153"/>
      <c r="AB69" s="3153"/>
      <c r="AC69" s="3153"/>
      <c r="AD69" s="3153"/>
      <c r="AE69" s="3153"/>
      <c r="AF69" s="3153"/>
      <c r="AG69" s="3153"/>
      <c r="AH69" s="3153"/>
      <c r="AI69" s="3153"/>
      <c r="AJ69" s="3154"/>
      <c r="AK69" s="936"/>
      <c r="AL69" s="933"/>
      <c r="AM69" s="933"/>
      <c r="AN69" s="929"/>
    </row>
    <row r="70" spans="1:40" s="930" customFormat="1" ht="12.75" customHeight="1">
      <c r="A70" s="931"/>
      <c r="B70" s="933"/>
      <c r="C70" s="933"/>
      <c r="D70" s="943"/>
      <c r="E70" s="3222"/>
      <c r="F70" s="3223"/>
      <c r="G70" s="3223"/>
      <c r="H70" s="3223"/>
      <c r="I70" s="3223"/>
      <c r="J70" s="3223"/>
      <c r="K70" s="3223"/>
      <c r="L70" s="3223"/>
      <c r="M70" s="3223"/>
      <c r="N70" s="3223"/>
      <c r="O70" s="3223"/>
      <c r="P70" s="3223"/>
      <c r="Q70" s="3223"/>
      <c r="R70" s="3223"/>
      <c r="S70" s="3223"/>
      <c r="T70" s="3223"/>
      <c r="U70" s="3223"/>
      <c r="V70" s="3223"/>
      <c r="W70" s="3223"/>
      <c r="X70" s="3223"/>
      <c r="Y70" s="3223"/>
      <c r="Z70" s="3223"/>
      <c r="AA70" s="3223"/>
      <c r="AB70" s="3223"/>
      <c r="AC70" s="3223"/>
      <c r="AD70" s="3223"/>
      <c r="AE70" s="3223"/>
      <c r="AF70" s="3223"/>
      <c r="AG70" s="3223"/>
      <c r="AH70" s="3223"/>
      <c r="AI70" s="3223"/>
      <c r="AJ70" s="3224"/>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196">
        <f>IF(AK51&gt;0,0,AO60)</f>
        <v>10</v>
      </c>
      <c r="AL72" s="3197"/>
      <c r="AM72" s="3198"/>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2" t="s">
        <v>1563</v>
      </c>
      <c r="AF75" s="3212"/>
      <c r="AG75" s="3212"/>
      <c r="AH75" s="3212"/>
      <c r="AI75" s="3212"/>
      <c r="AJ75" s="3212"/>
      <c r="AK75" s="3212"/>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1" t="s">
        <v>625</v>
      </c>
      <c r="C78" s="3221"/>
      <c r="D78" s="940" t="s">
        <v>1585</v>
      </c>
      <c r="E78" s="3228" t="s">
        <v>1595</v>
      </c>
      <c r="F78" s="3229"/>
      <c r="G78" s="3229"/>
      <c r="H78" s="3229"/>
      <c r="I78" s="3229"/>
      <c r="J78" s="3229"/>
      <c r="K78" s="3229"/>
      <c r="L78" s="3229"/>
      <c r="M78" s="3229"/>
      <c r="N78" s="3229"/>
      <c r="O78" s="3229"/>
      <c r="P78" s="3229"/>
      <c r="Q78" s="3229"/>
      <c r="R78" s="3229"/>
      <c r="S78" s="3229"/>
      <c r="T78" s="3229"/>
      <c r="U78" s="3229"/>
      <c r="V78" s="3229"/>
      <c r="W78" s="3229"/>
      <c r="X78" s="3229"/>
      <c r="Y78" s="3229"/>
      <c r="Z78" s="3229"/>
      <c r="AA78" s="3229"/>
      <c r="AB78" s="3229"/>
      <c r="AC78" s="3229"/>
      <c r="AD78" s="3229"/>
      <c r="AE78" s="3229"/>
      <c r="AF78" s="3229"/>
      <c r="AG78" s="3229"/>
      <c r="AH78" s="3229"/>
      <c r="AI78" s="3229"/>
      <c r="AJ78" s="3230"/>
      <c r="AK78" s="936"/>
      <c r="AL78" s="933"/>
      <c r="AM78" s="933"/>
      <c r="AN78" s="929"/>
    </row>
    <row r="79" spans="1:40" s="930" customFormat="1" ht="12.75" customHeight="1">
      <c r="A79" s="931"/>
      <c r="B79" s="932"/>
      <c r="C79" s="932"/>
      <c r="D79" s="932"/>
      <c r="E79" s="3231"/>
      <c r="F79" s="3232"/>
      <c r="G79" s="3232"/>
      <c r="H79" s="3232"/>
      <c r="I79" s="3232"/>
      <c r="J79" s="3232"/>
      <c r="K79" s="3232"/>
      <c r="L79" s="3232"/>
      <c r="M79" s="3232"/>
      <c r="N79" s="3232"/>
      <c r="O79" s="3232"/>
      <c r="P79" s="3232"/>
      <c r="Q79" s="3232"/>
      <c r="R79" s="3232"/>
      <c r="S79" s="3232"/>
      <c r="T79" s="3232"/>
      <c r="U79" s="3232"/>
      <c r="V79" s="3232"/>
      <c r="W79" s="3232"/>
      <c r="X79" s="3232"/>
      <c r="Y79" s="3232"/>
      <c r="Z79" s="3232"/>
      <c r="AA79" s="3232"/>
      <c r="AB79" s="3232"/>
      <c r="AC79" s="3232"/>
      <c r="AD79" s="3232"/>
      <c r="AE79" s="3232"/>
      <c r="AF79" s="3232"/>
      <c r="AG79" s="3232"/>
      <c r="AH79" s="3232"/>
      <c r="AI79" s="3232"/>
      <c r="AJ79" s="3233"/>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0">
        <f>Application!AH753</f>
        <v>0.57999999999999985</v>
      </c>
      <c r="F81" s="3211"/>
      <c r="G81" s="3211"/>
      <c r="H81" s="3211"/>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4">
        <f>0.6-ROUNDUP(E81,2)</f>
        <v>2.0000000000000018E-2</v>
      </c>
      <c r="F82" s="3235"/>
      <c r="G82" s="3235"/>
      <c r="H82" s="3235"/>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6">
        <f>IF(E82*200&gt;20,20,E82*200)</f>
        <v>4.0000000000000036</v>
      </c>
      <c r="F83" s="3227"/>
      <c r="G83" s="3227"/>
      <c r="H83" s="3227"/>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1" t="s">
        <v>577</v>
      </c>
      <c r="C86" s="3221"/>
      <c r="D86" s="940" t="s">
        <v>1587</v>
      </c>
      <c r="E86" s="3228" t="s">
        <v>2223</v>
      </c>
      <c r="F86" s="3229"/>
      <c r="G86" s="3229"/>
      <c r="H86" s="3229"/>
      <c r="I86" s="3229"/>
      <c r="J86" s="3229"/>
      <c r="K86" s="3229"/>
      <c r="L86" s="3229"/>
      <c r="M86" s="3229"/>
      <c r="N86" s="3229"/>
      <c r="O86" s="3229"/>
      <c r="P86" s="3229"/>
      <c r="Q86" s="3229"/>
      <c r="R86" s="3229"/>
      <c r="S86" s="3229"/>
      <c r="T86" s="3229"/>
      <c r="U86" s="3229"/>
      <c r="V86" s="3229"/>
      <c r="W86" s="3229"/>
      <c r="X86" s="3229"/>
      <c r="Y86" s="3229"/>
      <c r="Z86" s="3229"/>
      <c r="AA86" s="3229"/>
      <c r="AB86" s="3229"/>
      <c r="AC86" s="3229"/>
      <c r="AD86" s="3229"/>
      <c r="AE86" s="3229"/>
      <c r="AF86" s="3229"/>
      <c r="AG86" s="3229"/>
      <c r="AH86" s="3229"/>
      <c r="AI86" s="3229"/>
      <c r="AJ86" s="3230"/>
      <c r="AK86" s="936"/>
      <c r="AL86" s="933"/>
      <c r="AM86" s="933"/>
      <c r="AN86" s="929"/>
    </row>
    <row r="87" spans="1:47" s="930" customFormat="1" ht="12.75" customHeight="1">
      <c r="A87" s="931"/>
      <c r="B87" s="932"/>
      <c r="C87" s="932"/>
      <c r="D87" s="932"/>
      <c r="E87" s="3231"/>
      <c r="F87" s="3232"/>
      <c r="G87" s="3232"/>
      <c r="H87" s="3232"/>
      <c r="I87" s="3232"/>
      <c r="J87" s="3232"/>
      <c r="K87" s="3232"/>
      <c r="L87" s="3232"/>
      <c r="M87" s="3232"/>
      <c r="N87" s="3232"/>
      <c r="O87" s="3232"/>
      <c r="P87" s="3232"/>
      <c r="Q87" s="3232"/>
      <c r="R87" s="3232"/>
      <c r="S87" s="3232"/>
      <c r="T87" s="3232"/>
      <c r="U87" s="3232"/>
      <c r="V87" s="3232"/>
      <c r="W87" s="3232"/>
      <c r="X87" s="3232"/>
      <c r="Y87" s="3232"/>
      <c r="Z87" s="3232"/>
      <c r="AA87" s="3232"/>
      <c r="AB87" s="3232"/>
      <c r="AC87" s="3232"/>
      <c r="AD87" s="3232"/>
      <c r="AE87" s="3232"/>
      <c r="AF87" s="3232"/>
      <c r="AG87" s="3232"/>
      <c r="AH87" s="3232"/>
      <c r="AI87" s="3232"/>
      <c r="AJ87" s="3233"/>
      <c r="AK87" s="936"/>
      <c r="AL87" s="933"/>
      <c r="AM87" s="933"/>
      <c r="AN87" s="929"/>
    </row>
    <row r="88" spans="1:47" s="930" customFormat="1" ht="12.75" customHeight="1">
      <c r="A88" s="931"/>
      <c r="B88" s="932"/>
      <c r="C88" s="932"/>
      <c r="D88" s="932"/>
      <c r="E88" s="3231"/>
      <c r="F88" s="3232"/>
      <c r="G88" s="3232"/>
      <c r="H88" s="3232"/>
      <c r="I88" s="3232"/>
      <c r="J88" s="3232"/>
      <c r="K88" s="3232"/>
      <c r="L88" s="3232"/>
      <c r="M88" s="3232"/>
      <c r="N88" s="3232"/>
      <c r="O88" s="3232"/>
      <c r="P88" s="3232"/>
      <c r="Q88" s="3232"/>
      <c r="R88" s="3232"/>
      <c r="S88" s="3232"/>
      <c r="T88" s="3232"/>
      <c r="U88" s="3232"/>
      <c r="V88" s="3232"/>
      <c r="W88" s="3232"/>
      <c r="X88" s="3232"/>
      <c r="Y88" s="3232"/>
      <c r="Z88" s="3232"/>
      <c r="AA88" s="3232"/>
      <c r="AB88" s="3232"/>
      <c r="AC88" s="3232"/>
      <c r="AD88" s="3232"/>
      <c r="AE88" s="3232"/>
      <c r="AF88" s="3232"/>
      <c r="AG88" s="3232"/>
      <c r="AH88" s="3232"/>
      <c r="AI88" s="3232"/>
      <c r="AJ88" s="3233"/>
      <c r="AK88" s="936"/>
      <c r="AL88" s="933"/>
      <c r="AM88" s="933"/>
      <c r="AN88" s="929"/>
    </row>
    <row r="89" spans="1:47" s="930" customFormat="1" ht="12.75" customHeight="1">
      <c r="A89" s="931"/>
      <c r="B89" s="932"/>
      <c r="C89" s="932"/>
      <c r="D89" s="932"/>
      <c r="E89" s="3231"/>
      <c r="F89" s="3232"/>
      <c r="G89" s="3232"/>
      <c r="H89" s="3232"/>
      <c r="I89" s="3232"/>
      <c r="J89" s="3232"/>
      <c r="K89" s="3232"/>
      <c r="L89" s="3232"/>
      <c r="M89" s="3232"/>
      <c r="N89" s="3232"/>
      <c r="O89" s="3232"/>
      <c r="P89" s="3232"/>
      <c r="Q89" s="3232"/>
      <c r="R89" s="3232"/>
      <c r="S89" s="3232"/>
      <c r="T89" s="3232"/>
      <c r="U89" s="3232"/>
      <c r="V89" s="3232"/>
      <c r="W89" s="3232"/>
      <c r="X89" s="3232"/>
      <c r="Y89" s="3232"/>
      <c r="Z89" s="3232"/>
      <c r="AA89" s="3232"/>
      <c r="AB89" s="3232"/>
      <c r="AC89" s="3232"/>
      <c r="AD89" s="3232"/>
      <c r="AE89" s="3232"/>
      <c r="AF89" s="3232"/>
      <c r="AG89" s="3232"/>
      <c r="AH89" s="3232"/>
      <c r="AI89" s="3232"/>
      <c r="AJ89" s="3233"/>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0">
        <f>Application!AH753</f>
        <v>0.57999999999999985</v>
      </c>
      <c r="F91" s="3211"/>
      <c r="G91" s="3211"/>
      <c r="H91" s="3211"/>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0">
        <f ca="1">SUMIF(Application!AH728:AL752,0.2,Application!G728:J752)/Application!G753+SUMIF(Application!AH728:AL752,0.25,Application!G728:J752)/Application!G753+SUMIF(Application!AH728:AL752,0.3,Application!G728:J752)/Application!G753</f>
        <v>0.1</v>
      </c>
      <c r="F92" s="3211"/>
      <c r="G92" s="3211"/>
      <c r="H92" s="3211"/>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0">
        <f ca="1">SUMIF(Application!AH728:AL752,0.35,Application!G728:J752)/Application!G753+SUMIF(Application!AH728:AL752,0.4,Application!G728:J752)/Application!G753+SUMIF(Application!AH728:AL752,0.45,Application!G728:J752)/Application!G753+SUMIF(Application!AH728:AL752,0.5,Application!G728:J752)/Application!G753</f>
        <v>0.4</v>
      </c>
      <c r="F93" s="3211"/>
      <c r="G93" s="3211"/>
      <c r="H93" s="3211"/>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3">
        <f ca="1">IF(AND(E91&lt;=0.6,E92&gt;=0.1,OR(E93&gt;=0.1,E92=1)),20,0)</f>
        <v>20</v>
      </c>
      <c r="F94" s="3214"/>
      <c r="G94" s="3214"/>
      <c r="H94" s="3214"/>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196">
        <f ca="1">MAX(AP83,AP94)</f>
        <v>20</v>
      </c>
      <c r="AL97" s="3197"/>
      <c r="AM97" s="3198"/>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2" t="s">
        <v>1584</v>
      </c>
      <c r="AF100" s="3212"/>
      <c r="AG100" s="3212"/>
      <c r="AH100" s="3212"/>
      <c r="AI100" s="3212"/>
      <c r="AJ100" s="3212"/>
      <c r="AK100" s="3212"/>
      <c r="AL100" s="933"/>
      <c r="AM100" s="933"/>
      <c r="AN100" s="929"/>
      <c r="AO100" s="930" t="str">
        <f>Application!B728</f>
        <v>SRO/Studio</v>
      </c>
      <c r="AQ100" s="930">
        <f>Application!O728</f>
        <v>835</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1415</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1640</v>
      </c>
    </row>
    <row r="103" spans="1:49" s="930" customFormat="1" ht="12.75" customHeight="1">
      <c r="A103" s="933"/>
      <c r="B103" s="3221" t="s">
        <v>577</v>
      </c>
      <c r="C103" s="3221"/>
      <c r="D103" s="940" t="s">
        <v>1585</v>
      </c>
      <c r="E103" s="3228" t="s">
        <v>2385</v>
      </c>
      <c r="F103" s="3229"/>
      <c r="G103" s="3229"/>
      <c r="H103" s="3229"/>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29"/>
      <c r="AD103" s="3229"/>
      <c r="AE103" s="3229"/>
      <c r="AF103" s="3229"/>
      <c r="AG103" s="3229"/>
      <c r="AH103" s="3229"/>
      <c r="AI103" s="3229"/>
      <c r="AJ103" s="3230"/>
      <c r="AK103" s="933"/>
      <c r="AL103" s="933"/>
      <c r="AM103" s="933"/>
      <c r="AN103" s="929"/>
      <c r="AO103" s="930" t="str">
        <f>Application!B731</f>
        <v>1 Bedroom</v>
      </c>
      <c r="AQ103" s="930">
        <f>Application!O731</f>
        <v>890</v>
      </c>
      <c r="AU103" s="930" t="s">
        <v>2363</v>
      </c>
      <c r="AV103" s="1765" t="s">
        <v>2364</v>
      </c>
      <c r="AW103" s="930" t="s">
        <v>2365</v>
      </c>
    </row>
    <row r="104" spans="1:49" s="930" customFormat="1" ht="12.75" customHeight="1">
      <c r="A104" s="933"/>
      <c r="B104" s="932"/>
      <c r="C104" s="932"/>
      <c r="D104" s="932"/>
      <c r="E104" s="3231"/>
      <c r="F104" s="3232"/>
      <c r="G104" s="3232"/>
      <c r="H104" s="3232"/>
      <c r="I104" s="3232"/>
      <c r="J104" s="3232"/>
      <c r="K104" s="3232"/>
      <c r="L104" s="3232"/>
      <c r="M104" s="3232"/>
      <c r="N104" s="3232"/>
      <c r="O104" s="3232"/>
      <c r="P104" s="3232"/>
      <c r="Q104" s="3232"/>
      <c r="R104" s="3232"/>
      <c r="S104" s="3232"/>
      <c r="T104" s="3232"/>
      <c r="U104" s="3232"/>
      <c r="V104" s="3232"/>
      <c r="W104" s="3232"/>
      <c r="X104" s="3232"/>
      <c r="Y104" s="3232"/>
      <c r="Z104" s="3232"/>
      <c r="AA104" s="3232"/>
      <c r="AB104" s="3232"/>
      <c r="AC104" s="3232"/>
      <c r="AD104" s="3232"/>
      <c r="AE104" s="3232"/>
      <c r="AF104" s="3232"/>
      <c r="AG104" s="3232"/>
      <c r="AH104" s="3232"/>
      <c r="AI104" s="3232"/>
      <c r="AJ104" s="3233"/>
      <c r="AK104" s="933"/>
      <c r="AL104" s="933"/>
      <c r="AM104" s="933"/>
      <c r="AN104" s="929"/>
      <c r="AO104" s="930" t="str">
        <f>Application!B732</f>
        <v>1 Bedroom</v>
      </c>
      <c r="AQ104" s="930">
        <f>Application!O732</f>
        <v>1511</v>
      </c>
      <c r="AU104" s="1768" t="str">
        <f>E112</f>
        <v>Studio/SRO</v>
      </c>
      <c r="AV104" s="930">
        <f t="array" ref="AV104">SUM(IF(Application!B728:F752="SRO/Studio",Application!G728:J752))</f>
        <v>90</v>
      </c>
      <c r="AW104" s="1803">
        <f>AV104/AV110</f>
        <v>0.6</v>
      </c>
    </row>
    <row r="105" spans="1:49" s="930" customFormat="1" ht="12.75" customHeight="1">
      <c r="A105" s="933"/>
      <c r="B105" s="932"/>
      <c r="C105" s="932"/>
      <c r="D105" s="932"/>
      <c r="E105" s="3231"/>
      <c r="F105" s="3232"/>
      <c r="G105" s="3232"/>
      <c r="H105" s="3232"/>
      <c r="I105" s="3232"/>
      <c r="J105" s="3232"/>
      <c r="K105" s="3232"/>
      <c r="L105" s="3232"/>
      <c r="M105" s="3232"/>
      <c r="N105" s="3232"/>
      <c r="O105" s="3232"/>
      <c r="P105" s="3232"/>
      <c r="Q105" s="3232"/>
      <c r="R105" s="3232"/>
      <c r="S105" s="3232"/>
      <c r="T105" s="3232"/>
      <c r="U105" s="3232"/>
      <c r="V105" s="3232"/>
      <c r="W105" s="3232"/>
      <c r="X105" s="3232"/>
      <c r="Y105" s="3232"/>
      <c r="Z105" s="3232"/>
      <c r="AA105" s="3232"/>
      <c r="AB105" s="3232"/>
      <c r="AC105" s="3232"/>
      <c r="AD105" s="3232"/>
      <c r="AE105" s="3232"/>
      <c r="AF105" s="3232"/>
      <c r="AG105" s="3232"/>
      <c r="AH105" s="3232"/>
      <c r="AI105" s="3232"/>
      <c r="AJ105" s="3233"/>
      <c r="AK105" s="933"/>
      <c r="AL105" s="933"/>
      <c r="AM105" s="933"/>
      <c r="AN105" s="929"/>
      <c r="AO105" s="930" t="str">
        <f>Application!B733</f>
        <v>1 Bedroom</v>
      </c>
      <c r="AQ105" s="930">
        <f>Application!O733</f>
        <v>2133</v>
      </c>
      <c r="AU105" s="1768" t="str">
        <f>J112</f>
        <v>1-bedroom</v>
      </c>
      <c r="AV105" s="930">
        <f t="array" ref="AV105">SUM(IF(Application!B728:F752="1 Bedroom",Application!G728:J752))</f>
        <v>34</v>
      </c>
      <c r="AW105" s="1803">
        <f>AV105/AV110</f>
        <v>0.22666666666666666</v>
      </c>
    </row>
    <row r="106" spans="1:49" s="930" customFormat="1" ht="12.75" customHeight="1">
      <c r="A106" s="933"/>
      <c r="B106" s="932"/>
      <c r="C106" s="932"/>
      <c r="D106" s="932"/>
      <c r="E106" s="3231"/>
      <c r="F106" s="3232"/>
      <c r="G106" s="3232"/>
      <c r="H106" s="3232"/>
      <c r="I106" s="3232"/>
      <c r="J106" s="3232"/>
      <c r="K106" s="3232"/>
      <c r="L106" s="3232"/>
      <c r="M106" s="3232"/>
      <c r="N106" s="3232"/>
      <c r="O106" s="3232"/>
      <c r="P106" s="3232"/>
      <c r="Q106" s="3232"/>
      <c r="R106" s="3232"/>
      <c r="S106" s="3232"/>
      <c r="T106" s="3232"/>
      <c r="U106" s="3232"/>
      <c r="V106" s="3232"/>
      <c r="W106" s="3232"/>
      <c r="X106" s="3232"/>
      <c r="Y106" s="3232"/>
      <c r="Z106" s="3232"/>
      <c r="AA106" s="3232"/>
      <c r="AB106" s="3232"/>
      <c r="AC106" s="3232"/>
      <c r="AD106" s="3232"/>
      <c r="AE106" s="3232"/>
      <c r="AF106" s="3232"/>
      <c r="AG106" s="3232"/>
      <c r="AH106" s="3232"/>
      <c r="AI106" s="3232"/>
      <c r="AJ106" s="3233"/>
      <c r="AK106" s="933"/>
      <c r="AL106" s="933"/>
      <c r="AM106" s="933"/>
      <c r="AN106" s="929"/>
      <c r="AO106" s="930" t="str">
        <f>Application!B734</f>
        <v>2 Bedrooms</v>
      </c>
      <c r="AQ106" s="930">
        <f>Application!O734</f>
        <v>1062</v>
      </c>
      <c r="AU106" s="1768" t="str">
        <f>O112</f>
        <v>2-bedroom</v>
      </c>
      <c r="AV106" s="930">
        <f t="array" ref="AV106">SUM(IF(Application!B728:F752="2 Bedrooms",Application!G728:J752))</f>
        <v>23</v>
      </c>
      <c r="AW106" s="1803">
        <f>AV106/AV110</f>
        <v>0.15333333333333332</v>
      </c>
    </row>
    <row r="107" spans="1:49" s="930" customFormat="1" ht="12.75" customHeight="1">
      <c r="A107" s="933"/>
      <c r="B107" s="932"/>
      <c r="C107" s="932"/>
      <c r="D107" s="932"/>
      <c r="E107" s="3231"/>
      <c r="F107" s="3232"/>
      <c r="G107" s="3232"/>
      <c r="H107" s="3232"/>
      <c r="I107" s="3232"/>
      <c r="J107" s="3232"/>
      <c r="K107" s="3232"/>
      <c r="L107" s="3232"/>
      <c r="M107" s="3232"/>
      <c r="N107" s="3232"/>
      <c r="O107" s="3232"/>
      <c r="P107" s="3232"/>
      <c r="Q107" s="3232"/>
      <c r="R107" s="3232"/>
      <c r="S107" s="3232"/>
      <c r="T107" s="3232"/>
      <c r="U107" s="3232"/>
      <c r="V107" s="3232"/>
      <c r="W107" s="3232"/>
      <c r="X107" s="3232"/>
      <c r="Y107" s="3232"/>
      <c r="Z107" s="3232"/>
      <c r="AA107" s="3232"/>
      <c r="AB107" s="3232"/>
      <c r="AC107" s="3232"/>
      <c r="AD107" s="3232"/>
      <c r="AE107" s="3232"/>
      <c r="AF107" s="3232"/>
      <c r="AG107" s="3232"/>
      <c r="AH107" s="3232"/>
      <c r="AI107" s="3232"/>
      <c r="AJ107" s="3233"/>
      <c r="AK107" s="933"/>
      <c r="AL107" s="933"/>
      <c r="AM107" s="933"/>
      <c r="AN107" s="929"/>
      <c r="AO107" s="930" t="str">
        <f>Application!B735</f>
        <v>2 Bedrooms</v>
      </c>
      <c r="AQ107" s="930">
        <f>Application!O735</f>
        <v>1808</v>
      </c>
      <c r="AU107" s="1768" t="str">
        <f>T112</f>
        <v>3-bedroom</v>
      </c>
      <c r="AV107" s="930">
        <f t="array" ref="AV107">SUM(IF(Application!B728:F752="3 Bedrooms",Application!G728:J752))</f>
        <v>3</v>
      </c>
      <c r="AW107" s="1803">
        <f>AV107/AV110</f>
        <v>0.02</v>
      </c>
    </row>
    <row r="108" spans="1:49" s="930" customFormat="1" ht="12.75" customHeight="1">
      <c r="A108" s="933"/>
      <c r="B108" s="932"/>
      <c r="C108" s="932"/>
      <c r="D108" s="932"/>
      <c r="E108" s="3231"/>
      <c r="F108" s="3232"/>
      <c r="G108" s="3232"/>
      <c r="H108" s="3232"/>
      <c r="I108" s="3232"/>
      <c r="J108" s="3232"/>
      <c r="K108" s="3232"/>
      <c r="L108" s="3232"/>
      <c r="M108" s="3232"/>
      <c r="N108" s="3232"/>
      <c r="O108" s="3232"/>
      <c r="P108" s="3232"/>
      <c r="Q108" s="3232"/>
      <c r="R108" s="3232"/>
      <c r="S108" s="3232"/>
      <c r="T108" s="3232"/>
      <c r="U108" s="3232"/>
      <c r="V108" s="3232"/>
      <c r="W108" s="3232"/>
      <c r="X108" s="3232"/>
      <c r="Y108" s="3232"/>
      <c r="Z108" s="3232"/>
      <c r="AA108" s="3232"/>
      <c r="AB108" s="3232"/>
      <c r="AC108" s="3232"/>
      <c r="AD108" s="3232"/>
      <c r="AE108" s="3232"/>
      <c r="AF108" s="3232"/>
      <c r="AG108" s="3232"/>
      <c r="AH108" s="3232"/>
      <c r="AI108" s="3232"/>
      <c r="AJ108" s="3233"/>
      <c r="AK108" s="933"/>
      <c r="AL108" s="933"/>
      <c r="AM108" s="933"/>
      <c r="AN108" s="929"/>
      <c r="AO108" s="930" t="str">
        <f>Application!B736</f>
        <v>2 Bedrooms</v>
      </c>
      <c r="AQ108" s="930">
        <f>Application!O736</f>
        <v>2554</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31"/>
      <c r="F109" s="3232"/>
      <c r="G109" s="3232"/>
      <c r="H109" s="3232"/>
      <c r="I109" s="3232"/>
      <c r="J109" s="3232"/>
      <c r="K109" s="3232"/>
      <c r="L109" s="3232"/>
      <c r="M109" s="3232"/>
      <c r="N109" s="3232"/>
      <c r="O109" s="3232"/>
      <c r="P109" s="3232"/>
      <c r="Q109" s="3232"/>
      <c r="R109" s="3232"/>
      <c r="S109" s="3232"/>
      <c r="T109" s="3232"/>
      <c r="U109" s="3232"/>
      <c r="V109" s="3232"/>
      <c r="W109" s="3232"/>
      <c r="X109" s="3232"/>
      <c r="Y109" s="3232"/>
      <c r="Z109" s="3232"/>
      <c r="AA109" s="3232"/>
      <c r="AB109" s="3232"/>
      <c r="AC109" s="3232"/>
      <c r="AD109" s="3232"/>
      <c r="AE109" s="3232"/>
      <c r="AF109" s="3232"/>
      <c r="AG109" s="3232"/>
      <c r="AH109" s="3232"/>
      <c r="AI109" s="3232"/>
      <c r="AJ109" s="3233"/>
      <c r="AK109" s="933"/>
      <c r="AL109" s="933"/>
      <c r="AM109" s="933"/>
      <c r="AN109" s="929"/>
      <c r="AO109" s="930" t="str">
        <f>Application!B737</f>
        <v>3 Bedrooms</v>
      </c>
      <c r="AQ109" s="930">
        <f>Application!O737</f>
        <v>2082</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31"/>
      <c r="F110" s="3232"/>
      <c r="G110" s="3232"/>
      <c r="H110" s="3232"/>
      <c r="I110" s="3232"/>
      <c r="J110" s="3232"/>
      <c r="K110" s="3232"/>
      <c r="L110" s="3232"/>
      <c r="M110" s="3232"/>
      <c r="N110" s="3232"/>
      <c r="O110" s="3232"/>
      <c r="P110" s="3232"/>
      <c r="Q110" s="3232"/>
      <c r="R110" s="3232"/>
      <c r="S110" s="3232"/>
      <c r="T110" s="3232"/>
      <c r="U110" s="3232"/>
      <c r="V110" s="3232"/>
      <c r="W110" s="3232"/>
      <c r="X110" s="3232"/>
      <c r="Y110" s="3232"/>
      <c r="Z110" s="3232"/>
      <c r="AA110" s="3232"/>
      <c r="AB110" s="3232"/>
      <c r="AC110" s="3232"/>
      <c r="AD110" s="3232"/>
      <c r="AE110" s="3232"/>
      <c r="AF110" s="3232"/>
      <c r="AG110" s="3232"/>
      <c r="AH110" s="3232"/>
      <c r="AI110" s="3232"/>
      <c r="AJ110" s="3233"/>
      <c r="AK110" s="933"/>
      <c r="AL110" s="933"/>
      <c r="AM110" s="933"/>
      <c r="AN110" s="929"/>
      <c r="AO110" s="930">
        <f>Application!B738</f>
        <v>0</v>
      </c>
      <c r="AQ110" s="930">
        <f>Application!O738</f>
        <v>0</v>
      </c>
      <c r="AV110" s="930">
        <f>SUM(AV104:AV109)</f>
        <v>150</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10" t="s">
        <v>1886</v>
      </c>
      <c r="F112" s="3211"/>
      <c r="G112" s="3211"/>
      <c r="H112" s="3211"/>
      <c r="I112" s="1473"/>
      <c r="J112" s="3211" t="s">
        <v>1979</v>
      </c>
      <c r="K112" s="3211"/>
      <c r="L112" s="3211"/>
      <c r="M112" s="3211"/>
      <c r="N112" s="1473"/>
      <c r="O112" s="3211" t="s">
        <v>1980</v>
      </c>
      <c r="P112" s="3211"/>
      <c r="Q112" s="3211"/>
      <c r="R112" s="3211"/>
      <c r="S112" s="1473"/>
      <c r="T112" s="3211" t="s">
        <v>1604</v>
      </c>
      <c r="U112" s="3211"/>
      <c r="V112" s="3211"/>
      <c r="W112" s="3211"/>
      <c r="X112" s="1473"/>
      <c r="Y112" s="3211" t="s">
        <v>1981</v>
      </c>
      <c r="Z112" s="3211"/>
      <c r="AA112" s="3211"/>
      <c r="AB112" s="3211"/>
      <c r="AC112" s="1473"/>
      <c r="AD112" s="3211" t="s">
        <v>1982</v>
      </c>
      <c r="AE112" s="3211"/>
      <c r="AF112" s="3211"/>
      <c r="AG112" s="3211"/>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5">
        <v>2329</v>
      </c>
      <c r="F115" s="3216"/>
      <c r="G115" s="3216"/>
      <c r="H115" s="3216"/>
      <c r="I115" s="1475"/>
      <c r="J115" s="3216">
        <v>2708</v>
      </c>
      <c r="K115" s="3216"/>
      <c r="L115" s="3216"/>
      <c r="M115" s="3216"/>
      <c r="N115" s="1475"/>
      <c r="O115" s="3216">
        <v>3223</v>
      </c>
      <c r="P115" s="3216"/>
      <c r="Q115" s="3216"/>
      <c r="R115" s="3216"/>
      <c r="S115" s="1475"/>
      <c r="T115" s="3216">
        <v>4160</v>
      </c>
      <c r="U115" s="3216"/>
      <c r="V115" s="3216"/>
      <c r="W115" s="3216"/>
      <c r="X115" s="1475"/>
      <c r="Y115" s="3216"/>
      <c r="Z115" s="3216"/>
      <c r="AA115" s="3216"/>
      <c r="AB115" s="3216"/>
      <c r="AC115" s="1475"/>
      <c r="AD115" s="3216"/>
      <c r="AE115" s="3216"/>
      <c r="AF115" s="3216"/>
      <c r="AG115" s="3216"/>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7">
        <f>Application!DX663</f>
        <v>1479.5</v>
      </c>
      <c r="F118" s="3218"/>
      <c r="G118" s="3218"/>
      <c r="H118" s="3218"/>
      <c r="I118" s="1475"/>
      <c r="J118" s="3218">
        <f>Application!EC663</f>
        <v>1712.3235294117646</v>
      </c>
      <c r="K118" s="3218"/>
      <c r="L118" s="3218"/>
      <c r="M118" s="3218"/>
      <c r="N118" s="1475"/>
      <c r="O118" s="3218">
        <f>Application!EH663</f>
        <v>2099.913043478261</v>
      </c>
      <c r="P118" s="3218"/>
      <c r="Q118" s="3218"/>
      <c r="R118" s="3218"/>
      <c r="S118" s="1479"/>
      <c r="T118" s="3218">
        <f>Application!EM663</f>
        <v>2082</v>
      </c>
      <c r="U118" s="3218"/>
      <c r="V118" s="3218"/>
      <c r="W118" s="3218"/>
      <c r="X118" s="1479"/>
      <c r="Y118" s="3218">
        <f>Application!ER663</f>
        <v>0</v>
      </c>
      <c r="Z118" s="3218"/>
      <c r="AA118" s="3218"/>
      <c r="AB118" s="3218"/>
      <c r="AC118" s="1479"/>
      <c r="AD118" s="3218">
        <f>Application!EW663</f>
        <v>0</v>
      </c>
      <c r="AE118" s="3218"/>
      <c r="AF118" s="3218"/>
      <c r="AG118" s="3218"/>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3">
        <f>(E115-E118)/E115</f>
        <v>0.3647488192357235</v>
      </c>
      <c r="F121" s="3004"/>
      <c r="G121" s="3004"/>
      <c r="H121" s="3005"/>
      <c r="I121" s="971"/>
      <c r="J121" s="3003">
        <f>(J115-J118)/J115</f>
        <v>0.36767964201928927</v>
      </c>
      <c r="K121" s="3004"/>
      <c r="L121" s="3004"/>
      <c r="M121" s="3005"/>
      <c r="N121" s="971"/>
      <c r="O121" s="3003">
        <f>(O115-O118)/O115</f>
        <v>0.34846011682337541</v>
      </c>
      <c r="P121" s="3004"/>
      <c r="Q121" s="3004"/>
      <c r="R121" s="3005"/>
      <c r="S121" s="971"/>
      <c r="T121" s="3003">
        <f>(T115-T118)/T115</f>
        <v>0.49951923076923077</v>
      </c>
      <c r="U121" s="3004"/>
      <c r="V121" s="3004"/>
      <c r="W121" s="3005"/>
      <c r="X121" s="971"/>
      <c r="Y121" s="3003" t="e">
        <f>(Y115-Y118)/Y115</f>
        <v>#DIV/0!</v>
      </c>
      <c r="Z121" s="3004"/>
      <c r="AA121" s="3004"/>
      <c r="AB121" s="3005"/>
      <c r="AC121" s="971"/>
      <c r="AD121" s="3003" t="e">
        <f>(AD115-AD118)/AD115</f>
        <v>#DIV/0!</v>
      </c>
      <c r="AE121" s="3004"/>
      <c r="AF121" s="3004"/>
      <c r="AG121" s="3005"/>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9">
        <f>IF(((E121-0.1)*AW104)&gt;0,((E121-0.1)*AW104),0)</f>
        <v>0.15884929154143407</v>
      </c>
      <c r="F124" s="3260"/>
      <c r="G124" s="3260"/>
      <c r="H124" s="3261"/>
      <c r="I124" s="971"/>
      <c r="J124" s="3259">
        <f>IF(((J121-0.1)*AW105)&gt;0,((J121-0.1)*AW105),0)</f>
        <v>6.0674052191038899E-2</v>
      </c>
      <c r="K124" s="3260"/>
      <c r="L124" s="3260"/>
      <c r="M124" s="3261"/>
      <c r="N124" s="971"/>
      <c r="O124" s="3259">
        <f>IF(((O121-0.1)*AW106)&gt;0,((O121-0.1)*AW106),0)</f>
        <v>3.8097217912917557E-2</v>
      </c>
      <c r="P124" s="3260"/>
      <c r="Q124" s="3260"/>
      <c r="R124" s="3261"/>
      <c r="S124" s="971"/>
      <c r="T124" s="3259">
        <f>IF(((T121-0.1)*AW107)&gt;0,((T121-0.1)*AW107),0)</f>
        <v>7.9903846153846162E-3</v>
      </c>
      <c r="U124" s="3260"/>
      <c r="V124" s="3260"/>
      <c r="W124" s="3261"/>
      <c r="X124" s="971"/>
      <c r="Y124" s="3259" t="e">
        <f>IF(((Y121-0.1)*AW108)&gt;0,((Y121-0.1)*AW108),0)</f>
        <v>#DIV/0!</v>
      </c>
      <c r="Z124" s="3260"/>
      <c r="AA124" s="3260"/>
      <c r="AB124" s="3261"/>
      <c r="AC124" s="971"/>
      <c r="AD124" s="3259" t="e">
        <f>IF(((AD121-0.1)*AW109)&gt;0,((AD121-0.1)*AW109),0)</f>
        <v>#DIV/0!</v>
      </c>
      <c r="AE124" s="3260"/>
      <c r="AF124" s="3260"/>
      <c r="AG124" s="3261"/>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3">
        <f>ROUNDDOWN(SUMIF(E124:AG124,"&gt;0"),2)</f>
        <v>0.26</v>
      </c>
      <c r="F126" s="3004"/>
      <c r="G126" s="3004"/>
      <c r="H126" s="3005"/>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6">
        <f>IF((E126*100)&gt;10,10,E126*100)</f>
        <v>10</v>
      </c>
      <c r="F127" s="3197"/>
      <c r="G127" s="3197"/>
      <c r="H127" s="3198"/>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196">
        <f>E127</f>
        <v>10</v>
      </c>
      <c r="AL131" s="3197"/>
      <c r="AM131" s="3198"/>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12" t="s">
        <v>1584</v>
      </c>
      <c r="AF134" s="3212"/>
      <c r="AG134" s="3212"/>
      <c r="AH134" s="3212"/>
      <c r="AI134" s="3212"/>
      <c r="AJ134" s="3212"/>
      <c r="AK134" s="3212"/>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2" t="s">
        <v>1608</v>
      </c>
      <c r="AG136" s="3142"/>
      <c r="AH136" s="3142"/>
      <c r="AI136" s="3142"/>
      <c r="AJ136" s="3142"/>
      <c r="AK136" s="3142"/>
      <c r="AL136" s="3142"/>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01" t="s">
        <v>2611</v>
      </c>
      <c r="C138" s="3201"/>
      <c r="D138" s="3201"/>
      <c r="E138" s="3201"/>
      <c r="F138" s="3201"/>
      <c r="G138" s="3201"/>
      <c r="H138" s="3201"/>
      <c r="I138" s="3201"/>
      <c r="J138" s="3201"/>
      <c r="K138" s="3201"/>
      <c r="L138" s="3201"/>
      <c r="M138" s="3201"/>
      <c r="N138" s="3201"/>
      <c r="O138" s="3201"/>
      <c r="P138" s="3201"/>
      <c r="Q138" s="3201"/>
      <c r="R138" s="3201"/>
      <c r="S138" s="3201"/>
      <c r="T138" s="3201"/>
      <c r="U138" s="3201"/>
      <c r="V138" s="3201"/>
      <c r="W138" s="3201"/>
      <c r="X138" s="3201"/>
      <c r="Y138" s="3201"/>
      <c r="Z138" s="3201"/>
      <c r="AA138" s="3201"/>
      <c r="AB138" s="3201"/>
      <c r="AC138" s="3201"/>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02" t="s">
        <v>1611</v>
      </c>
      <c r="C141" s="3202"/>
      <c r="D141" s="3202"/>
      <c r="E141" s="3202"/>
      <c r="F141" s="3202"/>
      <c r="G141" s="3202"/>
      <c r="H141" s="3202"/>
      <c r="I141" s="3202"/>
      <c r="J141" s="3202"/>
      <c r="K141" s="3202"/>
      <c r="L141" s="3202"/>
      <c r="M141" s="3202"/>
      <c r="N141" s="3202"/>
      <c r="O141" s="3202"/>
      <c r="P141" s="3202"/>
      <c r="Q141" s="3202"/>
      <c r="R141" s="3202"/>
      <c r="S141" s="3202"/>
      <c r="T141" s="3202"/>
      <c r="U141" s="3202"/>
      <c r="V141" s="3202"/>
      <c r="W141" s="3202"/>
      <c r="X141" s="3202"/>
      <c r="Y141" s="3202"/>
      <c r="Z141" s="3202"/>
      <c r="AA141" s="3202"/>
      <c r="AB141" s="3202"/>
      <c r="AC141" s="3202"/>
      <c r="AD141" s="3202"/>
      <c r="AE141" s="3202"/>
      <c r="AF141" s="3202"/>
      <c r="AG141" s="3202"/>
      <c r="AH141" s="3202"/>
      <c r="AI141" s="3202"/>
      <c r="AM141" s="986"/>
      <c r="AN141" s="926"/>
      <c r="AO141" s="994" t="s">
        <v>1611</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47" t="s">
        <v>625</v>
      </c>
      <c r="AC143" s="314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02" t="s">
        <v>1613</v>
      </c>
      <c r="C146" s="3202"/>
      <c r="D146" s="3202"/>
      <c r="E146" s="3202"/>
      <c r="F146" s="3202"/>
      <c r="G146" s="3202"/>
      <c r="H146" s="3202"/>
      <c r="I146" s="3202"/>
      <c r="J146" s="3202"/>
      <c r="K146" s="3202"/>
      <c r="L146" s="3202"/>
      <c r="M146" s="3202"/>
      <c r="N146" s="3202"/>
      <c r="O146" s="3202"/>
      <c r="P146" s="3202"/>
      <c r="Q146" s="3202"/>
      <c r="R146" s="3202"/>
      <c r="S146" s="3202"/>
      <c r="T146" s="3202"/>
      <c r="U146" s="3202"/>
      <c r="V146" s="3202"/>
      <c r="W146" s="3202"/>
      <c r="X146" s="3202"/>
      <c r="Y146" s="3202"/>
      <c r="Z146" s="3202"/>
      <c r="AA146" s="3202"/>
      <c r="AB146" s="3202"/>
      <c r="AC146" s="3202"/>
      <c r="AD146" s="3202"/>
      <c r="AE146" s="3202"/>
      <c r="AF146" s="3202"/>
      <c r="AG146" s="3202"/>
      <c r="AH146" s="3202"/>
      <c r="AI146" s="3202"/>
      <c r="AJ146" s="3202"/>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03">
        <f>IF($AB$143="N/A",VLOOKUP($B$141,$AO$139:$AP$142,2,FALSE),VLOOKUP($B$146,$AO$144:$AP$147,2,FALSE))</f>
        <v>7</v>
      </c>
      <c r="AK149" s="3203"/>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2" t="s">
        <v>1622</v>
      </c>
      <c r="AG151" s="3142"/>
      <c r="AH151" s="3142"/>
      <c r="AI151" s="3142"/>
      <c r="AJ151" s="3142"/>
      <c r="AK151" s="3142"/>
      <c r="AL151" s="3142"/>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2" t="s">
        <v>1620</v>
      </c>
      <c r="D153" s="3202"/>
      <c r="E153" s="3202"/>
      <c r="F153" s="3202"/>
      <c r="G153" s="3202"/>
      <c r="H153" s="3202"/>
      <c r="I153" s="3202"/>
      <c r="J153" s="3202"/>
      <c r="K153" s="3202"/>
      <c r="L153" s="3202"/>
      <c r="M153" s="3202"/>
      <c r="N153" s="3202"/>
      <c r="O153" s="3202"/>
      <c r="P153" s="3202"/>
      <c r="Q153" s="3202"/>
      <c r="R153" s="3202"/>
      <c r="S153" s="3202"/>
      <c r="T153" s="3202"/>
      <c r="U153" s="3202"/>
      <c r="V153" s="3202"/>
      <c r="W153" s="3202"/>
      <c r="X153" s="3202"/>
      <c r="Y153" s="3202"/>
      <c r="Z153" s="3202"/>
      <c r="AA153" s="3202"/>
      <c r="AB153" s="3202"/>
      <c r="AC153" s="3202"/>
      <c r="AD153" s="3202"/>
      <c r="AE153" s="3202"/>
      <c r="AF153" s="3202"/>
      <c r="AG153" s="3202"/>
      <c r="AH153" s="3202"/>
      <c r="AI153" s="3202"/>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7" t="s">
        <v>625</v>
      </c>
      <c r="AD155" s="3147"/>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02" t="s">
        <v>1613</v>
      </c>
      <c r="D157" s="3202"/>
      <c r="E157" s="3202"/>
      <c r="F157" s="3202"/>
      <c r="G157" s="3202"/>
      <c r="H157" s="3202"/>
      <c r="I157" s="3202"/>
      <c r="J157" s="3202"/>
      <c r="K157" s="3202"/>
      <c r="L157" s="3202"/>
      <c r="M157" s="3202"/>
      <c r="N157" s="3202"/>
      <c r="O157" s="3202"/>
      <c r="P157" s="3202"/>
      <c r="Q157" s="3202"/>
      <c r="R157" s="3202"/>
      <c r="S157" s="3202"/>
      <c r="T157" s="3202"/>
      <c r="U157" s="3202"/>
      <c r="V157" s="3202"/>
      <c r="W157" s="3202"/>
      <c r="X157" s="3202"/>
      <c r="Y157" s="3202"/>
      <c r="Z157" s="3202"/>
      <c r="AA157" s="3202"/>
      <c r="AB157" s="3202"/>
      <c r="AC157" s="3202"/>
      <c r="AD157" s="3202"/>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01"/>
      <c r="D161" s="3201"/>
      <c r="E161" s="3201"/>
      <c r="F161" s="3201"/>
      <c r="G161" s="3201"/>
      <c r="H161" s="3201"/>
      <c r="I161" s="3201"/>
      <c r="J161" s="3201"/>
      <c r="K161" s="3201"/>
      <c r="L161" s="3201"/>
      <c r="M161" s="3201"/>
      <c r="N161" s="3201"/>
      <c r="O161" s="3201"/>
      <c r="P161" s="3201"/>
      <c r="Q161" s="3201"/>
      <c r="R161" s="3201"/>
      <c r="S161" s="3201"/>
      <c r="T161" s="3201"/>
      <c r="U161" s="3201"/>
      <c r="V161" s="3201"/>
      <c r="W161" s="3201"/>
      <c r="X161" s="3201"/>
      <c r="Y161" s="3201"/>
      <c r="Z161" s="3201"/>
      <c r="AA161" s="3201"/>
      <c r="AB161" s="3201"/>
      <c r="AC161" s="3201"/>
      <c r="AD161" s="3201"/>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0">
        <f>IF($AC$155="N/A",VLOOKUP($C$153,$AO$153:$AP$156,2,FALSE),VLOOKUP($C$157,$AO$160:$AP$162,2,FALSE))</f>
        <v>3</v>
      </c>
      <c r="AK163" s="3060"/>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196">
        <f>$AJ$149+$AJ$163</f>
        <v>10</v>
      </c>
      <c r="AL166" s="3197"/>
      <c r="AM166" s="3198"/>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7" t="s">
        <v>1584</v>
      </c>
      <c r="AF169" s="3107"/>
      <c r="AG169" s="3107"/>
      <c r="AH169" s="3107"/>
      <c r="AI169" s="3107"/>
      <c r="AJ169" s="3107"/>
      <c r="AK169" s="3107"/>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199" t="s">
        <v>1639</v>
      </c>
      <c r="C171" s="3199"/>
      <c r="D171" s="3199"/>
      <c r="E171" s="3199"/>
      <c r="F171" s="3199"/>
      <c r="G171" s="3199"/>
      <c r="H171" s="3199"/>
      <c r="I171" s="3199"/>
      <c r="J171" s="3199"/>
      <c r="K171" s="3199"/>
      <c r="L171" s="3199"/>
      <c r="M171" s="3199"/>
      <c r="N171" s="3199"/>
      <c r="O171" s="3199"/>
      <c r="P171" s="3199"/>
      <c r="Q171" s="3199"/>
      <c r="R171" s="3199"/>
      <c r="S171" s="3199"/>
      <c r="T171" s="3199"/>
      <c r="U171" s="3199"/>
      <c r="V171" s="3199"/>
      <c r="W171" s="3199"/>
      <c r="X171" s="3199"/>
      <c r="Y171" s="3199"/>
      <c r="Z171" s="3199"/>
      <c r="AA171" s="3199"/>
      <c r="AB171" s="3199"/>
      <c r="AC171" s="3199"/>
      <c r="AD171" s="1023"/>
      <c r="AE171" s="1023"/>
      <c r="AF171" s="3142" t="s">
        <v>1633</v>
      </c>
      <c r="AG171" s="3142"/>
      <c r="AH171" s="3142"/>
      <c r="AI171" s="3142"/>
      <c r="AJ171" s="3142"/>
      <c r="AK171" s="3142"/>
      <c r="AL171" s="3142"/>
      <c r="AN171" s="1000"/>
      <c r="AP171" s="943" t="s">
        <v>1156</v>
      </c>
      <c r="AQ171" s="943">
        <v>10</v>
      </c>
    </row>
    <row r="172" spans="1:81" s="943" customFormat="1" ht="12.75" customHeight="1">
      <c r="A172" s="927"/>
      <c r="B172" s="3200" t="s">
        <v>2224</v>
      </c>
      <c r="C172" s="3200"/>
      <c r="D172" s="3200"/>
      <c r="E172" s="3200"/>
      <c r="F172" s="3200"/>
      <c r="G172" s="3200"/>
      <c r="H172" s="3200"/>
      <c r="I172" s="3200"/>
      <c r="J172" s="3200"/>
      <c r="K172" s="3200"/>
      <c r="L172" s="3200"/>
      <c r="M172" s="3200"/>
      <c r="N172" s="3200"/>
      <c r="O172" s="3200"/>
      <c r="P172" s="3200"/>
      <c r="Q172" s="3200"/>
      <c r="R172" s="3200"/>
      <c r="S172" s="3200"/>
      <c r="T172" s="3201" t="s">
        <v>625</v>
      </c>
      <c r="U172" s="3201"/>
      <c r="V172" s="3201"/>
      <c r="W172" s="3201"/>
      <c r="X172" s="3201"/>
      <c r="Y172" s="3201"/>
      <c r="Z172" s="3201"/>
      <c r="AA172" s="3201"/>
      <c r="AB172" s="3201"/>
      <c r="AC172" s="3201"/>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25">
        <f>IF(AK72&gt;0,VLOOKUP($B$171,AP168:AQ175,2,FALSE),0)</f>
        <v>10</v>
      </c>
      <c r="AL174" s="3026"/>
      <c r="AM174" s="3027"/>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7" t="s">
        <v>1642</v>
      </c>
      <c r="AF177" s="3107"/>
      <c r="AG177" s="3107"/>
      <c r="AH177" s="3107"/>
      <c r="AI177" s="3107"/>
      <c r="AJ177" s="3107"/>
      <c r="AK177" s="3107"/>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3" t="s">
        <v>2525</v>
      </c>
      <c r="C182" s="3193"/>
      <c r="D182" s="3193"/>
      <c r="E182" s="3193"/>
      <c r="F182" s="3193"/>
      <c r="G182" s="3193"/>
      <c r="H182" s="3193"/>
      <c r="I182" s="3193"/>
      <c r="J182" s="3193"/>
      <c r="K182" s="3193"/>
      <c r="L182" s="3193"/>
      <c r="M182" s="3193"/>
      <c r="N182" s="3193"/>
      <c r="O182" s="3193"/>
      <c r="P182" s="3193"/>
      <c r="Q182" s="3193"/>
      <c r="R182" s="3193"/>
      <c r="S182" s="3193"/>
      <c r="T182" s="3193"/>
      <c r="U182" s="3193"/>
      <c r="V182" s="3193"/>
      <c r="W182" s="3193"/>
      <c r="X182" s="3193"/>
      <c r="Y182" s="3193"/>
      <c r="Z182" s="3193"/>
      <c r="AA182" s="3193"/>
      <c r="AB182" s="3193"/>
      <c r="AC182" s="1397"/>
      <c r="AD182" s="3183">
        <v>6000000</v>
      </c>
      <c r="AE182" s="3183"/>
      <c r="AF182" s="3183"/>
      <c r="AG182" s="3183"/>
      <c r="AH182" s="3183"/>
      <c r="AI182" s="3183"/>
      <c r="AJ182" s="3183"/>
      <c r="AK182" s="1024"/>
    </row>
    <row r="183" spans="1:37">
      <c r="A183" s="1016"/>
      <c r="B183" s="3193"/>
      <c r="C183" s="3193"/>
      <c r="D183" s="3193"/>
      <c r="E183" s="3193"/>
      <c r="F183" s="3193"/>
      <c r="G183" s="3193"/>
      <c r="H183" s="3193"/>
      <c r="I183" s="3193"/>
      <c r="J183" s="3193"/>
      <c r="K183" s="3193"/>
      <c r="L183" s="3193"/>
      <c r="M183" s="3193"/>
      <c r="N183" s="3193"/>
      <c r="O183" s="3193"/>
      <c r="P183" s="3193"/>
      <c r="Q183" s="3193"/>
      <c r="R183" s="3193"/>
      <c r="S183" s="3193"/>
      <c r="T183" s="3193"/>
      <c r="U183" s="3193"/>
      <c r="V183" s="3193"/>
      <c r="W183" s="3193"/>
      <c r="X183" s="3193"/>
      <c r="Y183" s="3193"/>
      <c r="Z183" s="3193"/>
      <c r="AA183" s="3193"/>
      <c r="AB183" s="3193"/>
      <c r="AC183" s="1397"/>
      <c r="AD183" s="3183"/>
      <c r="AE183" s="3183"/>
      <c r="AF183" s="3183"/>
      <c r="AG183" s="3183"/>
      <c r="AH183" s="3183"/>
      <c r="AI183" s="3183"/>
      <c r="AJ183" s="3183"/>
      <c r="AK183" s="1024"/>
    </row>
    <row r="184" spans="1:37">
      <c r="A184" s="1016"/>
      <c r="B184" s="3193"/>
      <c r="C184" s="3193"/>
      <c r="D184" s="3193"/>
      <c r="E184" s="3193"/>
      <c r="F184" s="3193"/>
      <c r="G184" s="3193"/>
      <c r="H184" s="3193"/>
      <c r="I184" s="3193"/>
      <c r="J184" s="3193"/>
      <c r="K184" s="3193"/>
      <c r="L184" s="3193"/>
      <c r="M184" s="3193"/>
      <c r="N184" s="3193"/>
      <c r="O184" s="3193"/>
      <c r="P184" s="3193"/>
      <c r="Q184" s="3193"/>
      <c r="R184" s="3193"/>
      <c r="S184" s="3193"/>
      <c r="T184" s="3193"/>
      <c r="U184" s="3193"/>
      <c r="V184" s="3193"/>
      <c r="W184" s="3193"/>
      <c r="X184" s="3193"/>
      <c r="Y184" s="3193"/>
      <c r="Z184" s="3193"/>
      <c r="AA184" s="3193"/>
      <c r="AB184" s="3193"/>
      <c r="AC184" s="1397"/>
      <c r="AD184" s="3183"/>
      <c r="AE184" s="3183"/>
      <c r="AF184" s="3183"/>
      <c r="AG184" s="3183"/>
      <c r="AH184" s="3183"/>
      <c r="AI184" s="3183"/>
      <c r="AJ184" s="3183"/>
      <c r="AK184" s="1024"/>
    </row>
    <row r="185" spans="1:37">
      <c r="A185" s="1016"/>
      <c r="B185" s="3193"/>
      <c r="C185" s="3193"/>
      <c r="D185" s="3193"/>
      <c r="E185" s="3193"/>
      <c r="F185" s="3193"/>
      <c r="G185" s="3193"/>
      <c r="H185" s="3193"/>
      <c r="I185" s="3193"/>
      <c r="J185" s="3193"/>
      <c r="K185" s="3193"/>
      <c r="L185" s="3193"/>
      <c r="M185" s="3193"/>
      <c r="N185" s="3193"/>
      <c r="O185" s="3193"/>
      <c r="P185" s="3193"/>
      <c r="Q185" s="3193"/>
      <c r="R185" s="3193"/>
      <c r="S185" s="3193"/>
      <c r="T185" s="3193"/>
      <c r="U185" s="3193"/>
      <c r="V185" s="3193"/>
      <c r="W185" s="3193"/>
      <c r="X185" s="3193"/>
      <c r="Y185" s="3193"/>
      <c r="Z185" s="3193"/>
      <c r="AA185" s="3193"/>
      <c r="AB185" s="3193"/>
      <c r="AC185" s="1397"/>
      <c r="AD185" s="3183"/>
      <c r="AE185" s="3183"/>
      <c r="AF185" s="3183"/>
      <c r="AG185" s="3183"/>
      <c r="AH185" s="3183"/>
      <c r="AI185" s="3183"/>
      <c r="AJ185" s="3183"/>
      <c r="AK185" s="1024"/>
    </row>
    <row r="186" spans="1:37">
      <c r="A186" s="1016"/>
      <c r="B186" s="3193"/>
      <c r="C186" s="3193"/>
      <c r="D186" s="3193"/>
      <c r="E186" s="3193"/>
      <c r="F186" s="3193"/>
      <c r="G186" s="3193"/>
      <c r="H186" s="3193"/>
      <c r="I186" s="3193"/>
      <c r="J186" s="3193"/>
      <c r="K186" s="3193"/>
      <c r="L186" s="3193"/>
      <c r="M186" s="3193"/>
      <c r="N186" s="3193"/>
      <c r="O186" s="3193"/>
      <c r="P186" s="3193"/>
      <c r="Q186" s="3193"/>
      <c r="R186" s="3193"/>
      <c r="S186" s="3193"/>
      <c r="T186" s="3193"/>
      <c r="U186" s="3193"/>
      <c r="V186" s="3193"/>
      <c r="W186" s="3193"/>
      <c r="X186" s="3193"/>
      <c r="Y186" s="3193"/>
      <c r="Z186" s="3193"/>
      <c r="AA186" s="3193"/>
      <c r="AB186" s="3193"/>
      <c r="AC186" s="1397"/>
      <c r="AD186" s="3183"/>
      <c r="AE186" s="3183"/>
      <c r="AF186" s="3183"/>
      <c r="AG186" s="3183"/>
      <c r="AH186" s="3183"/>
      <c r="AI186" s="3183"/>
      <c r="AJ186" s="3183"/>
      <c r="AK186" s="1024"/>
    </row>
    <row r="187" spans="1:37">
      <c r="A187" s="1016"/>
      <c r="B187" s="3193"/>
      <c r="C187" s="3193"/>
      <c r="D187" s="3193"/>
      <c r="E187" s="3193"/>
      <c r="F187" s="3193"/>
      <c r="G187" s="3193"/>
      <c r="H187" s="3193"/>
      <c r="I187" s="3193"/>
      <c r="J187" s="3193"/>
      <c r="K187" s="3193"/>
      <c r="L187" s="3193"/>
      <c r="M187" s="3193"/>
      <c r="N187" s="3193"/>
      <c r="O187" s="3193"/>
      <c r="P187" s="3193"/>
      <c r="Q187" s="3193"/>
      <c r="R187" s="3193"/>
      <c r="S187" s="3193"/>
      <c r="T187" s="3193"/>
      <c r="U187" s="3193"/>
      <c r="V187" s="3193"/>
      <c r="W187" s="3193"/>
      <c r="X187" s="3193"/>
      <c r="Y187" s="3193"/>
      <c r="Z187" s="3193"/>
      <c r="AA187" s="3193"/>
      <c r="AB187" s="3193"/>
      <c r="AC187" s="1397"/>
      <c r="AD187" s="3183"/>
      <c r="AE187" s="3183"/>
      <c r="AF187" s="3183"/>
      <c r="AG187" s="3183"/>
      <c r="AH187" s="3183"/>
      <c r="AI187" s="3183"/>
      <c r="AJ187" s="3183"/>
      <c r="AK187" s="1024"/>
    </row>
    <row r="188" spans="1:37">
      <c r="A188" s="1016"/>
      <c r="B188" s="3193"/>
      <c r="C188" s="3193"/>
      <c r="D188" s="3193"/>
      <c r="E188" s="3193"/>
      <c r="F188" s="3193"/>
      <c r="G188" s="3193"/>
      <c r="H188" s="3193"/>
      <c r="I188" s="3193"/>
      <c r="J188" s="3193"/>
      <c r="K188" s="3193"/>
      <c r="L188" s="3193"/>
      <c r="M188" s="3193"/>
      <c r="N188" s="3193"/>
      <c r="O188" s="3193"/>
      <c r="P188" s="3193"/>
      <c r="Q188" s="3193"/>
      <c r="R188" s="3193"/>
      <c r="S188" s="3193"/>
      <c r="T188" s="3193"/>
      <c r="U188" s="3193"/>
      <c r="V188" s="3193"/>
      <c r="W188" s="3193"/>
      <c r="X188" s="3193"/>
      <c r="Y188" s="3193"/>
      <c r="Z188" s="3193"/>
      <c r="AA188" s="3193"/>
      <c r="AB188" s="3193"/>
      <c r="AC188" s="1397"/>
      <c r="AD188" s="3183"/>
      <c r="AE188" s="3183"/>
      <c r="AF188" s="3183"/>
      <c r="AG188" s="3183"/>
      <c r="AH188" s="3183"/>
      <c r="AI188" s="3183"/>
      <c r="AJ188" s="3183"/>
      <c r="AK188" s="1024"/>
    </row>
    <row r="189" spans="1:37">
      <c r="A189" s="1016"/>
      <c r="B189" s="3193"/>
      <c r="C189" s="3193"/>
      <c r="D189" s="3193"/>
      <c r="E189" s="3193"/>
      <c r="F189" s="3193"/>
      <c r="G189" s="3193"/>
      <c r="H189" s="3193"/>
      <c r="I189" s="3193"/>
      <c r="J189" s="3193"/>
      <c r="K189" s="3193"/>
      <c r="L189" s="3193"/>
      <c r="M189" s="3193"/>
      <c r="N189" s="3193"/>
      <c r="O189" s="3193"/>
      <c r="P189" s="3193"/>
      <c r="Q189" s="3193"/>
      <c r="R189" s="3193"/>
      <c r="S189" s="3193"/>
      <c r="T189" s="3193"/>
      <c r="U189" s="3193"/>
      <c r="V189" s="3193"/>
      <c r="W189" s="3193"/>
      <c r="X189" s="3193"/>
      <c r="Y189" s="3193"/>
      <c r="Z189" s="3193"/>
      <c r="AA189" s="3193"/>
      <c r="AB189" s="3193"/>
      <c r="AC189" s="1397"/>
      <c r="AD189" s="3183"/>
      <c r="AE189" s="3183"/>
      <c r="AF189" s="3183"/>
      <c r="AG189" s="3183"/>
      <c r="AH189" s="3183"/>
      <c r="AI189" s="3183"/>
      <c r="AJ189" s="3183"/>
      <c r="AK189" s="1024"/>
    </row>
    <row r="190" spans="1:37">
      <c r="A190" s="1016"/>
      <c r="B190" s="3193"/>
      <c r="C190" s="3193"/>
      <c r="D190" s="3193"/>
      <c r="E190" s="3193"/>
      <c r="F190" s="3193"/>
      <c r="G190" s="3193"/>
      <c r="H190" s="3193"/>
      <c r="I190" s="3193"/>
      <c r="J190" s="3193"/>
      <c r="K190" s="3193"/>
      <c r="L190" s="3193"/>
      <c r="M190" s="3193"/>
      <c r="N190" s="3193"/>
      <c r="O190" s="3193"/>
      <c r="P190" s="3193"/>
      <c r="Q190" s="3193"/>
      <c r="R190" s="3193"/>
      <c r="S190" s="3193"/>
      <c r="T190" s="3193"/>
      <c r="U190" s="3193"/>
      <c r="V190" s="3193"/>
      <c r="W190" s="3193"/>
      <c r="X190" s="3193"/>
      <c r="Y190" s="3193"/>
      <c r="Z190" s="3193"/>
      <c r="AA190" s="3193"/>
      <c r="AB190" s="3193"/>
      <c r="AC190" s="1397"/>
      <c r="AD190" s="3183"/>
      <c r="AE190" s="3183"/>
      <c r="AF190" s="3183"/>
      <c r="AG190" s="3183"/>
      <c r="AH190" s="3183"/>
      <c r="AI190" s="3183"/>
      <c r="AJ190" s="3183"/>
      <c r="AK190" s="1024"/>
    </row>
    <row r="191" spans="1:37">
      <c r="A191" s="1016"/>
      <c r="B191" s="3193"/>
      <c r="C191" s="3193"/>
      <c r="D191" s="3193"/>
      <c r="E191" s="3193"/>
      <c r="F191" s="3193"/>
      <c r="G191" s="3193"/>
      <c r="H191" s="3193"/>
      <c r="I191" s="3193"/>
      <c r="J191" s="3193"/>
      <c r="K191" s="3193"/>
      <c r="L191" s="3193"/>
      <c r="M191" s="3193"/>
      <c r="N191" s="3193"/>
      <c r="O191" s="3193"/>
      <c r="P191" s="3193"/>
      <c r="Q191" s="3193"/>
      <c r="R191" s="3193"/>
      <c r="S191" s="3193"/>
      <c r="T191" s="3193"/>
      <c r="U191" s="3193"/>
      <c r="V191" s="3193"/>
      <c r="W191" s="3193"/>
      <c r="X191" s="3193"/>
      <c r="Y191" s="3193"/>
      <c r="Z191" s="3193"/>
      <c r="AA191" s="3193"/>
      <c r="AB191" s="3193"/>
      <c r="AC191" s="1397"/>
      <c r="AD191" s="3183"/>
      <c r="AE191" s="3183"/>
      <c r="AF191" s="3183"/>
      <c r="AG191" s="3183"/>
      <c r="AH191" s="3183"/>
      <c r="AI191" s="3183"/>
      <c r="AJ191" s="3183"/>
      <c r="AK191" s="1024"/>
    </row>
    <row r="192" spans="1:37">
      <c r="A192" s="1016"/>
      <c r="B192" s="3047" t="s">
        <v>1930</v>
      </c>
      <c r="C192" s="3047"/>
      <c r="D192" s="3047"/>
      <c r="E192" s="3047"/>
      <c r="F192" s="3047"/>
      <c r="G192" s="3047"/>
      <c r="H192" s="3047"/>
      <c r="I192" s="3047"/>
      <c r="J192" s="3047"/>
      <c r="K192" s="3047"/>
      <c r="L192" s="3047"/>
      <c r="M192" s="3047"/>
      <c r="N192" s="3047"/>
      <c r="O192" s="3047"/>
      <c r="P192" s="3047"/>
      <c r="Q192" s="3047"/>
      <c r="R192" s="3047"/>
      <c r="S192" s="3047"/>
      <c r="T192" s="3047"/>
      <c r="U192" s="3047"/>
      <c r="V192" s="3047"/>
      <c r="W192" s="3047"/>
      <c r="X192" s="3047"/>
      <c r="Y192" s="3047"/>
      <c r="Z192" s="3047"/>
      <c r="AA192" s="3047"/>
      <c r="AB192" s="3047"/>
      <c r="AC192" s="927"/>
      <c r="AD192" s="3181">
        <f>AB243</f>
        <v>0</v>
      </c>
      <c r="AE192" s="3181"/>
      <c r="AF192" s="3181"/>
      <c r="AG192" s="3181"/>
      <c r="AH192" s="3181"/>
      <c r="AI192" s="3181"/>
      <c r="AJ192" s="3181"/>
      <c r="AK192" s="1024"/>
    </row>
    <row r="193" spans="1:37">
      <c r="A193" s="1016"/>
      <c r="B193" s="3045" t="s">
        <v>1893</v>
      </c>
      <c r="C193" s="3045"/>
      <c r="D193" s="3045"/>
      <c r="E193" s="3045"/>
      <c r="F193" s="3045"/>
      <c r="G193" s="3045"/>
      <c r="H193" s="3045"/>
      <c r="I193" s="3045"/>
      <c r="J193" s="3045"/>
      <c r="K193" s="3045"/>
      <c r="L193" s="3045"/>
      <c r="M193" s="3045"/>
      <c r="N193" s="3045"/>
      <c r="O193" s="3045"/>
      <c r="P193" s="3045"/>
      <c r="Q193" s="3045"/>
      <c r="R193" s="3045"/>
      <c r="S193" s="3045"/>
      <c r="T193" s="3045"/>
      <c r="U193" s="3045"/>
      <c r="V193" s="3045"/>
      <c r="W193" s="3045"/>
      <c r="X193" s="3045"/>
      <c r="Y193" s="3045"/>
      <c r="Z193" s="3045"/>
      <c r="AA193" s="3045"/>
      <c r="AB193" s="3045"/>
      <c r="AC193" s="1397"/>
      <c r="AD193" s="3182">
        <f>'Sources and Uses Budget'!B15</f>
        <v>0</v>
      </c>
      <c r="AE193" s="3182"/>
      <c r="AF193" s="3182"/>
      <c r="AG193" s="3182"/>
      <c r="AH193" s="3182"/>
      <c r="AI193" s="3182"/>
      <c r="AJ193" s="3182"/>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87">
        <f>SUM(AD182:AJ192)-AD193</f>
        <v>6000000</v>
      </c>
      <c r="AE194" s="3187"/>
      <c r="AF194" s="3187"/>
      <c r="AG194" s="3187"/>
      <c r="AH194" s="3187"/>
      <c r="AI194" s="3187"/>
      <c r="AJ194" s="3187"/>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8" t="s">
        <v>1910</v>
      </c>
      <c r="J205" s="3208"/>
      <c r="K205" s="3208"/>
      <c r="L205" s="991"/>
      <c r="M205" s="991"/>
      <c r="N205" s="991"/>
      <c r="O205" s="991"/>
      <c r="P205" s="991"/>
      <c r="Q205" s="991"/>
      <c r="R205" s="991"/>
      <c r="S205" s="991"/>
      <c r="T205" s="3008" t="s">
        <v>1904</v>
      </c>
      <c r="U205" s="3008"/>
      <c r="V205" s="3008"/>
      <c r="W205" s="3008"/>
      <c r="X205" s="3008"/>
      <c r="Y205" s="3008"/>
      <c r="Z205" s="1401"/>
      <c r="AA205" s="1402"/>
      <c r="AB205" s="3204" t="s">
        <v>1905</v>
      </c>
      <c r="AC205" s="3204"/>
      <c r="AD205" s="3204"/>
      <c r="AE205" s="3204"/>
      <c r="AF205" s="3204"/>
      <c r="AG205" s="3204"/>
      <c r="AH205" s="1371"/>
      <c r="AI205" s="1371"/>
      <c r="AJ205" s="1371"/>
      <c r="AK205" s="1024"/>
    </row>
    <row r="206" spans="1:37">
      <c r="A206" s="1016"/>
      <c r="B206" s="3206" t="s">
        <v>1883</v>
      </c>
      <c r="C206" s="3206"/>
      <c r="D206" s="3206"/>
      <c r="E206" s="3206"/>
      <c r="F206" s="3206"/>
      <c r="G206" s="3206"/>
      <c r="I206" s="3207" t="s">
        <v>1911</v>
      </c>
      <c r="J206" s="3207"/>
      <c r="K206" s="3207"/>
      <c r="L206" s="1799"/>
      <c r="N206" s="3046" t="s">
        <v>1906</v>
      </c>
      <c r="O206" s="3046"/>
      <c r="P206" s="3046"/>
      <c r="Q206" s="3046"/>
      <c r="R206" s="3046"/>
      <c r="T206" s="3046" t="s">
        <v>1907</v>
      </c>
      <c r="U206" s="3046"/>
      <c r="V206" s="3046"/>
      <c r="W206" s="3046"/>
      <c r="X206" s="3046"/>
      <c r="Y206" s="3046"/>
      <c r="Z206" s="1403"/>
      <c r="AA206" s="1402"/>
      <c r="AB206" s="3049" t="s">
        <v>1908</v>
      </c>
      <c r="AC206" s="3049"/>
      <c r="AD206" s="3049"/>
      <c r="AE206" s="3049"/>
      <c r="AF206" s="3049"/>
      <c r="AG206" s="3049"/>
      <c r="AH206" s="1371"/>
      <c r="AI206" s="1371"/>
      <c r="AJ206" s="1371"/>
      <c r="AK206" s="1024"/>
    </row>
    <row r="207" spans="1:37">
      <c r="A207" s="1016"/>
      <c r="B207" s="3048" t="s">
        <v>1383</v>
      </c>
      <c r="C207" s="3048"/>
      <c r="D207" s="3048"/>
      <c r="E207" s="3048"/>
      <c r="F207" s="3048"/>
      <c r="G207" s="3048"/>
      <c r="H207" s="1405"/>
      <c r="I207" s="3013"/>
      <c r="J207" s="3013"/>
      <c r="K207" s="3013"/>
      <c r="L207" s="1799"/>
      <c r="N207" s="3010"/>
      <c r="O207" s="3010"/>
      <c r="P207" s="3010"/>
      <c r="Q207" s="3010"/>
      <c r="R207" s="3010"/>
      <c r="T207" s="3009"/>
      <c r="U207" s="3009"/>
      <c r="V207" s="3009"/>
      <c r="W207" s="3009"/>
      <c r="X207" s="3009"/>
      <c r="Y207" s="3009"/>
      <c r="Z207" s="1404"/>
      <c r="AA207" s="1404"/>
      <c r="AB207" s="3007">
        <f t="shared" ref="AB207:AB216" si="0">MAX(($T207-$N207)*$I207*12,0)</f>
        <v>0</v>
      </c>
      <c r="AC207" s="3007"/>
      <c r="AD207" s="3007"/>
      <c r="AE207" s="3007"/>
      <c r="AF207" s="3007"/>
      <c r="AG207" s="3007"/>
      <c r="AH207" s="1371"/>
      <c r="AI207" s="1371"/>
      <c r="AJ207" s="1371"/>
      <c r="AK207" s="1024"/>
    </row>
    <row r="208" spans="1:37">
      <c r="A208" s="1016"/>
      <c r="B208" s="3048" t="s">
        <v>1383</v>
      </c>
      <c r="C208" s="3048"/>
      <c r="D208" s="3048"/>
      <c r="E208" s="3048"/>
      <c r="F208" s="3048"/>
      <c r="G208" s="3048"/>
      <c r="I208" s="3013"/>
      <c r="J208" s="3013"/>
      <c r="K208" s="3013"/>
      <c r="L208" s="1799"/>
      <c r="N208" s="3010"/>
      <c r="O208" s="3010"/>
      <c r="P208" s="3010"/>
      <c r="Q208" s="3010"/>
      <c r="R208" s="3010"/>
      <c r="T208" s="3009"/>
      <c r="U208" s="3009"/>
      <c r="V208" s="3009"/>
      <c r="W208" s="3009"/>
      <c r="X208" s="3009"/>
      <c r="Y208" s="3009"/>
      <c r="Z208" s="1404"/>
      <c r="AA208" s="1404"/>
      <c r="AB208" s="3007">
        <f t="shared" si="0"/>
        <v>0</v>
      </c>
      <c r="AC208" s="3007"/>
      <c r="AD208" s="3007"/>
      <c r="AE208" s="3007"/>
      <c r="AF208" s="3007"/>
      <c r="AG208" s="3007"/>
      <c r="AH208" s="1371"/>
      <c r="AI208" s="1371"/>
      <c r="AJ208" s="1371"/>
      <c r="AK208" s="1024"/>
    </row>
    <row r="209" spans="1:37">
      <c r="A209" s="1016"/>
      <c r="B209" s="3048" t="s">
        <v>1383</v>
      </c>
      <c r="C209" s="3048"/>
      <c r="D209" s="3048"/>
      <c r="E209" s="3048"/>
      <c r="F209" s="3048"/>
      <c r="G209" s="3048"/>
      <c r="I209" s="3013"/>
      <c r="J209" s="3013"/>
      <c r="K209" s="3013"/>
      <c r="L209" s="1799"/>
      <c r="N209" s="3010"/>
      <c r="O209" s="3010"/>
      <c r="P209" s="3010"/>
      <c r="Q209" s="3010"/>
      <c r="R209" s="3010"/>
      <c r="T209" s="3009"/>
      <c r="U209" s="3009"/>
      <c r="V209" s="3009"/>
      <c r="W209" s="3009"/>
      <c r="X209" s="3009"/>
      <c r="Y209" s="3009"/>
      <c r="Z209" s="1404"/>
      <c r="AA209" s="1404"/>
      <c r="AB209" s="3007">
        <f t="shared" si="0"/>
        <v>0</v>
      </c>
      <c r="AC209" s="3007"/>
      <c r="AD209" s="3007"/>
      <c r="AE209" s="3007"/>
      <c r="AF209" s="3007"/>
      <c r="AG209" s="3007"/>
      <c r="AH209" s="1371"/>
      <c r="AI209" s="1371"/>
      <c r="AJ209" s="1371"/>
      <c r="AK209" s="1024"/>
    </row>
    <row r="210" spans="1:37">
      <c r="A210" s="1016"/>
      <c r="B210" s="3048" t="s">
        <v>1383</v>
      </c>
      <c r="C210" s="3048"/>
      <c r="D210" s="3048"/>
      <c r="E210" s="3048"/>
      <c r="F210" s="3048"/>
      <c r="G210" s="3048"/>
      <c r="I210" s="3013"/>
      <c r="J210" s="3013"/>
      <c r="K210" s="3013"/>
      <c r="L210" s="1799"/>
      <c r="N210" s="3010"/>
      <c r="O210" s="3010"/>
      <c r="P210" s="3010"/>
      <c r="Q210" s="3010"/>
      <c r="R210" s="3010"/>
      <c r="T210" s="3009"/>
      <c r="U210" s="3009"/>
      <c r="V210" s="3009"/>
      <c r="W210" s="3009"/>
      <c r="X210" s="3009"/>
      <c r="Y210" s="3009"/>
      <c r="Z210" s="1404"/>
      <c r="AA210" s="1404"/>
      <c r="AB210" s="3007">
        <f t="shared" si="0"/>
        <v>0</v>
      </c>
      <c r="AC210" s="3007"/>
      <c r="AD210" s="3007"/>
      <c r="AE210" s="3007"/>
      <c r="AF210" s="3007"/>
      <c r="AG210" s="3007"/>
      <c r="AH210" s="1371"/>
      <c r="AI210" s="1371"/>
      <c r="AJ210" s="1371"/>
      <c r="AK210" s="1024"/>
    </row>
    <row r="211" spans="1:37">
      <c r="A211" s="1016"/>
      <c r="B211" s="3048" t="s">
        <v>1383</v>
      </c>
      <c r="C211" s="3048"/>
      <c r="D211" s="3048"/>
      <c r="E211" s="3048"/>
      <c r="F211" s="3048"/>
      <c r="G211" s="3048"/>
      <c r="I211" s="3013"/>
      <c r="J211" s="3013"/>
      <c r="K211" s="3013"/>
      <c r="L211" s="1811"/>
      <c r="N211" s="3010"/>
      <c r="O211" s="3010"/>
      <c r="P211" s="3010"/>
      <c r="Q211" s="3010"/>
      <c r="R211" s="3010"/>
      <c r="T211" s="3009"/>
      <c r="U211" s="3009"/>
      <c r="V211" s="3009"/>
      <c r="W211" s="3009"/>
      <c r="X211" s="3009"/>
      <c r="Y211" s="3009"/>
      <c r="Z211" s="1404"/>
      <c r="AA211" s="1404"/>
      <c r="AB211" s="3007">
        <f t="shared" si="0"/>
        <v>0</v>
      </c>
      <c r="AC211" s="3007"/>
      <c r="AD211" s="3007"/>
      <c r="AE211" s="3007"/>
      <c r="AF211" s="3007"/>
      <c r="AG211" s="3007"/>
      <c r="AH211" s="1371"/>
      <c r="AI211" s="1371"/>
      <c r="AJ211" s="1371"/>
      <c r="AK211" s="1024"/>
    </row>
    <row r="212" spans="1:37">
      <c r="A212" s="1016"/>
      <c r="B212" s="3048" t="s">
        <v>1383</v>
      </c>
      <c r="C212" s="3048"/>
      <c r="D212" s="3048"/>
      <c r="E212" s="3048"/>
      <c r="F212" s="3048"/>
      <c r="G212" s="3048"/>
      <c r="I212" s="3013"/>
      <c r="J212" s="3013"/>
      <c r="K212" s="3013"/>
      <c r="L212" s="1811"/>
      <c r="N212" s="3010"/>
      <c r="O212" s="3010"/>
      <c r="P212" s="3010"/>
      <c r="Q212" s="3010"/>
      <c r="R212" s="3010"/>
      <c r="T212" s="3009"/>
      <c r="U212" s="3009"/>
      <c r="V212" s="3009"/>
      <c r="W212" s="3009"/>
      <c r="X212" s="3009"/>
      <c r="Y212" s="3009"/>
      <c r="Z212" s="1404"/>
      <c r="AA212" s="1404"/>
      <c r="AB212" s="3007">
        <f t="shared" si="0"/>
        <v>0</v>
      </c>
      <c r="AC212" s="3007"/>
      <c r="AD212" s="3007"/>
      <c r="AE212" s="3007"/>
      <c r="AF212" s="3007"/>
      <c r="AG212" s="3007"/>
      <c r="AH212" s="1371"/>
      <c r="AI212" s="1371"/>
      <c r="AJ212" s="1371"/>
      <c r="AK212" s="1024"/>
    </row>
    <row r="213" spans="1:37">
      <c r="A213" s="1016"/>
      <c r="B213" s="3048" t="s">
        <v>1383</v>
      </c>
      <c r="C213" s="3048"/>
      <c r="D213" s="3048"/>
      <c r="E213" s="3048"/>
      <c r="F213" s="3048"/>
      <c r="G213" s="3048"/>
      <c r="I213" s="3013"/>
      <c r="J213" s="3013"/>
      <c r="K213" s="3013"/>
      <c r="L213" s="1811"/>
      <c r="N213" s="3010"/>
      <c r="O213" s="3010"/>
      <c r="P213" s="3010"/>
      <c r="Q213" s="3010"/>
      <c r="R213" s="3010"/>
      <c r="T213" s="3009"/>
      <c r="U213" s="3009"/>
      <c r="V213" s="3009"/>
      <c r="W213" s="3009"/>
      <c r="X213" s="3009"/>
      <c r="Y213" s="3009"/>
      <c r="Z213" s="1404"/>
      <c r="AA213" s="1404"/>
      <c r="AB213" s="3007">
        <f t="shared" si="0"/>
        <v>0</v>
      </c>
      <c r="AC213" s="3007"/>
      <c r="AD213" s="3007"/>
      <c r="AE213" s="3007"/>
      <c r="AF213" s="3007"/>
      <c r="AG213" s="3007"/>
      <c r="AH213" s="1371"/>
      <c r="AI213" s="1371"/>
      <c r="AJ213" s="1371"/>
      <c r="AK213" s="1024"/>
    </row>
    <row r="214" spans="1:37">
      <c r="A214" s="1016"/>
      <c r="B214" s="3048" t="s">
        <v>1383</v>
      </c>
      <c r="C214" s="3048"/>
      <c r="D214" s="3048"/>
      <c r="E214" s="3048"/>
      <c r="F214" s="3048"/>
      <c r="G214" s="3048"/>
      <c r="I214" s="3013"/>
      <c r="J214" s="3013"/>
      <c r="K214" s="3013"/>
      <c r="L214" s="1811"/>
      <c r="N214" s="3010"/>
      <c r="O214" s="3010"/>
      <c r="P214" s="3010"/>
      <c r="Q214" s="3010"/>
      <c r="R214" s="3010"/>
      <c r="T214" s="3009"/>
      <c r="U214" s="3009"/>
      <c r="V214" s="3009"/>
      <c r="W214" s="3009"/>
      <c r="X214" s="3009"/>
      <c r="Y214" s="3009"/>
      <c r="Z214" s="1404"/>
      <c r="AA214" s="1404"/>
      <c r="AB214" s="3007">
        <f t="shared" si="0"/>
        <v>0</v>
      </c>
      <c r="AC214" s="3007"/>
      <c r="AD214" s="3007"/>
      <c r="AE214" s="3007"/>
      <c r="AF214" s="3007"/>
      <c r="AG214" s="3007"/>
      <c r="AH214" s="1371"/>
      <c r="AI214" s="1371"/>
      <c r="AJ214" s="1371"/>
      <c r="AK214" s="1024"/>
    </row>
    <row r="215" spans="1:37">
      <c r="A215" s="1016"/>
      <c r="B215" s="3048" t="s">
        <v>1383</v>
      </c>
      <c r="C215" s="3048"/>
      <c r="D215" s="3048"/>
      <c r="E215" s="3048"/>
      <c r="F215" s="3048"/>
      <c r="G215" s="3048"/>
      <c r="I215" s="3013"/>
      <c r="J215" s="3013"/>
      <c r="K215" s="3013"/>
      <c r="L215" s="1811"/>
      <c r="N215" s="3010"/>
      <c r="O215" s="3010"/>
      <c r="P215" s="3010"/>
      <c r="Q215" s="3010"/>
      <c r="R215" s="3010"/>
      <c r="T215" s="3009"/>
      <c r="U215" s="3009"/>
      <c r="V215" s="3009"/>
      <c r="W215" s="3009"/>
      <c r="X215" s="3009"/>
      <c r="Y215" s="3009"/>
      <c r="Z215" s="1404"/>
      <c r="AA215" s="1404"/>
      <c r="AB215" s="3007">
        <f t="shared" si="0"/>
        <v>0</v>
      </c>
      <c r="AC215" s="3007"/>
      <c r="AD215" s="3007"/>
      <c r="AE215" s="3007"/>
      <c r="AF215" s="3007"/>
      <c r="AG215" s="3007"/>
      <c r="AH215" s="1371"/>
      <c r="AI215" s="1371"/>
      <c r="AJ215" s="1371"/>
      <c r="AK215" s="1024"/>
    </row>
    <row r="216" spans="1:37">
      <c r="A216" s="1016"/>
      <c r="B216" s="3048" t="s">
        <v>1383</v>
      </c>
      <c r="C216" s="3048"/>
      <c r="D216" s="3048"/>
      <c r="E216" s="3048"/>
      <c r="F216" s="3048"/>
      <c r="G216" s="3048"/>
      <c r="I216" s="3209"/>
      <c r="J216" s="3209"/>
      <c r="K216" s="3209"/>
      <c r="L216" s="1811"/>
      <c r="N216" s="3010"/>
      <c r="O216" s="3010"/>
      <c r="P216" s="3010"/>
      <c r="Q216" s="3010"/>
      <c r="R216" s="3010"/>
      <c r="T216" s="3009"/>
      <c r="U216" s="3009"/>
      <c r="V216" s="3009"/>
      <c r="W216" s="3009"/>
      <c r="X216" s="3009"/>
      <c r="Y216" s="3009"/>
      <c r="Z216" s="1404"/>
      <c r="AA216" s="1404"/>
      <c r="AB216" s="3015">
        <f t="shared" si="0"/>
        <v>0</v>
      </c>
      <c r="AC216" s="3015"/>
      <c r="AD216" s="3015"/>
      <c r="AE216" s="3015"/>
      <c r="AF216" s="3015"/>
      <c r="AG216" s="3015"/>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07">
        <f>SUM(AB207:AB216)</f>
        <v>0</v>
      </c>
      <c r="AC217" s="3007"/>
      <c r="AD217" s="3007"/>
      <c r="AE217" s="3007"/>
      <c r="AF217" s="3007"/>
      <c r="AG217" s="3007"/>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0"/>
      <c r="AC223" s="3050"/>
      <c r="AD223" s="3050"/>
      <c r="AE223" s="3050"/>
      <c r="AF223" s="3050"/>
      <c r="AG223" s="3050"/>
      <c r="AH223" s="1024"/>
      <c r="AI223" s="1024"/>
      <c r="AJ223" s="1024"/>
      <c r="AK223" s="1024"/>
    </row>
    <row r="224" spans="1:37" ht="13">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0"/>
      <c r="AC226" s="3050"/>
      <c r="AD226" s="3050"/>
      <c r="AE226" s="3050"/>
      <c r="AF226" s="3050"/>
      <c r="AG226" s="3050"/>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6"/>
      <c r="AC227" s="3006"/>
      <c r="AD227" s="3006"/>
      <c r="AE227" s="3006"/>
      <c r="AF227" s="3006"/>
      <c r="AG227" s="3006"/>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6">
        <f>IFERROR(AB226/AB227,0)</f>
        <v>0</v>
      </c>
      <c r="AC228" s="3016"/>
      <c r="AD228" s="3016"/>
      <c r="AE228" s="3016"/>
      <c r="AF228" s="3016"/>
      <c r="AG228" s="3016"/>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4">
        <f>MAX(AB223,AB228)</f>
        <v>0</v>
      </c>
      <c r="AC230" s="3044"/>
      <c r="AD230" s="3044"/>
      <c r="AE230" s="3044"/>
      <c r="AF230" s="3044"/>
      <c r="AG230" s="3044"/>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4">
        <f>AB217+AB230</f>
        <v>0</v>
      </c>
      <c r="AC233" s="3014"/>
      <c r="AD233" s="3014"/>
      <c r="AE233" s="3014"/>
      <c r="AF233" s="3014"/>
      <c r="AG233" s="3014"/>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1">
        <v>0.05</v>
      </c>
      <c r="AC234" s="3191"/>
      <c r="AD234" s="3191"/>
      <c r="AE234" s="3191"/>
      <c r="AF234" s="3191"/>
      <c r="AG234" s="3191"/>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2">
        <f>AB233-(AB233*AB234)</f>
        <v>0</v>
      </c>
      <c r="AC235" s="3192"/>
      <c r="AD235" s="3192"/>
      <c r="AE235" s="3192"/>
      <c r="AF235" s="3192"/>
      <c r="AG235" s="3192"/>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4">
        <f>AB235/AB241</f>
        <v>0</v>
      </c>
      <c r="AC237" s="3014"/>
      <c r="AD237" s="3014"/>
      <c r="AE237" s="3014"/>
      <c r="AF237" s="3014"/>
      <c r="AG237" s="3014"/>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5">
        <v>15</v>
      </c>
      <c r="AC239" s="3205"/>
      <c r="AD239" s="3205"/>
      <c r="AE239" s="3205"/>
      <c r="AF239" s="3205"/>
      <c r="AG239" s="3205"/>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4">
        <v>0.04</v>
      </c>
      <c r="AC240" s="3194"/>
      <c r="AD240" s="3194"/>
      <c r="AE240" s="3194"/>
      <c r="AF240" s="3194"/>
      <c r="AG240" s="3194"/>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5">
        <v>1.1499999999999999</v>
      </c>
      <c r="AC241" s="3195"/>
      <c r="AD241" s="3195"/>
      <c r="AE241" s="3195"/>
      <c r="AF241" s="3195"/>
      <c r="AG241" s="3195"/>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4">
        <f>PV(AB240/12,AB239*12,-AB237/12, ,0)</f>
        <v>0</v>
      </c>
      <c r="AC243" s="3185"/>
      <c r="AD243" s="3185"/>
      <c r="AE243" s="3185"/>
      <c r="AF243" s="3185"/>
      <c r="AG243" s="3186"/>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8">
        <f>IFERROR(('Sources and Uses Budget'!D105/'Sources and Uses Budget'!B105),0)</f>
        <v>2.268047901056049E-2</v>
      </c>
      <c r="AC249" s="3189"/>
      <c r="AD249" s="3189"/>
      <c r="AE249" s="3189"/>
      <c r="AF249" s="3189"/>
      <c r="AG249" s="3190"/>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2">
        <f>AD194*(1-AB249)</f>
        <v>5863917.1259366367</v>
      </c>
      <c r="AH251" s="3022"/>
      <c r="AI251" s="3022"/>
      <c r="AJ251" s="3022"/>
      <c r="AK251" s="3022"/>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2">
        <f>'Sources and Uses Budget'!C105</f>
        <v>68974549</v>
      </c>
      <c r="AH252" s="3022"/>
      <c r="AI252" s="3022"/>
      <c r="AJ252" s="3022"/>
      <c r="AK252" s="3022"/>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0">
        <f>ROUNDDOWN(IF(AND(C274="Yes",AK72=10),((AG251*2)/AG252),AG251/AG252),2)</f>
        <v>0.08</v>
      </c>
      <c r="AH253" s="3180"/>
      <c r="AI253" s="3180"/>
      <c r="AJ253" s="3180"/>
      <c r="AK253" s="3180"/>
    </row>
    <row r="254" spans="1:39" ht="13">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73">
        <f>IF(AG253=0,0,IF((AG253*100)&gt;8,8,(AG253*100)))</f>
        <v>8</v>
      </c>
      <c r="AL256" s="3173"/>
      <c r="AM256" s="3174"/>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39" t="s">
        <v>577</v>
      </c>
      <c r="D261" s="3039"/>
      <c r="E261" s="940"/>
      <c r="F261" s="2990" t="s">
        <v>2414</v>
      </c>
      <c r="G261" s="2991"/>
      <c r="H261" s="2991"/>
      <c r="I261" s="2991"/>
      <c r="J261" s="2991"/>
      <c r="K261" s="2991"/>
      <c r="L261" s="2991"/>
      <c r="M261" s="2991"/>
      <c r="N261" s="2991"/>
      <c r="O261" s="2991"/>
      <c r="P261" s="2991"/>
      <c r="Q261" s="2991"/>
      <c r="R261" s="2991"/>
      <c r="S261" s="2991"/>
      <c r="T261" s="2991"/>
      <c r="U261" s="2991"/>
      <c r="V261" s="2991"/>
      <c r="W261" s="2991"/>
      <c r="X261" s="2991"/>
      <c r="Y261" s="2991"/>
      <c r="Z261" s="2991"/>
      <c r="AA261" s="2991"/>
      <c r="AB261" s="2991"/>
      <c r="AC261" s="2991"/>
      <c r="AD261" s="2992"/>
      <c r="AE261" s="943"/>
      <c r="AF261" s="1066"/>
      <c r="AG261" s="3178" t="s">
        <v>1633</v>
      </c>
      <c r="AH261" s="3178"/>
      <c r="AI261" s="3178"/>
      <c r="AJ261" s="3178"/>
      <c r="AK261" s="1026"/>
      <c r="AL261" s="1026"/>
      <c r="AM261" s="1026"/>
      <c r="AN261" s="1061"/>
      <c r="AO261" s="943"/>
      <c r="AS261" s="21"/>
      <c r="AT261" s="21"/>
    </row>
    <row r="262" spans="1:81" ht="13.75" customHeight="1">
      <c r="A262" s="1060"/>
      <c r="B262" s="1065"/>
      <c r="C262" s="1067"/>
      <c r="D262" s="943"/>
      <c r="E262" s="940"/>
      <c r="F262" s="2993"/>
      <c r="G262" s="2994"/>
      <c r="H262" s="2994"/>
      <c r="I262" s="2994"/>
      <c r="J262" s="2994"/>
      <c r="K262" s="2994"/>
      <c r="L262" s="2994"/>
      <c r="M262" s="2994"/>
      <c r="N262" s="2994"/>
      <c r="O262" s="2994"/>
      <c r="P262" s="2994"/>
      <c r="Q262" s="2994"/>
      <c r="R262" s="2994"/>
      <c r="S262" s="2994"/>
      <c r="T262" s="2994"/>
      <c r="U262" s="2994"/>
      <c r="V262" s="2994"/>
      <c r="W262" s="2994"/>
      <c r="X262" s="2994"/>
      <c r="Y262" s="2994"/>
      <c r="Z262" s="2994"/>
      <c r="AA262" s="2994"/>
      <c r="AB262" s="2994"/>
      <c r="AC262" s="2994"/>
      <c r="AD262" s="2995"/>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3"/>
      <c r="G263" s="2994"/>
      <c r="H263" s="2994"/>
      <c r="I263" s="2994"/>
      <c r="J263" s="2994"/>
      <c r="K263" s="2994"/>
      <c r="L263" s="2994"/>
      <c r="M263" s="2994"/>
      <c r="N263" s="2994"/>
      <c r="O263" s="2994"/>
      <c r="P263" s="2994"/>
      <c r="Q263" s="2994"/>
      <c r="R263" s="2994"/>
      <c r="S263" s="2994"/>
      <c r="T263" s="2994"/>
      <c r="U263" s="2994"/>
      <c r="V263" s="2994"/>
      <c r="W263" s="2994"/>
      <c r="X263" s="2994"/>
      <c r="Y263" s="2994"/>
      <c r="Z263" s="2994"/>
      <c r="AA263" s="2994"/>
      <c r="AB263" s="2994"/>
      <c r="AC263" s="2994"/>
      <c r="AD263" s="2995"/>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179"/>
      <c r="D264" s="3179"/>
      <c r="E264" s="940"/>
      <c r="F264" s="2996"/>
      <c r="G264" s="2997"/>
      <c r="H264" s="2997"/>
      <c r="I264" s="2997"/>
      <c r="J264" s="2997"/>
      <c r="K264" s="2997"/>
      <c r="L264" s="2997"/>
      <c r="M264" s="2997"/>
      <c r="N264" s="2997"/>
      <c r="O264" s="2997"/>
      <c r="P264" s="2997"/>
      <c r="Q264" s="2997"/>
      <c r="R264" s="2997"/>
      <c r="S264" s="2997"/>
      <c r="T264" s="2997"/>
      <c r="U264" s="2997"/>
      <c r="V264" s="2997"/>
      <c r="W264" s="2997"/>
      <c r="X264" s="2997"/>
      <c r="Y264" s="2997"/>
      <c r="Z264" s="2997"/>
      <c r="AA264" s="2997"/>
      <c r="AB264" s="2997"/>
      <c r="AC264" s="2997"/>
      <c r="AD264" s="2998"/>
      <c r="AE264" s="943"/>
      <c r="AF264" s="1066"/>
      <c r="AG264" s="3178"/>
      <c r="AH264" s="3178"/>
      <c r="AI264" s="3178"/>
      <c r="AJ264" s="3178"/>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73">
        <f>IF($C$261="yes",10,0)</f>
        <v>10</v>
      </c>
      <c r="AL267" s="3173"/>
      <c r="AM267" s="3174"/>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1650</v>
      </c>
      <c r="B270" s="988" t="s">
        <v>2380</v>
      </c>
      <c r="AH270" s="1034" t="s">
        <v>1563</v>
      </c>
    </row>
    <row r="271" spans="1:81" ht="15" customHeight="1">
      <c r="B271" s="932" t="s">
        <v>2379</v>
      </c>
    </row>
    <row r="272" spans="1:81" ht="15" customHeight="1">
      <c r="B272" s="932" t="s">
        <v>2381</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1" t="s">
        <v>1652</v>
      </c>
      <c r="B274" s="3151"/>
      <c r="C274" s="3039" t="s">
        <v>625</v>
      </c>
      <c r="D274" s="3039"/>
      <c r="E274" s="940"/>
      <c r="F274" s="3175" t="s">
        <v>1653</v>
      </c>
      <c r="G274" s="3176"/>
      <c r="H274" s="3176"/>
      <c r="I274" s="3176"/>
      <c r="J274" s="3176"/>
      <c r="K274" s="3176"/>
      <c r="L274" s="3176"/>
      <c r="M274" s="3176"/>
      <c r="N274" s="3176"/>
      <c r="O274" s="3176"/>
      <c r="P274" s="3176"/>
      <c r="Q274" s="3176"/>
      <c r="R274" s="3176"/>
      <c r="S274" s="3176"/>
      <c r="T274" s="3176"/>
      <c r="U274" s="3176"/>
      <c r="V274" s="3176"/>
      <c r="W274" s="3176"/>
      <c r="X274" s="3176"/>
      <c r="Y274" s="3176"/>
      <c r="Z274" s="3176"/>
      <c r="AA274" s="3176"/>
      <c r="AB274" s="3176"/>
      <c r="AC274" s="3176"/>
      <c r="AD274" s="3177"/>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168"/>
      <c r="G275" s="3043"/>
      <c r="H275" s="3043"/>
      <c r="I275" s="3043"/>
      <c r="J275" s="3043"/>
      <c r="K275" s="3043"/>
      <c r="L275" s="3043"/>
      <c r="M275" s="3043"/>
      <c r="N275" s="3043"/>
      <c r="O275" s="3043"/>
      <c r="P275" s="3043"/>
      <c r="Q275" s="3043"/>
      <c r="R275" s="3043"/>
      <c r="S275" s="3043"/>
      <c r="T275" s="3043"/>
      <c r="U275" s="3043"/>
      <c r="V275" s="3043"/>
      <c r="W275" s="3043"/>
      <c r="X275" s="3043"/>
      <c r="Y275" s="3043"/>
      <c r="Z275" s="3043"/>
      <c r="AA275" s="3043"/>
      <c r="AB275" s="3043"/>
      <c r="AC275" s="3043"/>
      <c r="AD275" s="3169"/>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8"/>
      <c r="G276" s="3043"/>
      <c r="H276" s="3043"/>
      <c r="I276" s="3043"/>
      <c r="J276" s="3043"/>
      <c r="K276" s="3043"/>
      <c r="L276" s="3043"/>
      <c r="M276" s="3043"/>
      <c r="N276" s="3043"/>
      <c r="O276" s="3043"/>
      <c r="P276" s="3043"/>
      <c r="Q276" s="3043"/>
      <c r="R276" s="3043"/>
      <c r="S276" s="3043"/>
      <c r="T276" s="3043"/>
      <c r="U276" s="3043"/>
      <c r="V276" s="3043"/>
      <c r="W276" s="3043"/>
      <c r="X276" s="3043"/>
      <c r="Y276" s="3043"/>
      <c r="Z276" s="3043"/>
      <c r="AA276" s="3043"/>
      <c r="AB276" s="3043"/>
      <c r="AC276" s="3043"/>
      <c r="AD276" s="3169"/>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8" t="s">
        <v>1655</v>
      </c>
      <c r="G277" s="3043"/>
      <c r="H277" s="3043"/>
      <c r="I277" s="3043"/>
      <c r="J277" s="3043"/>
      <c r="K277" s="3043"/>
      <c r="L277" s="3043"/>
      <c r="M277" s="3043"/>
      <c r="N277" s="3043"/>
      <c r="O277" s="3043"/>
      <c r="P277" s="3043"/>
      <c r="Q277" s="3043"/>
      <c r="R277" s="3043"/>
      <c r="S277" s="3043"/>
      <c r="T277" s="3043"/>
      <c r="U277" s="3043"/>
      <c r="V277" s="3043"/>
      <c r="W277" s="3043"/>
      <c r="X277" s="3043"/>
      <c r="Y277" s="3043"/>
      <c r="Z277" s="3043"/>
      <c r="AA277" s="3043"/>
      <c r="AB277" s="3043"/>
      <c r="AC277" s="3043"/>
      <c r="AD277" s="3169"/>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
      <c r="A278" s="1074"/>
      <c r="B278" s="1065"/>
      <c r="F278" s="3168"/>
      <c r="G278" s="3043"/>
      <c r="H278" s="3043"/>
      <c r="I278" s="3043"/>
      <c r="J278" s="3043"/>
      <c r="K278" s="3043"/>
      <c r="L278" s="3043"/>
      <c r="M278" s="3043"/>
      <c r="N278" s="3043"/>
      <c r="O278" s="3043"/>
      <c r="P278" s="3043"/>
      <c r="Q278" s="3043"/>
      <c r="R278" s="3043"/>
      <c r="S278" s="3043"/>
      <c r="T278" s="3043"/>
      <c r="U278" s="3043"/>
      <c r="V278" s="3043"/>
      <c r="W278" s="3043"/>
      <c r="X278" s="3043"/>
      <c r="Y278" s="3043"/>
      <c r="Z278" s="3043"/>
      <c r="AA278" s="3043"/>
      <c r="AB278" s="3043"/>
      <c r="AC278" s="3043"/>
      <c r="AD278" s="3169"/>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68" t="s">
        <v>1656</v>
      </c>
      <c r="G279" s="3043"/>
      <c r="H279" s="3043"/>
      <c r="I279" s="3043"/>
      <c r="J279" s="3043"/>
      <c r="K279" s="3043"/>
      <c r="L279" s="3043"/>
      <c r="M279" s="3043"/>
      <c r="N279" s="3043"/>
      <c r="O279" s="3043"/>
      <c r="P279" s="3043"/>
      <c r="Q279" s="3043"/>
      <c r="R279" s="3043"/>
      <c r="S279" s="3043"/>
      <c r="T279" s="3043"/>
      <c r="U279" s="3043"/>
      <c r="V279" s="3043"/>
      <c r="W279" s="3043"/>
      <c r="X279" s="3043"/>
      <c r="Y279" s="3043"/>
      <c r="Z279" s="3043"/>
      <c r="AA279" s="3043"/>
      <c r="AB279" s="3043"/>
      <c r="AC279" s="3043"/>
      <c r="AD279" s="3169"/>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68"/>
      <c r="G280" s="3043"/>
      <c r="H280" s="3043"/>
      <c r="I280" s="3043"/>
      <c r="J280" s="3043"/>
      <c r="K280" s="3043"/>
      <c r="L280" s="3043"/>
      <c r="M280" s="3043"/>
      <c r="N280" s="3043"/>
      <c r="O280" s="3043"/>
      <c r="P280" s="3043"/>
      <c r="Q280" s="3043"/>
      <c r="R280" s="3043"/>
      <c r="S280" s="3043"/>
      <c r="T280" s="3043"/>
      <c r="U280" s="3043"/>
      <c r="V280" s="3043"/>
      <c r="W280" s="3043"/>
      <c r="X280" s="3043"/>
      <c r="Y280" s="3043"/>
      <c r="Z280" s="3043"/>
      <c r="AA280" s="3043"/>
      <c r="AB280" s="3043"/>
      <c r="AC280" s="3043"/>
      <c r="AD280" s="3169"/>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8" t="s">
        <v>1657</v>
      </c>
      <c r="G281" s="3043"/>
      <c r="H281" s="3043"/>
      <c r="I281" s="3043"/>
      <c r="J281" s="3043"/>
      <c r="K281" s="3043"/>
      <c r="L281" s="3043"/>
      <c r="M281" s="3043"/>
      <c r="N281" s="3043"/>
      <c r="O281" s="3043"/>
      <c r="P281" s="3043"/>
      <c r="Q281" s="3043"/>
      <c r="R281" s="3043"/>
      <c r="S281" s="3043"/>
      <c r="T281" s="3043"/>
      <c r="U281" s="3043"/>
      <c r="V281" s="3043"/>
      <c r="W281" s="3043"/>
      <c r="X281" s="3043"/>
      <c r="Y281" s="3043"/>
      <c r="Z281" s="3043"/>
      <c r="AA281" s="3043"/>
      <c r="AB281" s="3043"/>
      <c r="AC281" s="3043"/>
      <c r="AD281" s="3169"/>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0"/>
      <c r="G282" s="3171"/>
      <c r="H282" s="3171"/>
      <c r="I282" s="3171"/>
      <c r="J282" s="3171"/>
      <c r="K282" s="3171"/>
      <c r="L282" s="3171"/>
      <c r="M282" s="3171"/>
      <c r="N282" s="3171"/>
      <c r="O282" s="3171"/>
      <c r="P282" s="3171"/>
      <c r="Q282" s="3171"/>
      <c r="R282" s="3171"/>
      <c r="S282" s="3171"/>
      <c r="T282" s="3171"/>
      <c r="U282" s="3171"/>
      <c r="V282" s="3171"/>
      <c r="W282" s="3171"/>
      <c r="X282" s="3171"/>
      <c r="Y282" s="3171"/>
      <c r="Z282" s="3171"/>
      <c r="AA282" s="3171"/>
      <c r="AB282" s="3171"/>
      <c r="AC282" s="3171"/>
      <c r="AD282" s="3172"/>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1" t="s">
        <v>1658</v>
      </c>
      <c r="B284" s="3151"/>
      <c r="C284" s="3039" t="s">
        <v>625</v>
      </c>
      <c r="D284" s="3039"/>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68" t="s">
        <v>1661</v>
      </c>
      <c r="G285" s="3043"/>
      <c r="H285" s="3043"/>
      <c r="I285" s="3043"/>
      <c r="J285" s="3043"/>
      <c r="K285" s="3043"/>
      <c r="L285" s="3043"/>
      <c r="M285" s="3043"/>
      <c r="N285" s="3043"/>
      <c r="O285" s="3043"/>
      <c r="P285" s="3043"/>
      <c r="Q285" s="3043"/>
      <c r="R285" s="3043"/>
      <c r="S285" s="3043"/>
      <c r="T285" s="3043"/>
      <c r="U285" s="3043"/>
      <c r="V285" s="3043"/>
      <c r="W285" s="3043"/>
      <c r="X285" s="3043"/>
      <c r="Y285" s="3043"/>
      <c r="Z285" s="3043"/>
      <c r="AA285" s="3043"/>
      <c r="AB285" s="3043"/>
      <c r="AC285" s="3043"/>
      <c r="AD285" s="3169"/>
      <c r="AE285" s="944"/>
      <c r="AF285" s="944"/>
      <c r="AG285" s="944"/>
      <c r="AH285" s="944"/>
      <c r="AI285" s="944"/>
      <c r="AJ285" s="943"/>
      <c r="AK285" s="1026"/>
      <c r="AL285" s="1026"/>
      <c r="AM285" s="1026"/>
      <c r="AR285" s="1086"/>
    </row>
    <row r="286" spans="1:53" ht="15" customHeight="1">
      <c r="A286" s="1060"/>
      <c r="B286" s="944"/>
      <c r="C286" s="943"/>
      <c r="D286" s="944"/>
      <c r="E286" s="943"/>
      <c r="F286" s="3168"/>
      <c r="G286" s="3043"/>
      <c r="H286" s="3043"/>
      <c r="I286" s="3043"/>
      <c r="J286" s="3043"/>
      <c r="K286" s="3043"/>
      <c r="L286" s="3043"/>
      <c r="M286" s="3043"/>
      <c r="N286" s="3043"/>
      <c r="O286" s="3043"/>
      <c r="P286" s="3043"/>
      <c r="Q286" s="3043"/>
      <c r="R286" s="3043"/>
      <c r="S286" s="3043"/>
      <c r="T286" s="3043"/>
      <c r="U286" s="3043"/>
      <c r="V286" s="3043"/>
      <c r="W286" s="3043"/>
      <c r="X286" s="3043"/>
      <c r="Y286" s="3043"/>
      <c r="Z286" s="3043"/>
      <c r="AA286" s="3043"/>
      <c r="AB286" s="3043"/>
      <c r="AC286" s="3043"/>
      <c r="AD286" s="3169"/>
      <c r="AE286" s="944"/>
      <c r="AF286" s="944"/>
      <c r="AG286" s="944"/>
      <c r="AH286" s="944"/>
      <c r="AI286" s="944"/>
      <c r="AJ286" s="943"/>
      <c r="AK286" s="1026"/>
      <c r="AL286" s="1026"/>
      <c r="AM286" s="1026"/>
      <c r="AR286" s="1086"/>
    </row>
    <row r="287" spans="1:53">
      <c r="A287" s="1060"/>
      <c r="B287" s="944"/>
      <c r="C287" s="943"/>
      <c r="D287" s="944"/>
      <c r="E287" s="943"/>
      <c r="F287" s="3168" t="s">
        <v>1656</v>
      </c>
      <c r="G287" s="3043"/>
      <c r="H287" s="3043"/>
      <c r="I287" s="3043"/>
      <c r="J287" s="3043"/>
      <c r="K287" s="3043"/>
      <c r="L287" s="3043"/>
      <c r="M287" s="3043"/>
      <c r="N287" s="3043"/>
      <c r="O287" s="3043"/>
      <c r="P287" s="3043"/>
      <c r="Q287" s="3043"/>
      <c r="R287" s="3043"/>
      <c r="S287" s="3043"/>
      <c r="T287" s="3043"/>
      <c r="U287" s="3043"/>
      <c r="V287" s="3043"/>
      <c r="W287" s="3043"/>
      <c r="X287" s="3043"/>
      <c r="Y287" s="3043"/>
      <c r="Z287" s="3043"/>
      <c r="AA287" s="3043"/>
      <c r="AB287" s="3043"/>
      <c r="AC287" s="3043"/>
      <c r="AD287" s="3169"/>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8"/>
      <c r="G288" s="3043"/>
      <c r="H288" s="3043"/>
      <c r="I288" s="3043"/>
      <c r="J288" s="3043"/>
      <c r="K288" s="3043"/>
      <c r="L288" s="3043"/>
      <c r="M288" s="3043"/>
      <c r="N288" s="3043"/>
      <c r="O288" s="3043"/>
      <c r="P288" s="3043"/>
      <c r="Q288" s="3043"/>
      <c r="R288" s="3043"/>
      <c r="S288" s="3043"/>
      <c r="T288" s="3043"/>
      <c r="U288" s="3043"/>
      <c r="V288" s="3043"/>
      <c r="W288" s="3043"/>
      <c r="X288" s="3043"/>
      <c r="Y288" s="3043"/>
      <c r="Z288" s="3043"/>
      <c r="AA288" s="3043"/>
      <c r="AB288" s="3043"/>
      <c r="AC288" s="3043"/>
      <c r="AD288" s="3169"/>
      <c r="AE288" s="944"/>
      <c r="AF288" s="944"/>
      <c r="AG288" s="944"/>
      <c r="AH288" s="944"/>
      <c r="AI288" s="944"/>
      <c r="AJ288" s="943"/>
      <c r="AK288" s="1026"/>
      <c r="AL288" s="1026"/>
      <c r="AM288" s="1026"/>
      <c r="AP288" s="1079"/>
      <c r="AQ288" s="968"/>
      <c r="AR288" s="1086"/>
    </row>
    <row r="289" spans="1:60">
      <c r="A289" s="1060"/>
      <c r="B289" s="944"/>
      <c r="C289" s="943"/>
      <c r="D289" s="944"/>
      <c r="E289" s="943"/>
      <c r="F289" s="3168" t="s">
        <v>1662</v>
      </c>
      <c r="G289" s="3043"/>
      <c r="H289" s="3043"/>
      <c r="I289" s="3043"/>
      <c r="J289" s="3043"/>
      <c r="K289" s="3043"/>
      <c r="L289" s="3043"/>
      <c r="M289" s="3043"/>
      <c r="N289" s="3043"/>
      <c r="O289" s="3043"/>
      <c r="P289" s="3043"/>
      <c r="Q289" s="3043"/>
      <c r="R289" s="3043"/>
      <c r="S289" s="3043"/>
      <c r="T289" s="3043"/>
      <c r="U289" s="3043"/>
      <c r="V289" s="3043"/>
      <c r="W289" s="3043"/>
      <c r="X289" s="3043"/>
      <c r="Y289" s="3043"/>
      <c r="Z289" s="3043"/>
      <c r="AA289" s="3043"/>
      <c r="AB289" s="3043"/>
      <c r="AC289" s="3043"/>
      <c r="AD289" s="3169"/>
      <c r="AE289" s="944"/>
      <c r="AF289" s="944"/>
      <c r="AG289" s="944"/>
      <c r="AH289" s="944"/>
      <c r="AI289" s="944"/>
      <c r="AJ289" s="943"/>
      <c r="AK289" s="1026"/>
      <c r="AL289" s="1026"/>
      <c r="AM289" s="1026"/>
      <c r="AP289" s="1079"/>
      <c r="AQ289" s="968"/>
      <c r="AR289" s="1086"/>
    </row>
    <row r="290" spans="1:60">
      <c r="A290" s="1060"/>
      <c r="B290" s="944"/>
      <c r="C290" s="943"/>
      <c r="D290" s="944"/>
      <c r="E290" s="943"/>
      <c r="F290" s="3170"/>
      <c r="G290" s="3171"/>
      <c r="H290" s="3171"/>
      <c r="I290" s="3171"/>
      <c r="J290" s="3171"/>
      <c r="K290" s="3171"/>
      <c r="L290" s="3171"/>
      <c r="M290" s="3171"/>
      <c r="N290" s="3171"/>
      <c r="O290" s="3171"/>
      <c r="P290" s="3171"/>
      <c r="Q290" s="3171"/>
      <c r="R290" s="3171"/>
      <c r="S290" s="3171"/>
      <c r="T290" s="3171"/>
      <c r="U290" s="3171"/>
      <c r="V290" s="3171"/>
      <c r="W290" s="3171"/>
      <c r="X290" s="3171"/>
      <c r="Y290" s="3171"/>
      <c r="Z290" s="3171"/>
      <c r="AA290" s="3171"/>
      <c r="AB290" s="3171"/>
      <c r="AC290" s="3171"/>
      <c r="AD290" s="3172"/>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151" t="s">
        <v>1663</v>
      </c>
      <c r="B292" s="3151"/>
      <c r="C292" s="3039" t="s">
        <v>625</v>
      </c>
      <c r="D292" s="3039"/>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ht="13">
      <c r="A293" s="1796"/>
      <c r="B293" s="1796"/>
      <c r="C293" s="1792"/>
      <c r="D293" s="1792"/>
      <c r="E293" s="940"/>
      <c r="F293" s="3168" t="s">
        <v>1664</v>
      </c>
      <c r="G293" s="3043"/>
      <c r="H293" s="3043"/>
      <c r="I293" s="3043"/>
      <c r="J293" s="3043"/>
      <c r="K293" s="3043"/>
      <c r="L293" s="3043"/>
      <c r="M293" s="3043"/>
      <c r="N293" s="3043"/>
      <c r="O293" s="3043"/>
      <c r="P293" s="3043"/>
      <c r="Q293" s="3043"/>
      <c r="R293" s="3043"/>
      <c r="S293" s="3043"/>
      <c r="T293" s="3043"/>
      <c r="U293" s="3043"/>
      <c r="V293" s="3043"/>
      <c r="W293" s="3043"/>
      <c r="X293" s="3043"/>
      <c r="Y293" s="3043"/>
      <c r="Z293" s="3043"/>
      <c r="AA293" s="3043"/>
      <c r="AB293" s="3043"/>
      <c r="AC293" s="3043"/>
      <c r="AD293" s="3169"/>
      <c r="AE293" s="944"/>
      <c r="AF293" s="944"/>
      <c r="AG293" s="1012"/>
      <c r="AH293" s="944"/>
      <c r="AI293" s="944"/>
      <c r="AJ293" s="943"/>
      <c r="AK293" s="1026"/>
      <c r="AL293" s="1026"/>
      <c r="AM293" s="1026"/>
      <c r="AN293" s="110"/>
      <c r="AO293" s="51"/>
      <c r="AP293" s="950" t="s">
        <v>1383</v>
      </c>
      <c r="AR293" s="21"/>
    </row>
    <row r="294" spans="1:60" s="21" customFormat="1">
      <c r="F294" s="3168"/>
      <c r="G294" s="3043"/>
      <c r="H294" s="3043"/>
      <c r="I294" s="3043"/>
      <c r="J294" s="3043"/>
      <c r="K294" s="3043"/>
      <c r="L294" s="3043"/>
      <c r="M294" s="3043"/>
      <c r="N294" s="3043"/>
      <c r="O294" s="3043"/>
      <c r="P294" s="3043"/>
      <c r="Q294" s="3043"/>
      <c r="R294" s="3043"/>
      <c r="S294" s="3043"/>
      <c r="T294" s="3043"/>
      <c r="U294" s="3043"/>
      <c r="V294" s="3043"/>
      <c r="W294" s="3043"/>
      <c r="X294" s="3043"/>
      <c r="Y294" s="3043"/>
      <c r="Z294" s="3043"/>
      <c r="AA294" s="3043"/>
      <c r="AB294" s="3043"/>
      <c r="AC294" s="3043"/>
      <c r="AD294" s="3169"/>
      <c r="AE294" s="944"/>
      <c r="AF294" s="944"/>
      <c r="AH294" s="944"/>
      <c r="AI294" s="944"/>
      <c r="AJ294" s="1089"/>
      <c r="AK294" s="1060"/>
      <c r="AL294" s="1060"/>
      <c r="AM294" s="1060"/>
      <c r="AN294" s="1090"/>
      <c r="AP294" s="1091" t="s">
        <v>2228</v>
      </c>
      <c r="BD294" s="1092"/>
      <c r="BE294" s="1092"/>
      <c r="BF294" s="1092"/>
      <c r="BG294" s="1092"/>
      <c r="BH294" s="1092"/>
    </row>
    <row r="295" spans="1:60" ht="13">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ht="13">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8" t="s">
        <v>1383</v>
      </c>
      <c r="G298" s="3159"/>
      <c r="H298" s="3159"/>
      <c r="I298" s="3159"/>
      <c r="J298" s="3159"/>
      <c r="K298" s="3159"/>
      <c r="L298" s="3159"/>
      <c r="M298" s="3159"/>
      <c r="N298" s="3159"/>
      <c r="O298" s="3159"/>
      <c r="P298" s="3159"/>
      <c r="Q298" s="3159"/>
      <c r="R298" s="3159"/>
      <c r="S298" s="3159"/>
      <c r="T298" s="3159"/>
      <c r="U298" s="3159"/>
      <c r="V298" s="3159"/>
      <c r="W298" s="3159"/>
      <c r="X298" s="3159"/>
      <c r="Y298" s="3159"/>
      <c r="Z298" s="3159"/>
      <c r="AA298" s="3159"/>
      <c r="AB298" s="3159"/>
      <c r="AC298" s="3159"/>
      <c r="AD298" s="3160"/>
      <c r="AE298" s="1078"/>
      <c r="AF298" s="1078"/>
      <c r="AG298" s="1078"/>
      <c r="AH298" s="1078"/>
      <c r="AI298" s="1078"/>
      <c r="AJ298" s="1078"/>
      <c r="AK298" s="1078"/>
      <c r="AL298" s="1026"/>
      <c r="AM298" s="1026"/>
      <c r="AN298" s="110"/>
      <c r="AO298" s="51"/>
      <c r="AP298" s="126"/>
      <c r="AR298" s="21"/>
    </row>
    <row r="299" spans="1:60" ht="13">
      <c r="A299" s="1060"/>
      <c r="B299" s="944"/>
      <c r="C299" s="1792"/>
      <c r="D299" s="1792"/>
      <c r="E299" s="940"/>
      <c r="F299" s="3158"/>
      <c r="G299" s="3159"/>
      <c r="H299" s="3159"/>
      <c r="I299" s="3159"/>
      <c r="J299" s="3159"/>
      <c r="K299" s="3159"/>
      <c r="L299" s="3159"/>
      <c r="M299" s="3159"/>
      <c r="N299" s="3159"/>
      <c r="O299" s="3159"/>
      <c r="P299" s="3159"/>
      <c r="Q299" s="3159"/>
      <c r="R299" s="3159"/>
      <c r="S299" s="3159"/>
      <c r="T299" s="3159"/>
      <c r="U299" s="3159"/>
      <c r="V299" s="3159"/>
      <c r="W299" s="3159"/>
      <c r="X299" s="3159"/>
      <c r="Y299" s="3159"/>
      <c r="Z299" s="3159"/>
      <c r="AA299" s="3159"/>
      <c r="AB299" s="3159"/>
      <c r="AC299" s="3159"/>
      <c r="AD299" s="3160"/>
      <c r="AE299" s="944"/>
      <c r="AF299" s="944"/>
      <c r="AG299" s="986"/>
      <c r="AH299" s="944"/>
      <c r="AI299" s="944"/>
      <c r="AJ299" s="1026"/>
      <c r="AK299" s="1026"/>
      <c r="AL299" s="1026"/>
      <c r="AM299" s="1026"/>
      <c r="AN299" s="110"/>
      <c r="AO299" s="51"/>
      <c r="AP299" s="126"/>
      <c r="AR299" s="21"/>
    </row>
    <row r="300" spans="1:60" ht="13">
      <c r="A300" s="1060"/>
      <c r="B300" s="944"/>
      <c r="C300" s="1792"/>
      <c r="D300" s="1792"/>
      <c r="E300" s="940"/>
      <c r="F300" s="3158"/>
      <c r="G300" s="3159"/>
      <c r="H300" s="3159"/>
      <c r="I300" s="3159"/>
      <c r="J300" s="3159"/>
      <c r="K300" s="3159"/>
      <c r="L300" s="3159"/>
      <c r="M300" s="3159"/>
      <c r="N300" s="3159"/>
      <c r="O300" s="3159"/>
      <c r="P300" s="3159"/>
      <c r="Q300" s="3159"/>
      <c r="R300" s="3159"/>
      <c r="S300" s="3159"/>
      <c r="T300" s="3159"/>
      <c r="U300" s="3159"/>
      <c r="V300" s="3159"/>
      <c r="W300" s="3159"/>
      <c r="X300" s="3159"/>
      <c r="Y300" s="3159"/>
      <c r="Z300" s="3159"/>
      <c r="AA300" s="3159"/>
      <c r="AB300" s="3159"/>
      <c r="AC300" s="3159"/>
      <c r="AD300" s="3160"/>
      <c r="AE300" s="944"/>
      <c r="AF300" s="944"/>
      <c r="AG300" s="986"/>
      <c r="AH300" s="944"/>
      <c r="AI300" s="944"/>
      <c r="AJ300" s="1026"/>
      <c r="AK300" s="1026"/>
      <c r="AL300" s="1026"/>
      <c r="AM300" s="1026"/>
      <c r="AN300" s="110"/>
      <c r="AO300" s="51"/>
      <c r="AP300" s="126"/>
      <c r="AR300" s="21"/>
    </row>
    <row r="301" spans="1:60" ht="13">
      <c r="A301" s="1060"/>
      <c r="B301" s="944"/>
      <c r="C301" s="1792"/>
      <c r="D301" s="1792"/>
      <c r="E301" s="940"/>
      <c r="F301" s="3158"/>
      <c r="G301" s="3159"/>
      <c r="H301" s="3159"/>
      <c r="I301" s="3159"/>
      <c r="J301" s="3159"/>
      <c r="K301" s="3159"/>
      <c r="L301" s="3159"/>
      <c r="M301" s="3159"/>
      <c r="N301" s="3159"/>
      <c r="O301" s="3159"/>
      <c r="P301" s="3159"/>
      <c r="Q301" s="3159"/>
      <c r="R301" s="3159"/>
      <c r="S301" s="3159"/>
      <c r="T301" s="3159"/>
      <c r="U301" s="3159"/>
      <c r="V301" s="3159"/>
      <c r="W301" s="3159"/>
      <c r="X301" s="3159"/>
      <c r="Y301" s="3159"/>
      <c r="Z301" s="3159"/>
      <c r="AA301" s="3159"/>
      <c r="AB301" s="3159"/>
      <c r="AC301" s="3159"/>
      <c r="AD301" s="3160"/>
      <c r="AE301" s="944"/>
      <c r="AF301" s="944"/>
      <c r="AG301" s="986"/>
      <c r="AH301" s="944"/>
      <c r="AI301" s="944"/>
      <c r="AJ301" s="1026"/>
      <c r="AK301" s="1026"/>
      <c r="AL301" s="1026"/>
      <c r="AM301" s="1026"/>
      <c r="AN301" s="110"/>
      <c r="AO301" s="51"/>
      <c r="AP301" s="126"/>
      <c r="AR301" s="21"/>
    </row>
    <row r="302" spans="1:60" ht="13">
      <c r="A302" s="1060"/>
      <c r="B302" s="944"/>
      <c r="C302" s="1792"/>
      <c r="D302" s="1792"/>
      <c r="E302" s="940"/>
      <c r="F302" s="3161"/>
      <c r="G302" s="3162"/>
      <c r="H302" s="3162"/>
      <c r="I302" s="3162"/>
      <c r="J302" s="3162"/>
      <c r="K302" s="3162"/>
      <c r="L302" s="3162"/>
      <c r="M302" s="3162"/>
      <c r="N302" s="3162"/>
      <c r="O302" s="3162"/>
      <c r="P302" s="3162"/>
      <c r="Q302" s="3162"/>
      <c r="R302" s="3162"/>
      <c r="S302" s="3162"/>
      <c r="T302" s="3162"/>
      <c r="U302" s="3162"/>
      <c r="V302" s="3162"/>
      <c r="W302" s="3162"/>
      <c r="X302" s="3162"/>
      <c r="Y302" s="3162"/>
      <c r="Z302" s="3162"/>
      <c r="AA302" s="3162"/>
      <c r="AB302" s="3162"/>
      <c r="AC302" s="3162"/>
      <c r="AD302" s="3163"/>
      <c r="AE302" s="944"/>
      <c r="AF302" s="944"/>
      <c r="AG302" s="986"/>
      <c r="AH302" s="944"/>
      <c r="AI302" s="944"/>
      <c r="AJ302" s="1025"/>
      <c r="AK302" s="1026"/>
      <c r="AL302" s="1026"/>
      <c r="AM302" s="1026"/>
      <c r="AN302" s="110"/>
      <c r="AO302" s="51"/>
      <c r="AP302" s="126"/>
      <c r="AR302" s="21"/>
    </row>
    <row r="303" spans="1:60" s="56" customFormat="1" ht="13">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ht="13">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64" t="s">
        <v>1383</v>
      </c>
      <c r="J306" s="3164"/>
      <c r="K306" s="3164"/>
      <c r="L306" s="3164"/>
      <c r="M306" s="3164"/>
      <c r="N306" s="3164"/>
      <c r="O306" s="3164"/>
      <c r="P306" s="3164"/>
      <c r="Q306" s="3164"/>
      <c r="R306" s="3164"/>
      <c r="S306" s="3164"/>
      <c r="T306" s="3164"/>
      <c r="U306" s="3164"/>
      <c r="V306" s="3164"/>
      <c r="W306" s="3164"/>
      <c r="X306" s="3164"/>
      <c r="Y306" s="3164"/>
      <c r="Z306" s="3164"/>
      <c r="AA306" s="3164"/>
      <c r="AB306" s="3164"/>
      <c r="AC306" s="3164"/>
      <c r="AD306" s="3165"/>
      <c r="AE306" s="944"/>
      <c r="AF306" s="944"/>
      <c r="AG306" s="986"/>
      <c r="AH306" s="944"/>
      <c r="AI306" s="944"/>
      <c r="AJ306" s="943"/>
      <c r="AK306" s="1026"/>
      <c r="AL306" s="1026"/>
      <c r="AM306" s="1026"/>
      <c r="AN306" s="110"/>
      <c r="AO306" s="51"/>
      <c r="AP306" s="950" t="s">
        <v>1988</v>
      </c>
      <c r="AR306" s="21"/>
    </row>
    <row r="307" spans="1:60" ht="13">
      <c r="A307" s="1060"/>
      <c r="B307" s="944"/>
      <c r="C307" s="1792"/>
      <c r="D307" s="1792"/>
      <c r="E307" s="940"/>
      <c r="F307" s="1098"/>
      <c r="G307" s="969"/>
      <c r="H307" s="969"/>
      <c r="I307" s="3164"/>
      <c r="J307" s="3164"/>
      <c r="K307" s="3164"/>
      <c r="L307" s="3164"/>
      <c r="M307" s="3164"/>
      <c r="N307" s="3164"/>
      <c r="O307" s="3164"/>
      <c r="P307" s="3164"/>
      <c r="Q307" s="3164"/>
      <c r="R307" s="3164"/>
      <c r="S307" s="3164"/>
      <c r="T307" s="3164"/>
      <c r="U307" s="3164"/>
      <c r="V307" s="3164"/>
      <c r="W307" s="3164"/>
      <c r="X307" s="3164"/>
      <c r="Y307" s="3164"/>
      <c r="Z307" s="3164"/>
      <c r="AA307" s="3164"/>
      <c r="AB307" s="3164"/>
      <c r="AC307" s="3164"/>
      <c r="AD307" s="3165"/>
      <c r="AE307" s="944"/>
      <c r="AF307" s="944"/>
      <c r="AG307" s="986"/>
      <c r="AH307" s="944"/>
      <c r="AI307" s="944"/>
      <c r="AJ307" s="943"/>
      <c r="AK307" s="1026"/>
      <c r="AL307" s="1026"/>
      <c r="AM307" s="1026"/>
      <c r="AN307" s="110"/>
      <c r="AO307" s="51"/>
      <c r="AP307" s="950" t="s">
        <v>2231</v>
      </c>
      <c r="AR307" s="21"/>
    </row>
    <row r="308" spans="1:60" ht="13">
      <c r="A308" s="1060"/>
      <c r="B308" s="944"/>
      <c r="C308" s="1093"/>
      <c r="D308" s="1093"/>
      <c r="E308" s="940"/>
      <c r="F308" s="1098"/>
      <c r="G308" s="969"/>
      <c r="H308" s="969"/>
      <c r="I308" s="3164"/>
      <c r="J308" s="3164"/>
      <c r="K308" s="3164"/>
      <c r="L308" s="3164"/>
      <c r="M308" s="3164"/>
      <c r="N308" s="3164"/>
      <c r="O308" s="3164"/>
      <c r="P308" s="3164"/>
      <c r="Q308" s="3164"/>
      <c r="R308" s="3164"/>
      <c r="S308" s="3164"/>
      <c r="T308" s="3164"/>
      <c r="U308" s="3164"/>
      <c r="V308" s="3164"/>
      <c r="W308" s="3164"/>
      <c r="X308" s="3164"/>
      <c r="Y308" s="3164"/>
      <c r="Z308" s="3164"/>
      <c r="AA308" s="3164"/>
      <c r="AB308" s="3164"/>
      <c r="AC308" s="3164"/>
      <c r="AD308" s="3165"/>
      <c r="AE308" s="944"/>
      <c r="AF308" s="944"/>
      <c r="AG308" s="986"/>
      <c r="AH308" s="944"/>
      <c r="AI308" s="944"/>
      <c r="AJ308" s="943"/>
      <c r="AK308" s="1026"/>
      <c r="AL308" s="1026"/>
      <c r="AM308" s="1026"/>
      <c r="AN308" s="110"/>
      <c r="AO308" s="51"/>
      <c r="AP308" s="950" t="s">
        <v>2233</v>
      </c>
      <c r="AR308" s="21"/>
    </row>
    <row r="309" spans="1:60" ht="13">
      <c r="A309" s="1060"/>
      <c r="B309" s="944"/>
      <c r="C309" s="1093"/>
      <c r="D309" s="1093"/>
      <c r="E309" s="940"/>
      <c r="F309" s="1096"/>
      <c r="G309" s="944"/>
      <c r="H309" s="944"/>
      <c r="I309" s="3166"/>
      <c r="J309" s="3166"/>
      <c r="K309" s="3166"/>
      <c r="L309" s="3166"/>
      <c r="M309" s="3166"/>
      <c r="N309" s="3166"/>
      <c r="O309" s="3166"/>
      <c r="P309" s="3166"/>
      <c r="Q309" s="3166"/>
      <c r="R309" s="3166"/>
      <c r="S309" s="3166"/>
      <c r="T309" s="3166"/>
      <c r="U309" s="3166"/>
      <c r="V309" s="3166"/>
      <c r="W309" s="3166"/>
      <c r="X309" s="3166"/>
      <c r="Y309" s="3166"/>
      <c r="Z309" s="3166"/>
      <c r="AA309" s="3166"/>
      <c r="AB309" s="3166"/>
      <c r="AC309" s="3166"/>
      <c r="AD309" s="3167"/>
      <c r="AE309" s="944"/>
      <c r="AF309" s="944"/>
      <c r="AG309" s="986"/>
      <c r="AH309" s="944"/>
      <c r="AI309" s="944"/>
      <c r="AJ309" s="943"/>
      <c r="AK309" s="1026"/>
      <c r="AL309" s="1026"/>
      <c r="AM309" s="1026"/>
      <c r="AN309" s="110"/>
      <c r="AO309" s="51"/>
      <c r="AP309" s="950" t="s">
        <v>2232</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541</v>
      </c>
      <c r="H311" s="944"/>
      <c r="I311" s="3164" t="s">
        <v>1383</v>
      </c>
      <c r="J311" s="3164"/>
      <c r="K311" s="3164"/>
      <c r="L311" s="3164"/>
      <c r="M311" s="3164"/>
      <c r="N311" s="3164"/>
      <c r="O311" s="3164"/>
      <c r="P311" s="3164"/>
      <c r="Q311" s="3164"/>
      <c r="R311" s="3164"/>
      <c r="S311" s="3164"/>
      <c r="T311" s="3164"/>
      <c r="U311" s="3164"/>
      <c r="V311" s="3164"/>
      <c r="W311" s="3164"/>
      <c r="X311" s="3164"/>
      <c r="Y311" s="3164"/>
      <c r="Z311" s="3164"/>
      <c r="AA311" s="3164"/>
      <c r="AB311" s="3164"/>
      <c r="AC311" s="3164"/>
      <c r="AD311" s="3165"/>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164"/>
      <c r="J312" s="3164"/>
      <c r="K312" s="3164"/>
      <c r="L312" s="3164"/>
      <c r="M312" s="3164"/>
      <c r="N312" s="3164"/>
      <c r="O312" s="3164"/>
      <c r="P312" s="3164"/>
      <c r="Q312" s="3164"/>
      <c r="R312" s="3164"/>
      <c r="S312" s="3164"/>
      <c r="T312" s="3164"/>
      <c r="U312" s="3164"/>
      <c r="V312" s="3164"/>
      <c r="W312" s="3164"/>
      <c r="X312" s="3164"/>
      <c r="Y312" s="3164"/>
      <c r="Z312" s="3164"/>
      <c r="AA312" s="3164"/>
      <c r="AB312" s="3164"/>
      <c r="AC312" s="3164"/>
      <c r="AD312" s="3165"/>
      <c r="AE312" s="944"/>
      <c r="AF312" s="944"/>
      <c r="AG312" s="986"/>
      <c r="AH312" s="944"/>
      <c r="AI312" s="944"/>
      <c r="AJ312" s="943"/>
      <c r="AK312" s="1026"/>
      <c r="AL312" s="1026"/>
      <c r="AM312" s="1026"/>
      <c r="AN312" s="110"/>
      <c r="AO312" s="51"/>
      <c r="AP312" s="950" t="s">
        <v>1383</v>
      </c>
      <c r="AR312" s="21"/>
    </row>
    <row r="313" spans="1:60" ht="13">
      <c r="A313" s="1060"/>
      <c r="B313" s="944"/>
      <c r="C313" s="1093"/>
      <c r="D313" s="1093"/>
      <c r="E313" s="940"/>
      <c r="F313" s="1099"/>
      <c r="G313" s="1100"/>
      <c r="H313" s="1100"/>
      <c r="I313" s="3166"/>
      <c r="J313" s="3166"/>
      <c r="K313" s="3166"/>
      <c r="L313" s="3166"/>
      <c r="M313" s="3166"/>
      <c r="N313" s="3166"/>
      <c r="O313" s="3166"/>
      <c r="P313" s="3166"/>
      <c r="Q313" s="3166"/>
      <c r="R313" s="3166"/>
      <c r="S313" s="3166"/>
      <c r="T313" s="3166"/>
      <c r="U313" s="3166"/>
      <c r="V313" s="3166"/>
      <c r="W313" s="3166"/>
      <c r="X313" s="3166"/>
      <c r="Y313" s="3166"/>
      <c r="Z313" s="3166"/>
      <c r="AA313" s="3166"/>
      <c r="AB313" s="3166"/>
      <c r="AC313" s="3166"/>
      <c r="AD313" s="3167"/>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51" t="s">
        <v>1667</v>
      </c>
      <c r="B315" s="3151"/>
      <c r="C315" s="3039" t="s">
        <v>577</v>
      </c>
      <c r="D315" s="3039"/>
      <c r="E315" s="940"/>
      <c r="F315" s="3152" t="s">
        <v>1668</v>
      </c>
      <c r="G315" s="3153"/>
      <c r="H315" s="3153"/>
      <c r="I315" s="3153"/>
      <c r="J315" s="3153"/>
      <c r="K315" s="3153"/>
      <c r="L315" s="3153"/>
      <c r="M315" s="3153"/>
      <c r="N315" s="3153"/>
      <c r="O315" s="3153"/>
      <c r="P315" s="3153"/>
      <c r="Q315" s="3153"/>
      <c r="R315" s="3153"/>
      <c r="S315" s="3153"/>
      <c r="T315" s="3153"/>
      <c r="U315" s="3153"/>
      <c r="V315" s="3153"/>
      <c r="W315" s="3153"/>
      <c r="X315" s="3153"/>
      <c r="Y315" s="3153"/>
      <c r="Z315" s="3153"/>
      <c r="AA315" s="3153"/>
      <c r="AB315" s="3153"/>
      <c r="AC315" s="3153"/>
      <c r="AD315" s="3154"/>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55"/>
      <c r="G316" s="3156"/>
      <c r="H316" s="3156"/>
      <c r="I316" s="3156"/>
      <c r="J316" s="3156"/>
      <c r="K316" s="3156"/>
      <c r="L316" s="3156"/>
      <c r="M316" s="3156"/>
      <c r="N316" s="3156"/>
      <c r="O316" s="3156"/>
      <c r="P316" s="3156"/>
      <c r="Q316" s="3156"/>
      <c r="R316" s="3156"/>
      <c r="S316" s="3156"/>
      <c r="T316" s="3156"/>
      <c r="U316" s="3156"/>
      <c r="V316" s="3156"/>
      <c r="W316" s="3156"/>
      <c r="X316" s="3156"/>
      <c r="Y316" s="3156"/>
      <c r="Z316" s="3156"/>
      <c r="AA316" s="3156"/>
      <c r="AB316" s="3156"/>
      <c r="AC316" s="3156"/>
      <c r="AD316" s="3157"/>
      <c r="AE316" s="944"/>
      <c r="AF316" s="944"/>
      <c r="AG316" s="944"/>
      <c r="AH316" s="944"/>
      <c r="AI316" s="944"/>
      <c r="AJ316" s="943"/>
      <c r="AK316" s="1026"/>
      <c r="AL316" s="1026"/>
      <c r="AM316" s="1026"/>
      <c r="AN316" s="110"/>
      <c r="AO316" s="51"/>
    </row>
    <row r="317" spans="1:60" ht="15" customHeight="1">
      <c r="A317" s="1060"/>
      <c r="B317" s="944"/>
      <c r="C317" s="944"/>
      <c r="D317" s="944"/>
      <c r="E317" s="944"/>
      <c r="F317" s="3155"/>
      <c r="G317" s="3156"/>
      <c r="H317" s="3156"/>
      <c r="I317" s="3156"/>
      <c r="J317" s="3156"/>
      <c r="K317" s="3156"/>
      <c r="L317" s="3156"/>
      <c r="M317" s="3156"/>
      <c r="N317" s="3156"/>
      <c r="O317" s="3156"/>
      <c r="P317" s="3156"/>
      <c r="Q317" s="3156"/>
      <c r="R317" s="3156"/>
      <c r="S317" s="3156"/>
      <c r="T317" s="3156"/>
      <c r="U317" s="3156"/>
      <c r="V317" s="3156"/>
      <c r="W317" s="3156"/>
      <c r="X317" s="3156"/>
      <c r="Y317" s="3156"/>
      <c r="Z317" s="3156"/>
      <c r="AA317" s="3156"/>
      <c r="AB317" s="3156"/>
      <c r="AC317" s="3156"/>
      <c r="AD317" s="3157"/>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25">
        <f>AP279</f>
        <v>9</v>
      </c>
      <c r="AL320" s="3026"/>
      <c r="AM320" s="3027"/>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7" t="s">
        <v>1584</v>
      </c>
      <c r="AF323" s="3107"/>
      <c r="AG323" s="3107"/>
      <c r="AH323" s="3107"/>
      <c r="AI323" s="3107"/>
      <c r="AJ323" s="3107"/>
      <c r="AK323" s="3107"/>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3" t="s">
        <v>2191</v>
      </c>
      <c r="C325" s="3043"/>
      <c r="D325" s="3043"/>
      <c r="E325" s="3043"/>
      <c r="F325" s="3043"/>
      <c r="G325" s="3043"/>
      <c r="H325" s="3043"/>
      <c r="I325" s="3043"/>
      <c r="J325" s="3043"/>
      <c r="K325" s="3043"/>
      <c r="L325" s="3043"/>
      <c r="M325" s="3043"/>
      <c r="N325" s="3043"/>
      <c r="O325" s="3043"/>
      <c r="P325" s="3043"/>
      <c r="Q325" s="3043"/>
      <c r="R325" s="3043"/>
      <c r="S325" s="3043"/>
      <c r="T325" s="3043"/>
      <c r="U325" s="3043"/>
      <c r="V325" s="3043"/>
      <c r="W325" s="3043"/>
      <c r="X325" s="3043"/>
      <c r="Y325" s="3043"/>
      <c r="Z325" s="3043"/>
      <c r="AA325" s="3043"/>
      <c r="AB325" s="3043"/>
      <c r="AC325" s="3043"/>
      <c r="AD325" s="3043"/>
      <c r="AE325" s="3043"/>
      <c r="AF325" s="3043"/>
      <c r="AG325" s="3043"/>
      <c r="AH325" s="3043"/>
      <c r="AI325" s="3043"/>
      <c r="AJ325" s="3043"/>
      <c r="AK325" s="1078"/>
      <c r="AL325" s="967"/>
      <c r="AM325" s="1027"/>
      <c r="AN325" s="1000"/>
    </row>
    <row r="326" spans="1:42" s="943" customFormat="1" ht="12.75" customHeight="1">
      <c r="A326" s="1027"/>
      <c r="B326" s="3043"/>
      <c r="C326" s="3043"/>
      <c r="D326" s="3043"/>
      <c r="E326" s="3043"/>
      <c r="F326" s="3043"/>
      <c r="G326" s="3043"/>
      <c r="H326" s="3043"/>
      <c r="I326" s="3043"/>
      <c r="J326" s="3043"/>
      <c r="K326" s="3043"/>
      <c r="L326" s="3043"/>
      <c r="M326" s="3043"/>
      <c r="N326" s="3043"/>
      <c r="O326" s="3043"/>
      <c r="P326" s="3043"/>
      <c r="Q326" s="3043"/>
      <c r="R326" s="3043"/>
      <c r="S326" s="3043"/>
      <c r="T326" s="3043"/>
      <c r="U326" s="3043"/>
      <c r="V326" s="3043"/>
      <c r="W326" s="3043"/>
      <c r="X326" s="3043"/>
      <c r="Y326" s="3043"/>
      <c r="Z326" s="3043"/>
      <c r="AA326" s="3043"/>
      <c r="AB326" s="3043"/>
      <c r="AC326" s="3043"/>
      <c r="AD326" s="3043"/>
      <c r="AE326" s="3043"/>
      <c r="AF326" s="3043"/>
      <c r="AG326" s="3043"/>
      <c r="AH326" s="3043"/>
      <c r="AI326" s="3043"/>
      <c r="AJ326" s="3043"/>
      <c r="AK326" s="1078"/>
      <c r="AL326" s="967"/>
      <c r="AM326" s="1027"/>
      <c r="AN326" s="1000"/>
    </row>
    <row r="327" spans="1:42" s="943" customFormat="1" ht="12.75" customHeight="1">
      <c r="A327" s="1027"/>
      <c r="B327" s="3043"/>
      <c r="C327" s="3043"/>
      <c r="D327" s="3043"/>
      <c r="E327" s="3043"/>
      <c r="F327" s="3043"/>
      <c r="G327" s="3043"/>
      <c r="H327" s="3043"/>
      <c r="I327" s="3043"/>
      <c r="J327" s="3043"/>
      <c r="K327" s="3043"/>
      <c r="L327" s="3043"/>
      <c r="M327" s="3043"/>
      <c r="N327" s="3043"/>
      <c r="O327" s="3043"/>
      <c r="P327" s="3043"/>
      <c r="Q327" s="3043"/>
      <c r="R327" s="3043"/>
      <c r="S327" s="3043"/>
      <c r="T327" s="3043"/>
      <c r="U327" s="3043"/>
      <c r="V327" s="3043"/>
      <c r="W327" s="3043"/>
      <c r="X327" s="3043"/>
      <c r="Y327" s="3043"/>
      <c r="Z327" s="3043"/>
      <c r="AA327" s="3043"/>
      <c r="AB327" s="3043"/>
      <c r="AC327" s="3043"/>
      <c r="AD327" s="3043"/>
      <c r="AE327" s="3043"/>
      <c r="AF327" s="3043"/>
      <c r="AG327" s="3043"/>
      <c r="AH327" s="3043"/>
      <c r="AI327" s="3043"/>
      <c r="AJ327" s="3043"/>
      <c r="AK327" s="1078"/>
      <c r="AL327" s="967"/>
      <c r="AM327" s="1027"/>
      <c r="AN327" s="1000"/>
    </row>
    <row r="328" spans="1:42" s="943" customFormat="1" ht="12.75" customHeight="1">
      <c r="A328" s="1027"/>
      <c r="B328" s="3043"/>
      <c r="C328" s="3043"/>
      <c r="D328" s="3043"/>
      <c r="E328" s="3043"/>
      <c r="F328" s="3043"/>
      <c r="G328" s="3043"/>
      <c r="H328" s="3043"/>
      <c r="I328" s="3043"/>
      <c r="J328" s="3043"/>
      <c r="K328" s="3043"/>
      <c r="L328" s="3043"/>
      <c r="M328" s="3043"/>
      <c r="N328" s="3043"/>
      <c r="O328" s="3043"/>
      <c r="P328" s="3043"/>
      <c r="Q328" s="3043"/>
      <c r="R328" s="3043"/>
      <c r="S328" s="3043"/>
      <c r="T328" s="3043"/>
      <c r="U328" s="3043"/>
      <c r="V328" s="3043"/>
      <c r="W328" s="3043"/>
      <c r="X328" s="3043"/>
      <c r="Y328" s="3043"/>
      <c r="Z328" s="3043"/>
      <c r="AA328" s="3043"/>
      <c r="AB328" s="3043"/>
      <c r="AC328" s="3043"/>
      <c r="AD328" s="3043"/>
      <c r="AE328" s="3043"/>
      <c r="AF328" s="3043"/>
      <c r="AG328" s="3043"/>
      <c r="AH328" s="3043"/>
      <c r="AI328" s="3043"/>
      <c r="AJ328" s="3043"/>
      <c r="AK328" s="1078"/>
      <c r="AL328" s="967"/>
      <c r="AM328" s="1027"/>
      <c r="AN328" s="1000"/>
    </row>
    <row r="329" spans="1:42" s="943" customFormat="1" ht="12.75" customHeight="1">
      <c r="A329" s="1027"/>
      <c r="B329" s="3043"/>
      <c r="C329" s="3043"/>
      <c r="D329" s="3043"/>
      <c r="E329" s="3043"/>
      <c r="F329" s="3043"/>
      <c r="G329" s="3043"/>
      <c r="H329" s="3043"/>
      <c r="I329" s="3043"/>
      <c r="J329" s="3043"/>
      <c r="K329" s="3043"/>
      <c r="L329" s="3043"/>
      <c r="M329" s="3043"/>
      <c r="N329" s="3043"/>
      <c r="O329" s="3043"/>
      <c r="P329" s="3043"/>
      <c r="Q329" s="3043"/>
      <c r="R329" s="3043"/>
      <c r="S329" s="3043"/>
      <c r="T329" s="3043"/>
      <c r="U329" s="3043"/>
      <c r="V329" s="3043"/>
      <c r="W329" s="3043"/>
      <c r="X329" s="3043"/>
      <c r="Y329" s="3043"/>
      <c r="Z329" s="3043"/>
      <c r="AA329" s="3043"/>
      <c r="AB329" s="3043"/>
      <c r="AC329" s="3043"/>
      <c r="AD329" s="3043"/>
      <c r="AE329" s="3043"/>
      <c r="AF329" s="3043"/>
      <c r="AG329" s="3043"/>
      <c r="AH329" s="3043"/>
      <c r="AI329" s="3043"/>
      <c r="AJ329" s="3043"/>
      <c r="AK329" s="1078"/>
      <c r="AL329" s="967"/>
      <c r="AM329" s="1027"/>
      <c r="AN329" s="1000"/>
    </row>
    <row r="330" spans="1:42" s="943" customFormat="1" ht="12.75" customHeight="1">
      <c r="A330" s="1027"/>
      <c r="B330" s="3043"/>
      <c r="C330" s="3043"/>
      <c r="D330" s="3043"/>
      <c r="E330" s="3043"/>
      <c r="F330" s="3043"/>
      <c r="G330" s="3043"/>
      <c r="H330" s="3043"/>
      <c r="I330" s="3043"/>
      <c r="J330" s="3043"/>
      <c r="K330" s="3043"/>
      <c r="L330" s="3043"/>
      <c r="M330" s="3043"/>
      <c r="N330" s="3043"/>
      <c r="O330" s="3043"/>
      <c r="P330" s="3043"/>
      <c r="Q330" s="3043"/>
      <c r="R330" s="3043"/>
      <c r="S330" s="3043"/>
      <c r="T330" s="3043"/>
      <c r="U330" s="3043"/>
      <c r="V330" s="3043"/>
      <c r="W330" s="3043"/>
      <c r="X330" s="3043"/>
      <c r="Y330" s="3043"/>
      <c r="Z330" s="3043"/>
      <c r="AA330" s="3043"/>
      <c r="AB330" s="3043"/>
      <c r="AC330" s="3043"/>
      <c r="AD330" s="3043"/>
      <c r="AE330" s="3043"/>
      <c r="AF330" s="3043"/>
      <c r="AG330" s="3043"/>
      <c r="AH330" s="3043"/>
      <c r="AI330" s="3043"/>
      <c r="AJ330" s="3043"/>
      <c r="AK330" s="1078"/>
      <c r="AL330" s="967"/>
      <c r="AM330" s="1027"/>
      <c r="AN330" s="1000"/>
    </row>
    <row r="331" spans="1:42" s="943" customFormat="1" ht="12.75" customHeight="1">
      <c r="A331" s="1027"/>
      <c r="B331" s="3043"/>
      <c r="C331" s="3043"/>
      <c r="D331" s="3043"/>
      <c r="E331" s="3043"/>
      <c r="F331" s="3043"/>
      <c r="G331" s="3043"/>
      <c r="H331" s="3043"/>
      <c r="I331" s="3043"/>
      <c r="J331" s="3043"/>
      <c r="K331" s="3043"/>
      <c r="L331" s="3043"/>
      <c r="M331" s="3043"/>
      <c r="N331" s="3043"/>
      <c r="O331" s="3043"/>
      <c r="P331" s="3043"/>
      <c r="Q331" s="3043"/>
      <c r="R331" s="3043"/>
      <c r="S331" s="3043"/>
      <c r="T331" s="3043"/>
      <c r="U331" s="3043"/>
      <c r="V331" s="3043"/>
      <c r="W331" s="3043"/>
      <c r="X331" s="3043"/>
      <c r="Y331" s="3043"/>
      <c r="Z331" s="3043"/>
      <c r="AA331" s="3043"/>
      <c r="AB331" s="3043"/>
      <c r="AC331" s="3043"/>
      <c r="AD331" s="3043"/>
      <c r="AE331" s="3043"/>
      <c r="AF331" s="3043"/>
      <c r="AG331" s="3043"/>
      <c r="AH331" s="3043"/>
      <c r="AI331" s="3043"/>
      <c r="AJ331" s="3043"/>
      <c r="AK331" s="1078"/>
      <c r="AL331" s="967"/>
      <c r="AM331" s="1027"/>
      <c r="AN331" s="1000"/>
    </row>
    <row r="332" spans="1:42" ht="12.75" customHeight="1">
      <c r="A332" s="1027"/>
      <c r="B332" s="3043"/>
      <c r="C332" s="3043"/>
      <c r="D332" s="3043"/>
      <c r="E332" s="3043"/>
      <c r="F332" s="3043"/>
      <c r="G332" s="3043"/>
      <c r="H332" s="3043"/>
      <c r="I332" s="3043"/>
      <c r="J332" s="3043"/>
      <c r="K332" s="3043"/>
      <c r="L332" s="3043"/>
      <c r="M332" s="3043"/>
      <c r="N332" s="3043"/>
      <c r="O332" s="3043"/>
      <c r="P332" s="3043"/>
      <c r="Q332" s="3043"/>
      <c r="R332" s="3043"/>
      <c r="S332" s="3043"/>
      <c r="T332" s="3043"/>
      <c r="U332" s="3043"/>
      <c r="V332" s="3043"/>
      <c r="W332" s="3043"/>
      <c r="X332" s="3043"/>
      <c r="Y332" s="3043"/>
      <c r="Z332" s="3043"/>
      <c r="AA332" s="3043"/>
      <c r="AB332" s="3043"/>
      <c r="AC332" s="3043"/>
      <c r="AD332" s="3043"/>
      <c r="AE332" s="3043"/>
      <c r="AF332" s="3043"/>
      <c r="AG332" s="3043"/>
      <c r="AH332" s="3043"/>
      <c r="AI332" s="3043"/>
      <c r="AJ332" s="3043"/>
      <c r="AK332" s="1078"/>
      <c r="AL332" s="967"/>
      <c r="AM332" s="1027"/>
    </row>
    <row r="333" spans="1:42" s="943" customFormat="1" ht="12.75" customHeight="1">
      <c r="A333" s="1060"/>
      <c r="B333" s="3043"/>
      <c r="C333" s="3043"/>
      <c r="D333" s="3043"/>
      <c r="E333" s="3043"/>
      <c r="F333" s="3043"/>
      <c r="G333" s="3043"/>
      <c r="H333" s="3043"/>
      <c r="I333" s="3043"/>
      <c r="J333" s="3043"/>
      <c r="K333" s="3043"/>
      <c r="L333" s="3043"/>
      <c r="M333" s="3043"/>
      <c r="N333" s="3043"/>
      <c r="O333" s="3043"/>
      <c r="P333" s="3043"/>
      <c r="Q333" s="3043"/>
      <c r="R333" s="3043"/>
      <c r="S333" s="3043"/>
      <c r="T333" s="3043"/>
      <c r="U333" s="3043"/>
      <c r="V333" s="3043"/>
      <c r="W333" s="3043"/>
      <c r="X333" s="3043"/>
      <c r="Y333" s="3043"/>
      <c r="Z333" s="3043"/>
      <c r="AA333" s="3043"/>
      <c r="AB333" s="3043"/>
      <c r="AC333" s="3043"/>
      <c r="AD333" s="3043"/>
      <c r="AE333" s="3043"/>
      <c r="AF333" s="3043"/>
      <c r="AG333" s="3043"/>
      <c r="AH333" s="3043"/>
      <c r="AI333" s="3043"/>
      <c r="AJ333" s="3043"/>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2" t="s">
        <v>1608</v>
      </c>
      <c r="AG339" s="3142"/>
      <c r="AH339" s="3142"/>
      <c r="AI339" s="3142"/>
      <c r="AJ339" s="3142"/>
      <c r="AK339" s="3142"/>
      <c r="AL339" s="3142"/>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2" t="s">
        <v>1674</v>
      </c>
      <c r="AG346" s="3142"/>
      <c r="AH346" s="3142"/>
      <c r="AI346" s="3142"/>
      <c r="AJ346" s="3142"/>
      <c r="AK346" s="3142"/>
      <c r="AL346" s="3142"/>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2" t="s">
        <v>1648</v>
      </c>
      <c r="AG352" s="3142"/>
      <c r="AH352" s="3142"/>
      <c r="AI352" s="3142"/>
      <c r="AJ352" s="3142"/>
      <c r="AK352" s="3142"/>
      <c r="AL352" s="3142"/>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2" t="s">
        <v>1677</v>
      </c>
      <c r="AG358" s="3142"/>
      <c r="AH358" s="3142"/>
      <c r="AI358" s="3142"/>
      <c r="AJ358" s="3142"/>
      <c r="AK358" s="3142"/>
      <c r="AL358" s="3142"/>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50" t="s">
        <v>1383</v>
      </c>
      <c r="P362" s="3150"/>
      <c r="Q362" s="3150"/>
      <c r="R362" s="3150"/>
      <c r="S362" s="3150"/>
      <c r="T362" s="3150"/>
      <c r="U362" s="3150"/>
      <c r="V362" s="3150"/>
      <c r="W362" s="3150"/>
      <c r="X362" s="3150"/>
      <c r="Y362" s="3150"/>
      <c r="Z362" s="3150"/>
      <c r="AA362" s="3150"/>
      <c r="AB362" s="3150"/>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2" t="s">
        <v>1622</v>
      </c>
      <c r="AG364" s="3142"/>
      <c r="AH364" s="3142"/>
      <c r="AI364" s="3142"/>
      <c r="AJ364" s="3142"/>
      <c r="AK364" s="3142"/>
      <c r="AL364" s="3142"/>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042" t="s">
        <v>724</v>
      </c>
      <c r="I367" s="3042"/>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49" t="s">
        <v>625</v>
      </c>
      <c r="J375" s="3149"/>
      <c r="K375" s="3149"/>
      <c r="L375" s="3149"/>
      <c r="M375" s="3149"/>
      <c r="N375" s="3149"/>
      <c r="O375" s="3149"/>
      <c r="P375" s="3149"/>
      <c r="Q375" s="3149"/>
      <c r="R375" s="3149"/>
      <c r="S375" s="3149"/>
      <c r="T375" s="3149"/>
      <c r="U375" s="3149"/>
      <c r="V375" s="3149"/>
      <c r="W375" s="3149"/>
      <c r="X375" s="3149"/>
      <c r="Y375" s="3149"/>
      <c r="Z375" s="3149"/>
      <c r="AA375" s="3149"/>
      <c r="AB375" s="3149"/>
      <c r="AC375" s="3149"/>
      <c r="AD375" s="3149"/>
      <c r="AE375" s="3149"/>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47" t="s">
        <v>625</v>
      </c>
      <c r="C377" s="3147"/>
      <c r="D377" s="1644"/>
      <c r="E377" s="3043" t="s">
        <v>1681</v>
      </c>
      <c r="F377" s="3043"/>
      <c r="G377" s="3043"/>
      <c r="H377" s="3043"/>
      <c r="I377" s="3043"/>
      <c r="J377" s="3043"/>
      <c r="K377" s="3043"/>
      <c r="L377" s="3043"/>
      <c r="M377" s="3043"/>
      <c r="N377" s="3043"/>
      <c r="O377" s="3043"/>
      <c r="P377" s="3043"/>
      <c r="Q377" s="3043"/>
      <c r="R377" s="3043"/>
      <c r="S377" s="3043"/>
      <c r="T377" s="3043"/>
      <c r="U377" s="3043"/>
      <c r="V377" s="3043"/>
      <c r="W377" s="3043"/>
      <c r="X377" s="3043"/>
      <c r="Y377" s="3043"/>
      <c r="Z377" s="3043"/>
      <c r="AA377" s="3043"/>
      <c r="AB377" s="3043"/>
      <c r="AC377" s="3043"/>
      <c r="AD377" s="3043"/>
      <c r="AE377" s="3043"/>
      <c r="AF377" s="3043"/>
      <c r="AG377" s="3043"/>
      <c r="AH377" s="1644"/>
      <c r="AI377" s="1644"/>
      <c r="AJ377" s="1644"/>
      <c r="AK377" s="1644"/>
      <c r="AL377" s="1644"/>
      <c r="AN377" s="1000"/>
    </row>
    <row r="378" spans="1:46" s="943" customFormat="1" ht="12.75" customHeight="1">
      <c r="A378" s="1060"/>
      <c r="B378" s="1023"/>
      <c r="C378" s="1639"/>
      <c r="D378" s="1644"/>
      <c r="E378" s="3043"/>
      <c r="F378" s="3043"/>
      <c r="G378" s="3043"/>
      <c r="H378" s="3043"/>
      <c r="I378" s="3043"/>
      <c r="J378" s="3043"/>
      <c r="K378" s="3043"/>
      <c r="L378" s="3043"/>
      <c r="M378" s="3043"/>
      <c r="N378" s="3043"/>
      <c r="O378" s="3043"/>
      <c r="P378" s="3043"/>
      <c r="Q378" s="3043"/>
      <c r="R378" s="3043"/>
      <c r="S378" s="3043"/>
      <c r="T378" s="3043"/>
      <c r="U378" s="3043"/>
      <c r="V378" s="3043"/>
      <c r="W378" s="3043"/>
      <c r="X378" s="3043"/>
      <c r="Y378" s="3043"/>
      <c r="Z378" s="3043"/>
      <c r="AA378" s="3043"/>
      <c r="AB378" s="3043"/>
      <c r="AC378" s="3043"/>
      <c r="AD378" s="3043"/>
      <c r="AE378" s="3043"/>
      <c r="AF378" s="3043"/>
      <c r="AG378" s="3043"/>
      <c r="AH378" s="1644"/>
      <c r="AI378" s="1644"/>
      <c r="AJ378" s="1644"/>
      <c r="AK378" s="1644"/>
      <c r="AL378" s="1644"/>
      <c r="AN378" s="1000"/>
    </row>
    <row r="379" spans="1:46" s="943" customFormat="1" ht="12.75" customHeight="1">
      <c r="A379" s="1060"/>
      <c r="B379" s="1023"/>
      <c r="C379" s="1639"/>
      <c r="D379" s="1644"/>
      <c r="E379" s="3043"/>
      <c r="F379" s="3043"/>
      <c r="G379" s="3043"/>
      <c r="H379" s="3043"/>
      <c r="I379" s="3043"/>
      <c r="J379" s="3043"/>
      <c r="K379" s="3043"/>
      <c r="L379" s="3043"/>
      <c r="M379" s="3043"/>
      <c r="N379" s="3043"/>
      <c r="O379" s="3043"/>
      <c r="P379" s="3043"/>
      <c r="Q379" s="3043"/>
      <c r="R379" s="3043"/>
      <c r="S379" s="3043"/>
      <c r="T379" s="3043"/>
      <c r="U379" s="3043"/>
      <c r="V379" s="3043"/>
      <c r="W379" s="3043"/>
      <c r="X379" s="3043"/>
      <c r="Y379" s="3043"/>
      <c r="Z379" s="3043"/>
      <c r="AA379" s="3043"/>
      <c r="AB379" s="3043"/>
      <c r="AC379" s="3043"/>
      <c r="AD379" s="3043"/>
      <c r="AE379" s="3043"/>
      <c r="AF379" s="3043"/>
      <c r="AG379" s="3043"/>
      <c r="AH379" s="1644"/>
      <c r="AI379" s="1644"/>
      <c r="AJ379" s="1644"/>
      <c r="AK379" s="1644"/>
      <c r="AL379" s="1644"/>
      <c r="AN379" s="1000"/>
    </row>
    <row r="380" spans="1:46" s="943" customFormat="1" ht="12.75" customHeight="1">
      <c r="A380" s="1060"/>
      <c r="B380" s="1023"/>
      <c r="C380" s="1639"/>
      <c r="D380" s="1646"/>
      <c r="E380" s="3043"/>
      <c r="F380" s="3043"/>
      <c r="G380" s="3043"/>
      <c r="H380" s="3043"/>
      <c r="I380" s="3043"/>
      <c r="J380" s="3043"/>
      <c r="K380" s="3043"/>
      <c r="L380" s="3043"/>
      <c r="M380" s="3043"/>
      <c r="N380" s="3043"/>
      <c r="O380" s="3043"/>
      <c r="P380" s="3043"/>
      <c r="Q380" s="3043"/>
      <c r="R380" s="3043"/>
      <c r="S380" s="3043"/>
      <c r="T380" s="3043"/>
      <c r="U380" s="3043"/>
      <c r="V380" s="3043"/>
      <c r="W380" s="3043"/>
      <c r="X380" s="3043"/>
      <c r="Y380" s="3043"/>
      <c r="Z380" s="3043"/>
      <c r="AA380" s="3043"/>
      <c r="AB380" s="3043"/>
      <c r="AC380" s="3043"/>
      <c r="AD380" s="3043"/>
      <c r="AE380" s="3043"/>
      <c r="AF380" s="3043"/>
      <c r="AG380" s="3043"/>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25">
        <f>VLOOKUP($H$367,$AO$347:$AP$352,2,FALSE)+VLOOKUP($I$375,$AO$374:$AP$376,2,FALSE)</f>
        <v>7</v>
      </c>
      <c r="AK382" s="3027"/>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48" t="s">
        <v>2192</v>
      </c>
      <c r="F386" s="3148"/>
      <c r="G386" s="3148"/>
      <c r="H386" s="3148"/>
      <c r="I386" s="3148"/>
      <c r="J386" s="3148"/>
      <c r="K386" s="3148"/>
      <c r="L386" s="3148"/>
      <c r="M386" s="3148"/>
      <c r="N386" s="3148"/>
      <c r="O386" s="3148"/>
      <c r="P386" s="3148"/>
      <c r="Q386" s="3148"/>
      <c r="R386" s="3148"/>
      <c r="S386" s="3148"/>
      <c r="T386" s="3148"/>
      <c r="U386" s="3148"/>
      <c r="V386" s="3148"/>
      <c r="W386" s="3148"/>
      <c r="X386" s="3148"/>
      <c r="Y386" s="3148"/>
      <c r="Z386" s="3148"/>
      <c r="AA386" s="3148"/>
      <c r="AB386" s="3148"/>
      <c r="AC386" s="3148"/>
      <c r="AD386" s="3148"/>
      <c r="AE386" s="932"/>
      <c r="AF386" s="3142" t="s">
        <v>1622</v>
      </c>
      <c r="AG386" s="3142"/>
      <c r="AH386" s="3142"/>
      <c r="AI386" s="3142"/>
      <c r="AJ386" s="3142"/>
      <c r="AK386" s="3142"/>
      <c r="AL386" s="3142"/>
      <c r="AM386" s="1026"/>
      <c r="AN386" s="1125"/>
    </row>
    <row r="387" spans="1:42" s="943" customFormat="1" ht="12.75" customHeight="1">
      <c r="A387" s="1126"/>
      <c r="B387" s="1023"/>
      <c r="C387" s="1639"/>
      <c r="D387" s="1106"/>
      <c r="E387" s="3148"/>
      <c r="F387" s="3148"/>
      <c r="G387" s="3148"/>
      <c r="H387" s="3148"/>
      <c r="I387" s="3148"/>
      <c r="J387" s="3148"/>
      <c r="K387" s="3148"/>
      <c r="L387" s="3148"/>
      <c r="M387" s="3148"/>
      <c r="N387" s="3148"/>
      <c r="O387" s="3148"/>
      <c r="P387" s="3148"/>
      <c r="Q387" s="3148"/>
      <c r="R387" s="3148"/>
      <c r="S387" s="3148"/>
      <c r="T387" s="3148"/>
      <c r="U387" s="3148"/>
      <c r="V387" s="3148"/>
      <c r="W387" s="3148"/>
      <c r="X387" s="3148"/>
      <c r="Y387" s="3148"/>
      <c r="Z387" s="3148"/>
      <c r="AA387" s="3148"/>
      <c r="AB387" s="3148"/>
      <c r="AC387" s="3148"/>
      <c r="AD387" s="3148"/>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8"/>
      <c r="F388" s="3148"/>
      <c r="G388" s="3148"/>
      <c r="H388" s="3148"/>
      <c r="I388" s="3148"/>
      <c r="J388" s="3148"/>
      <c r="K388" s="3148"/>
      <c r="L388" s="3148"/>
      <c r="M388" s="3148"/>
      <c r="N388" s="3148"/>
      <c r="O388" s="3148"/>
      <c r="P388" s="3148"/>
      <c r="Q388" s="3148"/>
      <c r="R388" s="3148"/>
      <c r="S388" s="3148"/>
      <c r="T388" s="3148"/>
      <c r="U388" s="3148"/>
      <c r="V388" s="3148"/>
      <c r="W388" s="3148"/>
      <c r="X388" s="3148"/>
      <c r="Y388" s="3148"/>
      <c r="Z388" s="3148"/>
      <c r="AA388" s="3148"/>
      <c r="AB388" s="3148"/>
      <c r="AC388" s="3148"/>
      <c r="AD388" s="3148"/>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8"/>
      <c r="F389" s="3148"/>
      <c r="G389" s="3148"/>
      <c r="H389" s="3148"/>
      <c r="I389" s="3148"/>
      <c r="J389" s="3148"/>
      <c r="K389" s="3148"/>
      <c r="L389" s="3148"/>
      <c r="M389" s="3148"/>
      <c r="N389" s="3148"/>
      <c r="O389" s="3148"/>
      <c r="P389" s="3148"/>
      <c r="Q389" s="3148"/>
      <c r="R389" s="3148"/>
      <c r="S389" s="3148"/>
      <c r="T389" s="3148"/>
      <c r="U389" s="3148"/>
      <c r="V389" s="3148"/>
      <c r="W389" s="3148"/>
      <c r="X389" s="3148"/>
      <c r="Y389" s="3148"/>
      <c r="Z389" s="3148"/>
      <c r="AA389" s="3148"/>
      <c r="AB389" s="3148"/>
      <c r="AC389" s="3148"/>
      <c r="AD389" s="3148"/>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8"/>
      <c r="F390" s="3148"/>
      <c r="G390" s="3148"/>
      <c r="H390" s="3148"/>
      <c r="I390" s="3148"/>
      <c r="J390" s="3148"/>
      <c r="K390" s="3148"/>
      <c r="L390" s="3148"/>
      <c r="M390" s="3148"/>
      <c r="N390" s="3148"/>
      <c r="O390" s="3148"/>
      <c r="P390" s="3148"/>
      <c r="Q390" s="3148"/>
      <c r="R390" s="3148"/>
      <c r="S390" s="3148"/>
      <c r="T390" s="3148"/>
      <c r="U390" s="3148"/>
      <c r="V390" s="3148"/>
      <c r="W390" s="3148"/>
      <c r="X390" s="3148"/>
      <c r="Y390" s="3148"/>
      <c r="Z390" s="3148"/>
      <c r="AA390" s="3148"/>
      <c r="AB390" s="3148"/>
      <c r="AC390" s="3148"/>
      <c r="AD390" s="3148"/>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8"/>
      <c r="F391" s="3148"/>
      <c r="G391" s="3148"/>
      <c r="H391" s="3148"/>
      <c r="I391" s="3148"/>
      <c r="J391" s="3148"/>
      <c r="K391" s="3148"/>
      <c r="L391" s="3148"/>
      <c r="M391" s="3148"/>
      <c r="N391" s="3148"/>
      <c r="O391" s="3148"/>
      <c r="P391" s="3148"/>
      <c r="Q391" s="3148"/>
      <c r="R391" s="3148"/>
      <c r="S391" s="3148"/>
      <c r="T391" s="3148"/>
      <c r="U391" s="3148"/>
      <c r="V391" s="3148"/>
      <c r="W391" s="3148"/>
      <c r="X391" s="3148"/>
      <c r="Y391" s="3148"/>
      <c r="Z391" s="3148"/>
      <c r="AA391" s="3148"/>
      <c r="AB391" s="3148"/>
      <c r="AC391" s="3148"/>
      <c r="AD391" s="3148"/>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8"/>
      <c r="F392" s="3148"/>
      <c r="G392" s="3148"/>
      <c r="H392" s="3148"/>
      <c r="I392" s="3148"/>
      <c r="J392" s="3148"/>
      <c r="K392" s="3148"/>
      <c r="L392" s="3148"/>
      <c r="M392" s="3148"/>
      <c r="N392" s="3148"/>
      <c r="O392" s="3148"/>
      <c r="P392" s="3148"/>
      <c r="Q392" s="3148"/>
      <c r="R392" s="3148"/>
      <c r="S392" s="3148"/>
      <c r="T392" s="3148"/>
      <c r="U392" s="3148"/>
      <c r="V392" s="3148"/>
      <c r="W392" s="3148"/>
      <c r="X392" s="3148"/>
      <c r="Y392" s="3148"/>
      <c r="Z392" s="3148"/>
      <c r="AA392" s="3148"/>
      <c r="AB392" s="3148"/>
      <c r="AC392" s="3148"/>
      <c r="AD392" s="3148"/>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8"/>
      <c r="F393" s="3148"/>
      <c r="G393" s="3148"/>
      <c r="H393" s="3148"/>
      <c r="I393" s="3148"/>
      <c r="J393" s="3148"/>
      <c r="K393" s="3148"/>
      <c r="L393" s="3148"/>
      <c r="M393" s="3148"/>
      <c r="N393" s="3148"/>
      <c r="O393" s="3148"/>
      <c r="P393" s="3148"/>
      <c r="Q393" s="3148"/>
      <c r="R393" s="3148"/>
      <c r="S393" s="3148"/>
      <c r="T393" s="3148"/>
      <c r="U393" s="3148"/>
      <c r="V393" s="3148"/>
      <c r="W393" s="3148"/>
      <c r="X393" s="3148"/>
      <c r="Y393" s="3148"/>
      <c r="Z393" s="3148"/>
      <c r="AA393" s="3148"/>
      <c r="AB393" s="3148"/>
      <c r="AC393" s="3148"/>
      <c r="AD393" s="3148"/>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47" t="s">
        <v>625</v>
      </c>
      <c r="Y395" s="3147"/>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2" t="s">
        <v>1686</v>
      </c>
      <c r="AG397" s="3142"/>
      <c r="AH397" s="3142"/>
      <c r="AI397" s="3142"/>
      <c r="AJ397" s="3142"/>
      <c r="AK397" s="3142"/>
      <c r="AL397" s="3142"/>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042" t="s">
        <v>724</v>
      </c>
      <c r="I399" s="3042"/>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25">
        <f>VLOOKUP($H$399,$AO$366:$AP$368,2,FALSE)</f>
        <v>3</v>
      </c>
      <c r="AK401" s="3027"/>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2" t="s">
        <v>1622</v>
      </c>
      <c r="AG405" s="3142"/>
      <c r="AH405" s="3142"/>
      <c r="AI405" s="3142"/>
      <c r="AJ405" s="3142"/>
      <c r="AK405" s="3142"/>
      <c r="AL405" s="3142"/>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2" t="s">
        <v>1686</v>
      </c>
      <c r="AG408" s="3142"/>
      <c r="AH408" s="3142"/>
      <c r="AI408" s="3142"/>
      <c r="AJ408" s="3142"/>
      <c r="AK408" s="3142"/>
      <c r="AL408" s="3142"/>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042" t="s">
        <v>625</v>
      </c>
      <c r="I411" s="3042"/>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25">
        <f>VLOOKUP(H411,AT366:AU368,2,FALSE)</f>
        <v>0</v>
      </c>
      <c r="AK413" s="3027"/>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43" t="s">
        <v>1698</v>
      </c>
      <c r="F418" s="3043"/>
      <c r="G418" s="3043"/>
      <c r="H418" s="3043"/>
      <c r="I418" s="3043"/>
      <c r="J418" s="3043"/>
      <c r="K418" s="3043"/>
      <c r="L418" s="3043"/>
      <c r="M418" s="3043"/>
      <c r="N418" s="3043"/>
      <c r="O418" s="3043"/>
      <c r="P418" s="3043"/>
      <c r="Q418" s="3043"/>
      <c r="R418" s="3043"/>
      <c r="S418" s="3043"/>
      <c r="T418" s="3043"/>
      <c r="U418" s="3043"/>
      <c r="V418" s="3043"/>
      <c r="W418" s="3043"/>
      <c r="X418" s="3043"/>
      <c r="Y418" s="3043"/>
      <c r="Z418" s="3043"/>
      <c r="AA418" s="3043"/>
      <c r="AB418" s="3043"/>
      <c r="AC418" s="3043"/>
      <c r="AD418" s="927"/>
      <c r="AE418" s="927"/>
      <c r="AF418" s="3142" t="s">
        <v>1648</v>
      </c>
      <c r="AG418" s="3142"/>
      <c r="AH418" s="3142"/>
      <c r="AI418" s="3142"/>
      <c r="AJ418" s="3142"/>
      <c r="AK418" s="3142"/>
      <c r="AL418" s="3142"/>
      <c r="AN418" s="1000"/>
    </row>
    <row r="419" spans="1:42" s="943" customFormat="1" ht="12.75" customHeight="1">
      <c r="B419" s="927"/>
      <c r="C419" s="986"/>
      <c r="D419" s="927"/>
      <c r="E419" s="3043"/>
      <c r="F419" s="3043"/>
      <c r="G419" s="3043"/>
      <c r="H419" s="3043"/>
      <c r="I419" s="3043"/>
      <c r="J419" s="3043"/>
      <c r="K419" s="3043"/>
      <c r="L419" s="3043"/>
      <c r="M419" s="3043"/>
      <c r="N419" s="3043"/>
      <c r="O419" s="3043"/>
      <c r="P419" s="3043"/>
      <c r="Q419" s="3043"/>
      <c r="R419" s="3043"/>
      <c r="S419" s="3043"/>
      <c r="T419" s="3043"/>
      <c r="U419" s="3043"/>
      <c r="V419" s="3043"/>
      <c r="W419" s="3043"/>
      <c r="X419" s="3043"/>
      <c r="Y419" s="3043"/>
      <c r="Z419" s="3043"/>
      <c r="AA419" s="3043"/>
      <c r="AB419" s="3043"/>
      <c r="AC419" s="3043"/>
      <c r="AD419" s="927"/>
      <c r="AE419" s="927"/>
      <c r="AF419" s="927"/>
      <c r="AG419" s="927"/>
      <c r="AH419" s="927"/>
      <c r="AI419" s="927"/>
      <c r="AJ419" s="927"/>
      <c r="AK419" s="927"/>
      <c r="AL419" s="927"/>
      <c r="AN419" s="1000"/>
    </row>
    <row r="420" spans="1:42" s="943" customFormat="1" ht="12.75" customHeight="1">
      <c r="B420" s="927"/>
      <c r="C420" s="986"/>
      <c r="D420" s="1106"/>
      <c r="E420" s="3043"/>
      <c r="F420" s="3043"/>
      <c r="G420" s="3043"/>
      <c r="H420" s="3043"/>
      <c r="I420" s="3043"/>
      <c r="J420" s="3043"/>
      <c r="K420" s="3043"/>
      <c r="L420" s="3043"/>
      <c r="M420" s="3043"/>
      <c r="N420" s="3043"/>
      <c r="O420" s="3043"/>
      <c r="P420" s="3043"/>
      <c r="Q420" s="3043"/>
      <c r="R420" s="3043"/>
      <c r="S420" s="3043"/>
      <c r="T420" s="3043"/>
      <c r="U420" s="3043"/>
      <c r="V420" s="3043"/>
      <c r="W420" s="3043"/>
      <c r="X420" s="3043"/>
      <c r="Y420" s="3043"/>
      <c r="Z420" s="3043"/>
      <c r="AA420" s="3043"/>
      <c r="AB420" s="3043"/>
      <c r="AC420" s="3043"/>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43" t="s">
        <v>1699</v>
      </c>
      <c r="F422" s="3043"/>
      <c r="G422" s="3043"/>
      <c r="H422" s="3043"/>
      <c r="I422" s="3043"/>
      <c r="J422" s="3043"/>
      <c r="K422" s="3043"/>
      <c r="L422" s="3043"/>
      <c r="M422" s="3043"/>
      <c r="N422" s="3043"/>
      <c r="O422" s="3043"/>
      <c r="P422" s="3043"/>
      <c r="Q422" s="3043"/>
      <c r="R422" s="3043"/>
      <c r="S422" s="3043"/>
      <c r="T422" s="3043"/>
      <c r="U422" s="3043"/>
      <c r="V422" s="3043"/>
      <c r="W422" s="3043"/>
      <c r="X422" s="3043"/>
      <c r="Y422" s="3043"/>
      <c r="Z422" s="3043"/>
      <c r="AA422" s="3043"/>
      <c r="AB422" s="3043"/>
      <c r="AC422" s="3043"/>
      <c r="AD422" s="927"/>
      <c r="AE422" s="927"/>
      <c r="AF422" s="3142" t="s">
        <v>1677</v>
      </c>
      <c r="AG422" s="3142"/>
      <c r="AH422" s="3142"/>
      <c r="AI422" s="3142"/>
      <c r="AJ422" s="3142"/>
      <c r="AK422" s="3142"/>
      <c r="AL422" s="3142"/>
      <c r="AN422" s="1000"/>
    </row>
    <row r="423" spans="1:42" s="943" customFormat="1" ht="12.75" customHeight="1">
      <c r="B423" s="927"/>
      <c r="C423" s="986"/>
      <c r="D423" s="927"/>
      <c r="E423" s="3043"/>
      <c r="F423" s="3043"/>
      <c r="G423" s="3043"/>
      <c r="H423" s="3043"/>
      <c r="I423" s="3043"/>
      <c r="J423" s="3043"/>
      <c r="K423" s="3043"/>
      <c r="L423" s="3043"/>
      <c r="M423" s="3043"/>
      <c r="N423" s="3043"/>
      <c r="O423" s="3043"/>
      <c r="P423" s="3043"/>
      <c r="Q423" s="3043"/>
      <c r="R423" s="3043"/>
      <c r="S423" s="3043"/>
      <c r="T423" s="3043"/>
      <c r="U423" s="3043"/>
      <c r="V423" s="3043"/>
      <c r="W423" s="3043"/>
      <c r="X423" s="3043"/>
      <c r="Y423" s="3043"/>
      <c r="Z423" s="3043"/>
      <c r="AA423" s="3043"/>
      <c r="AB423" s="3043"/>
      <c r="AC423" s="3043"/>
      <c r="AD423" s="927"/>
      <c r="AE423" s="927"/>
      <c r="AF423" s="927"/>
      <c r="AG423" s="927"/>
      <c r="AH423" s="927"/>
      <c r="AI423" s="927"/>
      <c r="AJ423" s="927"/>
      <c r="AK423" s="927"/>
      <c r="AL423" s="927"/>
      <c r="AN423" s="1000"/>
    </row>
    <row r="424" spans="1:42" s="943" customFormat="1" ht="15" customHeight="1">
      <c r="B424" s="927"/>
      <c r="C424" s="986"/>
      <c r="D424" s="1106"/>
      <c r="E424" s="3043"/>
      <c r="F424" s="3043"/>
      <c r="G424" s="3043"/>
      <c r="H424" s="3043"/>
      <c r="I424" s="3043"/>
      <c r="J424" s="3043"/>
      <c r="K424" s="3043"/>
      <c r="L424" s="3043"/>
      <c r="M424" s="3043"/>
      <c r="N424" s="3043"/>
      <c r="O424" s="3043"/>
      <c r="P424" s="3043"/>
      <c r="Q424" s="3043"/>
      <c r="R424" s="3043"/>
      <c r="S424" s="3043"/>
      <c r="T424" s="3043"/>
      <c r="U424" s="3043"/>
      <c r="V424" s="3043"/>
      <c r="W424" s="3043"/>
      <c r="X424" s="3043"/>
      <c r="Y424" s="3043"/>
      <c r="Z424" s="3043"/>
      <c r="AA424" s="3043"/>
      <c r="AB424" s="3043"/>
      <c r="AC424" s="3043"/>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3" t="s">
        <v>1700</v>
      </c>
      <c r="F426" s="3043"/>
      <c r="G426" s="3043"/>
      <c r="H426" s="3043"/>
      <c r="I426" s="3043"/>
      <c r="J426" s="3043"/>
      <c r="K426" s="3043"/>
      <c r="L426" s="3043"/>
      <c r="M426" s="3043"/>
      <c r="N426" s="3043"/>
      <c r="O426" s="3043"/>
      <c r="P426" s="3043"/>
      <c r="Q426" s="3043"/>
      <c r="R426" s="3043"/>
      <c r="S426" s="3043"/>
      <c r="T426" s="3043"/>
      <c r="U426" s="3043"/>
      <c r="V426" s="3043"/>
      <c r="W426" s="3043"/>
      <c r="X426" s="3043"/>
      <c r="Y426" s="3043"/>
      <c r="Z426" s="3043"/>
      <c r="AA426" s="3043"/>
      <c r="AB426" s="3043"/>
      <c r="AC426" s="3043"/>
      <c r="AD426" s="927"/>
      <c r="AE426" s="927"/>
      <c r="AF426" s="3142" t="s">
        <v>1622</v>
      </c>
      <c r="AG426" s="3142"/>
      <c r="AH426" s="3142"/>
      <c r="AI426" s="3142"/>
      <c r="AJ426" s="3142"/>
      <c r="AK426" s="3142"/>
      <c r="AL426" s="3142"/>
      <c r="AN426" s="1000"/>
    </row>
    <row r="427" spans="1:42" s="943" customFormat="1" ht="12.75" customHeight="1">
      <c r="A427" s="1060"/>
      <c r="B427" s="1023"/>
      <c r="C427" s="1640"/>
      <c r="D427" s="927"/>
      <c r="E427" s="3043"/>
      <c r="F427" s="3043"/>
      <c r="G427" s="3043"/>
      <c r="H427" s="3043"/>
      <c r="I427" s="3043"/>
      <c r="J427" s="3043"/>
      <c r="K427" s="3043"/>
      <c r="L427" s="3043"/>
      <c r="M427" s="3043"/>
      <c r="N427" s="3043"/>
      <c r="O427" s="3043"/>
      <c r="P427" s="3043"/>
      <c r="Q427" s="3043"/>
      <c r="R427" s="3043"/>
      <c r="S427" s="3043"/>
      <c r="T427" s="3043"/>
      <c r="U427" s="3043"/>
      <c r="V427" s="3043"/>
      <c r="W427" s="3043"/>
      <c r="X427" s="3043"/>
      <c r="Y427" s="3043"/>
      <c r="Z427" s="3043"/>
      <c r="AA427" s="3043"/>
      <c r="AB427" s="3043"/>
      <c r="AC427" s="3043"/>
      <c r="AD427" s="927"/>
      <c r="AE427" s="3142"/>
      <c r="AF427" s="3142"/>
      <c r="AG427" s="3142"/>
      <c r="AH427" s="3142"/>
      <c r="AI427" s="3142"/>
      <c r="AJ427" s="3142"/>
      <c r="AK427" s="3142"/>
      <c r="AL427" s="1596"/>
      <c r="AM427" s="1026"/>
      <c r="AN427" s="1000"/>
      <c r="AO427" s="943" t="s">
        <v>625</v>
      </c>
      <c r="AP427" s="1120">
        <v>0</v>
      </c>
    </row>
    <row r="428" spans="1:42" s="943" customFormat="1" ht="12.75" customHeight="1">
      <c r="A428" s="1126"/>
      <c r="B428" s="927"/>
      <c r="C428" s="927"/>
      <c r="D428" s="1106"/>
      <c r="E428" s="3043"/>
      <c r="F428" s="3043"/>
      <c r="G428" s="3043"/>
      <c r="H428" s="3043"/>
      <c r="I428" s="3043"/>
      <c r="J428" s="3043"/>
      <c r="K428" s="3043"/>
      <c r="L428" s="3043"/>
      <c r="M428" s="3043"/>
      <c r="N428" s="3043"/>
      <c r="O428" s="3043"/>
      <c r="P428" s="3043"/>
      <c r="Q428" s="3043"/>
      <c r="R428" s="3043"/>
      <c r="S428" s="3043"/>
      <c r="T428" s="3043"/>
      <c r="U428" s="3043"/>
      <c r="V428" s="3043"/>
      <c r="W428" s="3043"/>
      <c r="X428" s="3043"/>
      <c r="Y428" s="3043"/>
      <c r="Z428" s="3043"/>
      <c r="AA428" s="3043"/>
      <c r="AB428" s="3043"/>
      <c r="AC428" s="3043"/>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43" t="s">
        <v>1701</v>
      </c>
      <c r="F430" s="3043"/>
      <c r="G430" s="3043"/>
      <c r="H430" s="3043"/>
      <c r="I430" s="3043"/>
      <c r="J430" s="3043"/>
      <c r="K430" s="3043"/>
      <c r="L430" s="3043"/>
      <c r="M430" s="3043"/>
      <c r="N430" s="3043"/>
      <c r="O430" s="3043"/>
      <c r="P430" s="3043"/>
      <c r="Q430" s="3043"/>
      <c r="R430" s="3043"/>
      <c r="S430" s="3043"/>
      <c r="T430" s="3043"/>
      <c r="U430" s="3043"/>
      <c r="V430" s="3043"/>
      <c r="W430" s="3043"/>
      <c r="X430" s="3043"/>
      <c r="Y430" s="3043"/>
      <c r="Z430" s="3043"/>
      <c r="AA430" s="3043"/>
      <c r="AB430" s="3043"/>
      <c r="AC430" s="3043"/>
      <c r="AD430" s="927"/>
      <c r="AE430" s="927"/>
      <c r="AF430" s="3142" t="s">
        <v>1677</v>
      </c>
      <c r="AG430" s="3142"/>
      <c r="AH430" s="3142"/>
      <c r="AI430" s="3142"/>
      <c r="AJ430" s="3142"/>
      <c r="AK430" s="3142"/>
      <c r="AL430" s="3142"/>
      <c r="AN430" s="1000"/>
    </row>
    <row r="431" spans="1:42" s="943" customFormat="1" ht="12.75" customHeight="1">
      <c r="A431" s="1115"/>
      <c r="B431" s="1023"/>
      <c r="C431" s="1656"/>
      <c r="D431" s="1106"/>
      <c r="E431" s="3043"/>
      <c r="F431" s="3043"/>
      <c r="G431" s="3043"/>
      <c r="H431" s="3043"/>
      <c r="I431" s="3043"/>
      <c r="J431" s="3043"/>
      <c r="K431" s="3043"/>
      <c r="L431" s="3043"/>
      <c r="M431" s="3043"/>
      <c r="N431" s="3043"/>
      <c r="O431" s="3043"/>
      <c r="P431" s="3043"/>
      <c r="Q431" s="3043"/>
      <c r="R431" s="3043"/>
      <c r="S431" s="3043"/>
      <c r="T431" s="3043"/>
      <c r="U431" s="3043"/>
      <c r="V431" s="3043"/>
      <c r="W431" s="3043"/>
      <c r="X431" s="3043"/>
      <c r="Y431" s="3043"/>
      <c r="Z431" s="3043"/>
      <c r="AA431" s="3043"/>
      <c r="AB431" s="3043"/>
      <c r="AC431" s="3043"/>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3"/>
      <c r="F432" s="3043"/>
      <c r="G432" s="3043"/>
      <c r="H432" s="3043"/>
      <c r="I432" s="3043"/>
      <c r="J432" s="3043"/>
      <c r="K432" s="3043"/>
      <c r="L432" s="3043"/>
      <c r="M432" s="3043"/>
      <c r="N432" s="3043"/>
      <c r="O432" s="3043"/>
      <c r="P432" s="3043"/>
      <c r="Q432" s="3043"/>
      <c r="R432" s="3043"/>
      <c r="S432" s="3043"/>
      <c r="T432" s="3043"/>
      <c r="U432" s="3043"/>
      <c r="V432" s="3043"/>
      <c r="W432" s="3043"/>
      <c r="X432" s="3043"/>
      <c r="Y432" s="3043"/>
      <c r="Z432" s="3043"/>
      <c r="AA432" s="3043"/>
      <c r="AB432" s="3043"/>
      <c r="AC432" s="3043"/>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43" t="s">
        <v>1702</v>
      </c>
      <c r="F434" s="3043"/>
      <c r="G434" s="3043"/>
      <c r="H434" s="3043"/>
      <c r="I434" s="3043"/>
      <c r="J434" s="3043"/>
      <c r="K434" s="3043"/>
      <c r="L434" s="3043"/>
      <c r="M434" s="3043"/>
      <c r="N434" s="3043"/>
      <c r="O434" s="3043"/>
      <c r="P434" s="3043"/>
      <c r="Q434" s="3043"/>
      <c r="R434" s="3043"/>
      <c r="S434" s="3043"/>
      <c r="T434" s="3043"/>
      <c r="U434" s="3043"/>
      <c r="V434" s="3043"/>
      <c r="W434" s="3043"/>
      <c r="X434" s="3043"/>
      <c r="Y434" s="3043"/>
      <c r="Z434" s="3043"/>
      <c r="AA434" s="3043"/>
      <c r="AB434" s="3043"/>
      <c r="AC434" s="3043"/>
      <c r="AD434" s="927"/>
      <c r="AE434" s="927"/>
      <c r="AF434" s="3142" t="s">
        <v>1622</v>
      </c>
      <c r="AG434" s="3142"/>
      <c r="AH434" s="3142"/>
      <c r="AI434" s="3142"/>
      <c r="AJ434" s="3142"/>
      <c r="AK434" s="3142"/>
      <c r="AL434" s="3142"/>
      <c r="AM434" s="1065"/>
      <c r="AN434" s="1000"/>
    </row>
    <row r="435" spans="1:42" s="943" customFormat="1" ht="12.75" customHeight="1">
      <c r="A435" s="1060"/>
      <c r="B435" s="1023"/>
      <c r="C435" s="1640"/>
      <c r="D435" s="1106"/>
      <c r="E435" s="3043"/>
      <c r="F435" s="3043"/>
      <c r="G435" s="3043"/>
      <c r="H435" s="3043"/>
      <c r="I435" s="3043"/>
      <c r="J435" s="3043"/>
      <c r="K435" s="3043"/>
      <c r="L435" s="3043"/>
      <c r="M435" s="3043"/>
      <c r="N435" s="3043"/>
      <c r="O435" s="3043"/>
      <c r="P435" s="3043"/>
      <c r="Q435" s="3043"/>
      <c r="R435" s="3043"/>
      <c r="S435" s="3043"/>
      <c r="T435" s="3043"/>
      <c r="U435" s="3043"/>
      <c r="V435" s="3043"/>
      <c r="W435" s="3043"/>
      <c r="X435" s="3043"/>
      <c r="Y435" s="3043"/>
      <c r="Z435" s="3043"/>
      <c r="AA435" s="3043"/>
      <c r="AB435" s="3043"/>
      <c r="AC435" s="3043"/>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3"/>
      <c r="F436" s="3043"/>
      <c r="G436" s="3043"/>
      <c r="H436" s="3043"/>
      <c r="I436" s="3043"/>
      <c r="J436" s="3043"/>
      <c r="K436" s="3043"/>
      <c r="L436" s="3043"/>
      <c r="M436" s="3043"/>
      <c r="N436" s="3043"/>
      <c r="O436" s="3043"/>
      <c r="P436" s="3043"/>
      <c r="Q436" s="3043"/>
      <c r="R436" s="3043"/>
      <c r="S436" s="3043"/>
      <c r="T436" s="3043"/>
      <c r="U436" s="3043"/>
      <c r="V436" s="3043"/>
      <c r="W436" s="3043"/>
      <c r="X436" s="3043"/>
      <c r="Y436" s="3043"/>
      <c r="Z436" s="3043"/>
      <c r="AA436" s="3043"/>
      <c r="AB436" s="3043"/>
      <c r="AC436" s="3043"/>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43" t="s">
        <v>1703</v>
      </c>
      <c r="F438" s="3043"/>
      <c r="G438" s="3043"/>
      <c r="H438" s="3043"/>
      <c r="I438" s="3043"/>
      <c r="J438" s="3043"/>
      <c r="K438" s="3043"/>
      <c r="L438" s="3043"/>
      <c r="M438" s="3043"/>
      <c r="N438" s="3043"/>
      <c r="O438" s="3043"/>
      <c r="P438" s="3043"/>
      <c r="Q438" s="3043"/>
      <c r="R438" s="3043"/>
      <c r="S438" s="3043"/>
      <c r="T438" s="3043"/>
      <c r="U438" s="3043"/>
      <c r="V438" s="3043"/>
      <c r="W438" s="3043"/>
      <c r="X438" s="3043"/>
      <c r="Y438" s="3043"/>
      <c r="Z438" s="3043"/>
      <c r="AA438" s="3043"/>
      <c r="AB438" s="3043"/>
      <c r="AC438" s="3043"/>
      <c r="AD438" s="927"/>
      <c r="AE438" s="927"/>
      <c r="AF438" s="3142" t="s">
        <v>1686</v>
      </c>
      <c r="AG438" s="3142"/>
      <c r="AH438" s="3142"/>
      <c r="AI438" s="3142"/>
      <c r="AJ438" s="3142"/>
      <c r="AK438" s="3142"/>
      <c r="AL438" s="3142"/>
      <c r="AM438" s="1065"/>
      <c r="AN438" s="1000"/>
    </row>
    <row r="439" spans="1:42" s="943" customFormat="1" ht="12.75" customHeight="1">
      <c r="A439" s="1599"/>
      <c r="B439" s="1006"/>
      <c r="C439" s="1637"/>
      <c r="D439" s="1106"/>
      <c r="E439" s="3043"/>
      <c r="F439" s="3043"/>
      <c r="G439" s="3043"/>
      <c r="H439" s="3043"/>
      <c r="I439" s="3043"/>
      <c r="J439" s="3043"/>
      <c r="K439" s="3043"/>
      <c r="L439" s="3043"/>
      <c r="M439" s="3043"/>
      <c r="N439" s="3043"/>
      <c r="O439" s="3043"/>
      <c r="P439" s="3043"/>
      <c r="Q439" s="3043"/>
      <c r="R439" s="3043"/>
      <c r="S439" s="3043"/>
      <c r="T439" s="3043"/>
      <c r="U439" s="3043"/>
      <c r="V439" s="3043"/>
      <c r="W439" s="3043"/>
      <c r="X439" s="3043"/>
      <c r="Y439" s="3043"/>
      <c r="Z439" s="3043"/>
      <c r="AA439" s="3043"/>
      <c r="AB439" s="3043"/>
      <c r="AC439" s="3043"/>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3"/>
      <c r="F440" s="3043"/>
      <c r="G440" s="3043"/>
      <c r="H440" s="3043"/>
      <c r="I440" s="3043"/>
      <c r="J440" s="3043"/>
      <c r="K440" s="3043"/>
      <c r="L440" s="3043"/>
      <c r="M440" s="3043"/>
      <c r="N440" s="3043"/>
      <c r="O440" s="3043"/>
      <c r="P440" s="3043"/>
      <c r="Q440" s="3043"/>
      <c r="R440" s="3043"/>
      <c r="S440" s="3043"/>
      <c r="T440" s="3043"/>
      <c r="U440" s="3043"/>
      <c r="V440" s="3043"/>
      <c r="W440" s="3043"/>
      <c r="X440" s="3043"/>
      <c r="Y440" s="3043"/>
      <c r="Z440" s="3043"/>
      <c r="AA440" s="3043"/>
      <c r="AB440" s="3043"/>
      <c r="AC440" s="3043"/>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43" t="s">
        <v>1704</v>
      </c>
      <c r="F442" s="3043"/>
      <c r="G442" s="3043"/>
      <c r="H442" s="3043"/>
      <c r="I442" s="3043"/>
      <c r="J442" s="3043"/>
      <c r="K442" s="3043"/>
      <c r="L442" s="3043"/>
      <c r="M442" s="3043"/>
      <c r="N442" s="3043"/>
      <c r="O442" s="3043"/>
      <c r="P442" s="3043"/>
      <c r="Q442" s="3043"/>
      <c r="R442" s="3043"/>
      <c r="S442" s="3043"/>
      <c r="T442" s="3043"/>
      <c r="U442" s="3043"/>
      <c r="V442" s="3043"/>
      <c r="W442" s="3043"/>
      <c r="X442" s="3043"/>
      <c r="Y442" s="3043"/>
      <c r="Z442" s="3043"/>
      <c r="AA442" s="3043"/>
      <c r="AB442" s="3043"/>
      <c r="AC442" s="3043"/>
      <c r="AD442" s="927"/>
      <c r="AE442" s="927"/>
      <c r="AF442" s="3142" t="s">
        <v>1705</v>
      </c>
      <c r="AG442" s="3142"/>
      <c r="AH442" s="3142"/>
      <c r="AI442" s="3142"/>
      <c r="AJ442" s="3142"/>
      <c r="AK442" s="3142"/>
      <c r="AL442" s="3142"/>
      <c r="AM442" s="1065"/>
      <c r="AN442" s="1000"/>
      <c r="AO442" s="1118" t="s">
        <v>724</v>
      </c>
      <c r="AP442" s="943">
        <v>3</v>
      </c>
    </row>
    <row r="443" spans="1:42" s="943" customFormat="1" ht="12.75" customHeight="1">
      <c r="A443" s="1599"/>
      <c r="B443" s="1006"/>
      <c r="C443" s="1637"/>
      <c r="D443" s="1106"/>
      <c r="E443" s="3043"/>
      <c r="F443" s="3043"/>
      <c r="G443" s="3043"/>
      <c r="H443" s="3043"/>
      <c r="I443" s="3043"/>
      <c r="J443" s="3043"/>
      <c r="K443" s="3043"/>
      <c r="L443" s="3043"/>
      <c r="M443" s="3043"/>
      <c r="N443" s="3043"/>
      <c r="O443" s="3043"/>
      <c r="P443" s="3043"/>
      <c r="Q443" s="3043"/>
      <c r="R443" s="3043"/>
      <c r="S443" s="3043"/>
      <c r="T443" s="3043"/>
      <c r="U443" s="3043"/>
      <c r="V443" s="3043"/>
      <c r="W443" s="3043"/>
      <c r="X443" s="3043"/>
      <c r="Y443" s="3043"/>
      <c r="Z443" s="3043"/>
      <c r="AA443" s="3043"/>
      <c r="AB443" s="3043"/>
      <c r="AC443" s="3043"/>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43"/>
      <c r="F444" s="3043"/>
      <c r="G444" s="3043"/>
      <c r="H444" s="3043"/>
      <c r="I444" s="3043"/>
      <c r="J444" s="3043"/>
      <c r="K444" s="3043"/>
      <c r="L444" s="3043"/>
      <c r="M444" s="3043"/>
      <c r="N444" s="3043"/>
      <c r="O444" s="3043"/>
      <c r="P444" s="3043"/>
      <c r="Q444" s="3043"/>
      <c r="R444" s="3043"/>
      <c r="S444" s="3043"/>
      <c r="T444" s="3043"/>
      <c r="U444" s="3043"/>
      <c r="V444" s="3043"/>
      <c r="W444" s="3043"/>
      <c r="X444" s="3043"/>
      <c r="Y444" s="3043"/>
      <c r="Z444" s="3043"/>
      <c r="AA444" s="3043"/>
      <c r="AB444" s="3043"/>
      <c r="AC444" s="3043"/>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042" t="s">
        <v>284</v>
      </c>
      <c r="I446" s="3042"/>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25">
        <f>VLOOKUP($H$446,$AO$394:$AP$401,2,FALSE)</f>
        <v>3</v>
      </c>
      <c r="AK448" s="3027"/>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43" t="s">
        <v>2188</v>
      </c>
      <c r="F452" s="3043"/>
      <c r="G452" s="3043"/>
      <c r="H452" s="3043"/>
      <c r="I452" s="3043"/>
      <c r="J452" s="3043"/>
      <c r="K452" s="3043"/>
      <c r="L452" s="3043"/>
      <c r="M452" s="3043"/>
      <c r="N452" s="3043"/>
      <c r="O452" s="3043"/>
      <c r="P452" s="3043"/>
      <c r="Q452" s="3043"/>
      <c r="R452" s="3043"/>
      <c r="S452" s="3043"/>
      <c r="T452" s="3043"/>
      <c r="U452" s="3043"/>
      <c r="V452" s="3043"/>
      <c r="W452" s="3043"/>
      <c r="X452" s="3043"/>
      <c r="Y452" s="3043"/>
      <c r="Z452" s="3043"/>
      <c r="AA452" s="3043"/>
      <c r="AB452" s="3043"/>
      <c r="AC452" s="927"/>
      <c r="AD452" s="927"/>
      <c r="AE452" s="930"/>
      <c r="AF452" s="3142" t="s">
        <v>1622</v>
      </c>
      <c r="AG452" s="3142"/>
      <c r="AH452" s="3142"/>
      <c r="AI452" s="3142"/>
      <c r="AJ452" s="3142"/>
      <c r="AK452" s="3142"/>
      <c r="AL452" s="3142"/>
      <c r="AM452" s="1026"/>
      <c r="AN452" s="1001"/>
    </row>
    <row r="453" spans="1:42" s="1002" customFormat="1" ht="12.75" customHeight="1">
      <c r="A453" s="1060"/>
      <c r="B453" s="1023"/>
      <c r="C453" s="1649"/>
      <c r="D453" s="1106"/>
      <c r="E453" s="3043"/>
      <c r="F453" s="3043"/>
      <c r="G453" s="3043"/>
      <c r="H453" s="3043"/>
      <c r="I453" s="3043"/>
      <c r="J453" s="3043"/>
      <c r="K453" s="3043"/>
      <c r="L453" s="3043"/>
      <c r="M453" s="3043"/>
      <c r="N453" s="3043"/>
      <c r="O453" s="3043"/>
      <c r="P453" s="3043"/>
      <c r="Q453" s="3043"/>
      <c r="R453" s="3043"/>
      <c r="S453" s="3043"/>
      <c r="T453" s="3043"/>
      <c r="U453" s="3043"/>
      <c r="V453" s="3043"/>
      <c r="W453" s="3043"/>
      <c r="X453" s="3043"/>
      <c r="Y453" s="3043"/>
      <c r="Z453" s="3043"/>
      <c r="AA453" s="3043"/>
      <c r="AB453" s="3043"/>
      <c r="AC453" s="927"/>
      <c r="AD453" s="927"/>
      <c r="AE453" s="1035"/>
      <c r="AF453" s="930"/>
      <c r="AG453" s="930"/>
      <c r="AH453" s="930"/>
      <c r="AI453" s="930"/>
      <c r="AJ453" s="930"/>
      <c r="AK453" s="930"/>
      <c r="AL453" s="930"/>
      <c r="AM453" s="1026"/>
      <c r="AN453" s="1001"/>
      <c r="AO453" s="3146"/>
      <c r="AP453" s="3146"/>
    </row>
    <row r="454" spans="1:42" s="1002" customFormat="1" ht="12.75" customHeight="1">
      <c r="A454" s="1060"/>
      <c r="B454" s="1023"/>
      <c r="C454" s="1649"/>
      <c r="D454" s="1106"/>
      <c r="E454" s="3043"/>
      <c r="F454" s="3043"/>
      <c r="G454" s="3043"/>
      <c r="H454" s="3043"/>
      <c r="I454" s="3043"/>
      <c r="J454" s="3043"/>
      <c r="K454" s="3043"/>
      <c r="L454" s="3043"/>
      <c r="M454" s="3043"/>
      <c r="N454" s="3043"/>
      <c r="O454" s="3043"/>
      <c r="P454" s="3043"/>
      <c r="Q454" s="3043"/>
      <c r="R454" s="3043"/>
      <c r="S454" s="3043"/>
      <c r="T454" s="3043"/>
      <c r="U454" s="3043"/>
      <c r="V454" s="3043"/>
      <c r="W454" s="3043"/>
      <c r="X454" s="3043"/>
      <c r="Y454" s="3043"/>
      <c r="Z454" s="3043"/>
      <c r="AA454" s="3043"/>
      <c r="AB454" s="3043"/>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3"/>
      <c r="F455" s="3043"/>
      <c r="G455" s="3043"/>
      <c r="H455" s="3043"/>
      <c r="I455" s="3043"/>
      <c r="J455" s="3043"/>
      <c r="K455" s="3043"/>
      <c r="L455" s="3043"/>
      <c r="M455" s="3043"/>
      <c r="N455" s="3043"/>
      <c r="O455" s="3043"/>
      <c r="P455" s="3043"/>
      <c r="Q455" s="3043"/>
      <c r="R455" s="3043"/>
      <c r="S455" s="3043"/>
      <c r="T455" s="3043"/>
      <c r="U455" s="3043"/>
      <c r="V455" s="3043"/>
      <c r="W455" s="3043"/>
      <c r="X455" s="3043"/>
      <c r="Y455" s="3043"/>
      <c r="Z455" s="3043"/>
      <c r="AA455" s="3043"/>
      <c r="AB455" s="3043"/>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43" t="s">
        <v>2190</v>
      </c>
      <c r="F457" s="3043"/>
      <c r="G457" s="3043"/>
      <c r="H457" s="3043"/>
      <c r="I457" s="3043"/>
      <c r="J457" s="3043"/>
      <c r="K457" s="3043"/>
      <c r="L457" s="3043"/>
      <c r="M457" s="3043"/>
      <c r="N457" s="3043"/>
      <c r="O457" s="3043"/>
      <c r="P457" s="3043"/>
      <c r="Q457" s="3043"/>
      <c r="R457" s="3043"/>
      <c r="S457" s="3043"/>
      <c r="T457" s="3043"/>
      <c r="U457" s="3043"/>
      <c r="V457" s="3043"/>
      <c r="W457" s="3043"/>
      <c r="X457" s="3043"/>
      <c r="Y457" s="3043"/>
      <c r="Z457" s="3043"/>
      <c r="AA457" s="3043"/>
      <c r="AB457" s="3043"/>
      <c r="AC457" s="927"/>
      <c r="AD457" s="927"/>
      <c r="AE457" s="927"/>
      <c r="AF457" s="3142" t="s">
        <v>1686</v>
      </c>
      <c r="AG457" s="3142"/>
      <c r="AH457" s="3142"/>
      <c r="AI457" s="3142"/>
      <c r="AJ457" s="3142"/>
      <c r="AK457" s="3142"/>
      <c r="AL457" s="3142"/>
      <c r="AM457" s="1026"/>
      <c r="AN457" s="1000"/>
      <c r="AO457" s="1118" t="s">
        <v>541</v>
      </c>
      <c r="AP457" s="943">
        <v>1</v>
      </c>
    </row>
    <row r="458" spans="1:42" s="943" customFormat="1" ht="12" customHeight="1">
      <c r="A458" s="1026"/>
      <c r="B458" s="927"/>
      <c r="C458" s="1657"/>
      <c r="D458" s="927"/>
      <c r="E458" s="3043"/>
      <c r="F458" s="3043"/>
      <c r="G458" s="3043"/>
      <c r="H458" s="3043"/>
      <c r="I458" s="3043"/>
      <c r="J458" s="3043"/>
      <c r="K458" s="3043"/>
      <c r="L458" s="3043"/>
      <c r="M458" s="3043"/>
      <c r="N458" s="3043"/>
      <c r="O458" s="3043"/>
      <c r="P458" s="3043"/>
      <c r="Q458" s="3043"/>
      <c r="R458" s="3043"/>
      <c r="S458" s="3043"/>
      <c r="T458" s="3043"/>
      <c r="U458" s="3043"/>
      <c r="V458" s="3043"/>
      <c r="W458" s="3043"/>
      <c r="X458" s="3043"/>
      <c r="Y458" s="3043"/>
      <c r="Z458" s="3043"/>
      <c r="AA458" s="3043"/>
      <c r="AB458" s="3043"/>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3"/>
      <c r="F459" s="3043"/>
      <c r="G459" s="3043"/>
      <c r="H459" s="3043"/>
      <c r="I459" s="3043"/>
      <c r="J459" s="3043"/>
      <c r="K459" s="3043"/>
      <c r="L459" s="3043"/>
      <c r="M459" s="3043"/>
      <c r="N459" s="3043"/>
      <c r="O459" s="3043"/>
      <c r="P459" s="3043"/>
      <c r="Q459" s="3043"/>
      <c r="R459" s="3043"/>
      <c r="S459" s="3043"/>
      <c r="T459" s="3043"/>
      <c r="U459" s="3043"/>
      <c r="V459" s="3043"/>
      <c r="W459" s="3043"/>
      <c r="X459" s="3043"/>
      <c r="Y459" s="3043"/>
      <c r="Z459" s="3043"/>
      <c r="AA459" s="3043"/>
      <c r="AB459" s="3043"/>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3"/>
      <c r="F460" s="3043"/>
      <c r="G460" s="3043"/>
      <c r="H460" s="3043"/>
      <c r="I460" s="3043"/>
      <c r="J460" s="3043"/>
      <c r="K460" s="3043"/>
      <c r="L460" s="3043"/>
      <c r="M460" s="3043"/>
      <c r="N460" s="3043"/>
      <c r="O460" s="3043"/>
      <c r="P460" s="3043"/>
      <c r="Q460" s="3043"/>
      <c r="R460" s="3043"/>
      <c r="S460" s="3043"/>
      <c r="T460" s="3043"/>
      <c r="U460" s="3043"/>
      <c r="V460" s="3043"/>
      <c r="W460" s="3043"/>
      <c r="X460" s="3043"/>
      <c r="Y460" s="3043"/>
      <c r="Z460" s="3043"/>
      <c r="AA460" s="3043"/>
      <c r="AB460" s="3043"/>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3" t="s">
        <v>2189</v>
      </c>
      <c r="F462" s="3043"/>
      <c r="G462" s="3043"/>
      <c r="H462" s="3043"/>
      <c r="I462" s="3043"/>
      <c r="J462" s="3043"/>
      <c r="K462" s="3043"/>
      <c r="L462" s="3043"/>
      <c r="M462" s="3043"/>
      <c r="N462" s="3043"/>
      <c r="O462" s="3043"/>
      <c r="P462" s="3043"/>
      <c r="Q462" s="3043"/>
      <c r="R462" s="3043"/>
      <c r="S462" s="3043"/>
      <c r="T462" s="3043"/>
      <c r="U462" s="3043"/>
      <c r="V462" s="3043"/>
      <c r="W462" s="3043"/>
      <c r="X462" s="3043"/>
      <c r="Y462" s="3043"/>
      <c r="Z462" s="3043"/>
      <c r="AA462" s="3043"/>
      <c r="AB462" s="3043"/>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3"/>
      <c r="F463" s="3043"/>
      <c r="G463" s="3043"/>
      <c r="H463" s="3043"/>
      <c r="I463" s="3043"/>
      <c r="J463" s="3043"/>
      <c r="K463" s="3043"/>
      <c r="L463" s="3043"/>
      <c r="M463" s="3043"/>
      <c r="N463" s="3043"/>
      <c r="O463" s="3043"/>
      <c r="P463" s="3043"/>
      <c r="Q463" s="3043"/>
      <c r="R463" s="3043"/>
      <c r="S463" s="3043"/>
      <c r="T463" s="3043"/>
      <c r="U463" s="3043"/>
      <c r="V463" s="3043"/>
      <c r="W463" s="3043"/>
      <c r="X463" s="3043"/>
      <c r="Y463" s="3043"/>
      <c r="Z463" s="3043"/>
      <c r="AA463" s="3043"/>
      <c r="AB463" s="3043"/>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3"/>
      <c r="F464" s="3043"/>
      <c r="G464" s="3043"/>
      <c r="H464" s="3043"/>
      <c r="I464" s="3043"/>
      <c r="J464" s="3043"/>
      <c r="K464" s="3043"/>
      <c r="L464" s="3043"/>
      <c r="M464" s="3043"/>
      <c r="N464" s="3043"/>
      <c r="O464" s="3043"/>
      <c r="P464" s="3043"/>
      <c r="Q464" s="3043"/>
      <c r="R464" s="3043"/>
      <c r="S464" s="3043"/>
      <c r="T464" s="3043"/>
      <c r="U464" s="3043"/>
      <c r="V464" s="3043"/>
      <c r="W464" s="3043"/>
      <c r="X464" s="3043"/>
      <c r="Y464" s="3043"/>
      <c r="Z464" s="3043"/>
      <c r="AA464" s="3043"/>
      <c r="AB464" s="3043"/>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042" t="s">
        <v>724</v>
      </c>
      <c r="I466" s="3042"/>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25">
        <f>VLOOKUP($H$466,$AO$413:$AP$415,2,FALSE)</f>
        <v>3</v>
      </c>
      <c r="AK468" s="3027"/>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44" t="s">
        <v>2193</v>
      </c>
      <c r="F472" s="3144"/>
      <c r="G472" s="3144"/>
      <c r="H472" s="3144"/>
      <c r="I472" s="3144"/>
      <c r="J472" s="3144"/>
      <c r="K472" s="3144"/>
      <c r="L472" s="3144"/>
      <c r="M472" s="3144"/>
      <c r="N472" s="3144"/>
      <c r="O472" s="3144"/>
      <c r="P472" s="3144"/>
      <c r="Q472" s="3144"/>
      <c r="R472" s="3144"/>
      <c r="S472" s="3144"/>
      <c r="T472" s="3144"/>
      <c r="U472" s="3144"/>
      <c r="V472" s="3144"/>
      <c r="W472" s="3144"/>
      <c r="X472" s="3144"/>
      <c r="Y472" s="3144"/>
      <c r="Z472" s="3144"/>
      <c r="AA472" s="3144"/>
      <c r="AB472" s="3144"/>
      <c r="AC472" s="927"/>
      <c r="AD472" s="927"/>
      <c r="AE472" s="927"/>
      <c r="AF472" s="3142" t="s">
        <v>1622</v>
      </c>
      <c r="AG472" s="3142"/>
      <c r="AH472" s="3142"/>
      <c r="AI472" s="3142"/>
      <c r="AJ472" s="3142"/>
      <c r="AK472" s="3142"/>
      <c r="AL472" s="3142"/>
      <c r="AM472" s="1026"/>
      <c r="AN472" s="1133"/>
      <c r="AP472" s="1135" t="s">
        <v>1714</v>
      </c>
    </row>
    <row r="473" spans="1:43" s="1134" customFormat="1" ht="11.9" customHeight="1">
      <c r="A473" s="1060"/>
      <c r="B473" s="1023"/>
      <c r="C473" s="1639"/>
      <c r="D473" s="1106"/>
      <c r="E473" s="3144"/>
      <c r="F473" s="3144"/>
      <c r="G473" s="3144"/>
      <c r="H473" s="3144"/>
      <c r="I473" s="3144"/>
      <c r="J473" s="3144"/>
      <c r="K473" s="3144"/>
      <c r="L473" s="3144"/>
      <c r="M473" s="3144"/>
      <c r="N473" s="3144"/>
      <c r="O473" s="3144"/>
      <c r="P473" s="3144"/>
      <c r="Q473" s="3144"/>
      <c r="R473" s="3144"/>
      <c r="S473" s="3144"/>
      <c r="T473" s="3144"/>
      <c r="U473" s="3144"/>
      <c r="V473" s="3144"/>
      <c r="W473" s="3144"/>
      <c r="X473" s="3144"/>
      <c r="Y473" s="3144"/>
      <c r="Z473" s="3144"/>
      <c r="AA473" s="3144"/>
      <c r="AB473" s="3144"/>
      <c r="AC473" s="927"/>
      <c r="AD473" s="927"/>
      <c r="AE473" s="1023"/>
      <c r="AF473" s="927"/>
      <c r="AG473" s="927"/>
      <c r="AH473" s="927"/>
      <c r="AI473" s="927"/>
      <c r="AJ473" s="927"/>
      <c r="AK473" s="927"/>
      <c r="AL473" s="927"/>
      <c r="AM473" s="1026"/>
      <c r="AN473" s="1133"/>
      <c r="AP473" s="1135" t="s">
        <v>1715</v>
      </c>
    </row>
    <row r="474" spans="1:43" s="1134" customFormat="1" ht="13.9" customHeight="1">
      <c r="A474" s="1060"/>
      <c r="B474" s="1024"/>
      <c r="C474" s="1640"/>
      <c r="D474" s="1106"/>
      <c r="E474" s="3144"/>
      <c r="F474" s="3144"/>
      <c r="G474" s="3144"/>
      <c r="H474" s="3144"/>
      <c r="I474" s="3144"/>
      <c r="J474" s="3144"/>
      <c r="K474" s="3144"/>
      <c r="L474" s="3144"/>
      <c r="M474" s="3144"/>
      <c r="N474" s="3144"/>
      <c r="O474" s="3144"/>
      <c r="P474" s="3144"/>
      <c r="Q474" s="3144"/>
      <c r="R474" s="3144"/>
      <c r="S474" s="3144"/>
      <c r="T474" s="3144"/>
      <c r="U474" s="3144"/>
      <c r="V474" s="3144"/>
      <c r="W474" s="3144"/>
      <c r="X474" s="3144"/>
      <c r="Y474" s="3144"/>
      <c r="Z474" s="3144"/>
      <c r="AA474" s="3144"/>
      <c r="AB474" s="3144"/>
      <c r="AC474" s="927"/>
      <c r="AD474" s="927"/>
      <c r="AE474" s="1035"/>
      <c r="AF474" s="927"/>
      <c r="AG474" s="927"/>
      <c r="AH474" s="927"/>
      <c r="AI474" s="927"/>
      <c r="AJ474" s="927"/>
      <c r="AK474" s="927"/>
      <c r="AL474" s="927"/>
      <c r="AM474" s="1026"/>
      <c r="AN474" s="1133"/>
      <c r="AP474" s="1135" t="s">
        <v>1716</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 customHeight="1">
      <c r="A476" s="1060"/>
      <c r="B476" s="1006"/>
      <c r="C476" s="1637"/>
      <c r="D476" s="1106" t="s">
        <v>541</v>
      </c>
      <c r="E476" s="3145" t="s">
        <v>1717</v>
      </c>
      <c r="F476" s="3145"/>
      <c r="G476" s="3145"/>
      <c r="H476" s="3145"/>
      <c r="I476" s="3145"/>
      <c r="J476" s="3145"/>
      <c r="K476" s="3145"/>
      <c r="L476" s="3145"/>
      <c r="M476" s="3145"/>
      <c r="N476" s="3145"/>
      <c r="O476" s="3145"/>
      <c r="P476" s="3145"/>
      <c r="Q476" s="3145"/>
      <c r="R476" s="3145"/>
      <c r="S476" s="3145"/>
      <c r="T476" s="3145"/>
      <c r="U476" s="3145"/>
      <c r="V476" s="3145"/>
      <c r="W476" s="3145"/>
      <c r="X476" s="3145"/>
      <c r="Y476" s="3145"/>
      <c r="Z476" s="3145"/>
      <c r="AA476" s="3145"/>
      <c r="AB476" s="3145"/>
      <c r="AC476" s="927"/>
      <c r="AD476" s="927"/>
      <c r="AE476" s="927"/>
      <c r="AF476" s="3142" t="s">
        <v>1686</v>
      </c>
      <c r="AG476" s="3142"/>
      <c r="AH476" s="3142"/>
      <c r="AI476" s="3142"/>
      <c r="AJ476" s="3142"/>
      <c r="AK476" s="3142"/>
      <c r="AL476" s="3142"/>
      <c r="AM476" s="1026"/>
      <c r="AN476" s="1136"/>
    </row>
    <row r="477" spans="1:43" s="1134" customFormat="1" ht="12.75" customHeight="1">
      <c r="A477" s="1060"/>
      <c r="B477" s="1023"/>
      <c r="C477" s="1639"/>
      <c r="D477" s="1023"/>
      <c r="E477" s="3145"/>
      <c r="F477" s="3145"/>
      <c r="G477" s="3145"/>
      <c r="H477" s="3145"/>
      <c r="I477" s="3145"/>
      <c r="J477" s="3145"/>
      <c r="K477" s="3145"/>
      <c r="L477" s="3145"/>
      <c r="M477" s="3145"/>
      <c r="N477" s="3145"/>
      <c r="O477" s="3145"/>
      <c r="P477" s="3145"/>
      <c r="Q477" s="3145"/>
      <c r="R477" s="3145"/>
      <c r="S477" s="3145"/>
      <c r="T477" s="3145"/>
      <c r="U477" s="3145"/>
      <c r="V477" s="3145"/>
      <c r="W477" s="3145"/>
      <c r="X477" s="3145"/>
      <c r="Y477" s="3145"/>
      <c r="Z477" s="3145"/>
      <c r="AA477" s="3145"/>
      <c r="AB477" s="3145"/>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9"/>
      <c r="D478" s="1023"/>
      <c r="E478" s="3145"/>
      <c r="F478" s="3145"/>
      <c r="G478" s="3145"/>
      <c r="H478" s="3145"/>
      <c r="I478" s="3145"/>
      <c r="J478" s="3145"/>
      <c r="K478" s="3145"/>
      <c r="L478" s="3145"/>
      <c r="M478" s="3145"/>
      <c r="N478" s="3145"/>
      <c r="O478" s="3145"/>
      <c r="P478" s="3145"/>
      <c r="Q478" s="3145"/>
      <c r="R478" s="3145"/>
      <c r="S478" s="3145"/>
      <c r="T478" s="3145"/>
      <c r="U478" s="3145"/>
      <c r="V478" s="3145"/>
      <c r="W478" s="3145"/>
      <c r="X478" s="3145"/>
      <c r="Y478" s="3145"/>
      <c r="Z478" s="3145"/>
      <c r="AA478" s="3145"/>
      <c r="AB478" s="3145"/>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9"/>
      <c r="D480" s="1023" t="s">
        <v>1678</v>
      </c>
      <c r="E480" s="1643"/>
      <c r="F480" s="1643"/>
      <c r="G480" s="1643"/>
      <c r="H480" s="3042" t="s">
        <v>625</v>
      </c>
      <c r="I480" s="3042"/>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25">
        <f>VLOOKUP($H$480,$AO$413:$AP$415,2,FALSE)</f>
        <v>0</v>
      </c>
      <c r="AK482" s="3027"/>
      <c r="AL482" s="1005"/>
      <c r="AM482" s="1002"/>
      <c r="AN482" s="1138"/>
      <c r="AP482" s="3025"/>
      <c r="AQ482" s="3027"/>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7"/>
      <c r="D486" s="1106" t="s">
        <v>724</v>
      </c>
      <c r="E486" s="3043" t="s">
        <v>2194</v>
      </c>
      <c r="F486" s="3043"/>
      <c r="G486" s="3043"/>
      <c r="H486" s="3043"/>
      <c r="I486" s="3043"/>
      <c r="J486" s="3043"/>
      <c r="K486" s="3043"/>
      <c r="L486" s="3043"/>
      <c r="M486" s="3043"/>
      <c r="N486" s="3043"/>
      <c r="O486" s="3043"/>
      <c r="P486" s="3043"/>
      <c r="Q486" s="3043"/>
      <c r="R486" s="3043"/>
      <c r="S486" s="3043"/>
      <c r="T486" s="3043"/>
      <c r="U486" s="3043"/>
      <c r="V486" s="3043"/>
      <c r="W486" s="3043"/>
      <c r="X486" s="3043"/>
      <c r="Y486" s="3043"/>
      <c r="Z486" s="3043"/>
      <c r="AA486" s="3043"/>
      <c r="AB486" s="3043"/>
      <c r="AC486" s="927"/>
      <c r="AD486" s="927"/>
      <c r="AE486" s="927"/>
      <c r="AF486" s="3142" t="s">
        <v>1622</v>
      </c>
      <c r="AG486" s="3142"/>
      <c r="AH486" s="3142"/>
      <c r="AI486" s="3142"/>
      <c r="AJ486" s="3142"/>
      <c r="AK486" s="3142"/>
      <c r="AL486" s="3142"/>
      <c r="AM486" s="1026"/>
      <c r="AN486" s="1133"/>
      <c r="AT486" s="51"/>
      <c r="AU486" s="51"/>
      <c r="AV486" s="51"/>
      <c r="AW486" s="51"/>
      <c r="AX486" s="51"/>
      <c r="AY486" s="51"/>
      <c r="AZ486" s="51"/>
    </row>
    <row r="487" spans="1:81" s="1134" customFormat="1" ht="13">
      <c r="A487" s="1060"/>
      <c r="B487" s="1023"/>
      <c r="C487" s="1639"/>
      <c r="D487" s="1106"/>
      <c r="E487" s="3043"/>
      <c r="F487" s="3043"/>
      <c r="G487" s="3043"/>
      <c r="H487" s="3043"/>
      <c r="I487" s="3043"/>
      <c r="J487" s="3043"/>
      <c r="K487" s="3043"/>
      <c r="L487" s="3043"/>
      <c r="M487" s="3043"/>
      <c r="N487" s="3043"/>
      <c r="O487" s="3043"/>
      <c r="P487" s="3043"/>
      <c r="Q487" s="3043"/>
      <c r="R487" s="3043"/>
      <c r="S487" s="3043"/>
      <c r="T487" s="3043"/>
      <c r="U487" s="3043"/>
      <c r="V487" s="3043"/>
      <c r="W487" s="3043"/>
      <c r="X487" s="3043"/>
      <c r="Y487" s="3043"/>
      <c r="Z487" s="3043"/>
      <c r="AA487" s="3043"/>
      <c r="AB487" s="3043"/>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43" t="s">
        <v>1721</v>
      </c>
      <c r="F489" s="3043"/>
      <c r="G489" s="3043"/>
      <c r="H489" s="3043"/>
      <c r="I489" s="3043"/>
      <c r="J489" s="3043"/>
      <c r="K489" s="3043"/>
      <c r="L489" s="3043"/>
      <c r="M489" s="3043"/>
      <c r="N489" s="3043"/>
      <c r="O489" s="3043"/>
      <c r="P489" s="3043"/>
      <c r="Q489" s="3043"/>
      <c r="R489" s="3043"/>
      <c r="S489" s="3043"/>
      <c r="T489" s="3043"/>
      <c r="U489" s="3043"/>
      <c r="V489" s="3043"/>
      <c r="W489" s="3043"/>
      <c r="X489" s="3043"/>
      <c r="Y489" s="3043"/>
      <c r="Z489" s="3043"/>
      <c r="AA489" s="3043"/>
      <c r="AB489" s="3043"/>
      <c r="AC489" s="927"/>
      <c r="AD489" s="927"/>
      <c r="AE489" s="927"/>
      <c r="AF489" s="3142" t="s">
        <v>1686</v>
      </c>
      <c r="AG489" s="3142"/>
      <c r="AH489" s="3142"/>
      <c r="AI489" s="3142"/>
      <c r="AJ489" s="3142"/>
      <c r="AK489" s="3142"/>
      <c r="AL489" s="3142"/>
      <c r="AM489" s="1026"/>
      <c r="AN489" s="1133"/>
      <c r="AT489" s="51"/>
      <c r="AU489" s="51"/>
      <c r="AV489" s="51"/>
      <c r="AW489" s="51"/>
      <c r="AX489" s="51"/>
      <c r="AY489" s="51"/>
      <c r="AZ489" s="51"/>
    </row>
    <row r="490" spans="1:81" s="1134" customFormat="1" ht="13">
      <c r="A490" s="1060"/>
      <c r="B490" s="1023"/>
      <c r="C490" s="1639"/>
      <c r="D490" s="1023"/>
      <c r="E490" s="3043"/>
      <c r="F490" s="3043"/>
      <c r="G490" s="3043"/>
      <c r="H490" s="3043"/>
      <c r="I490" s="3043"/>
      <c r="J490" s="3043"/>
      <c r="K490" s="3043"/>
      <c r="L490" s="3043"/>
      <c r="M490" s="3043"/>
      <c r="N490" s="3043"/>
      <c r="O490" s="3043"/>
      <c r="P490" s="3043"/>
      <c r="Q490" s="3043"/>
      <c r="R490" s="3043"/>
      <c r="S490" s="3043"/>
      <c r="T490" s="3043"/>
      <c r="U490" s="3043"/>
      <c r="V490" s="3043"/>
      <c r="W490" s="3043"/>
      <c r="X490" s="3043"/>
      <c r="Y490" s="3043"/>
      <c r="Z490" s="3043"/>
      <c r="AA490" s="3043"/>
      <c r="AB490" s="3043"/>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042" t="s">
        <v>625</v>
      </c>
      <c r="I492" s="3042"/>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25">
        <f>VLOOKUP($H$492,$AO$427:$AP$429,2,FALSE)</f>
        <v>0</v>
      </c>
      <c r="AK494" s="3027"/>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7"/>
      <c r="D498" s="1106" t="s">
        <v>724</v>
      </c>
      <c r="E498" s="3043" t="s">
        <v>1724</v>
      </c>
      <c r="F498" s="3043"/>
      <c r="G498" s="3043"/>
      <c r="H498" s="3043"/>
      <c r="I498" s="3043"/>
      <c r="J498" s="3043"/>
      <c r="K498" s="3043"/>
      <c r="L498" s="3043"/>
      <c r="M498" s="3043"/>
      <c r="N498" s="3043"/>
      <c r="O498" s="3043"/>
      <c r="P498" s="3043"/>
      <c r="Q498" s="3043"/>
      <c r="R498" s="3043"/>
      <c r="S498" s="3043"/>
      <c r="T498" s="3043"/>
      <c r="U498" s="3043"/>
      <c r="V498" s="3043"/>
      <c r="W498" s="3043"/>
      <c r="X498" s="3043"/>
      <c r="Y498" s="3043"/>
      <c r="Z498" s="3043"/>
      <c r="AA498" s="3043"/>
      <c r="AB498" s="3043"/>
      <c r="AC498" s="927"/>
      <c r="AD498" s="927"/>
      <c r="AE498" s="927"/>
      <c r="AF498" s="3142" t="s">
        <v>1622</v>
      </c>
      <c r="AG498" s="3142"/>
      <c r="AH498" s="3142"/>
      <c r="AI498" s="3142"/>
      <c r="AJ498" s="3142"/>
      <c r="AK498" s="3142"/>
      <c r="AL498" s="3142"/>
      <c r="AM498" s="1026"/>
      <c r="AN498" s="1133"/>
      <c r="AT498" s="51"/>
      <c r="AU498" s="51"/>
      <c r="AV498" s="51"/>
      <c r="AW498" s="51"/>
      <c r="AX498" s="51"/>
      <c r="AY498" s="51"/>
      <c r="AZ498" s="51"/>
    </row>
    <row r="499" spans="1:81" s="1134" customFormat="1" ht="13">
      <c r="A499" s="1060"/>
      <c r="B499" s="927"/>
      <c r="C499" s="1637"/>
      <c r="D499" s="1106"/>
      <c r="E499" s="3043"/>
      <c r="F499" s="3043"/>
      <c r="G499" s="3043"/>
      <c r="H499" s="3043"/>
      <c r="I499" s="3043"/>
      <c r="J499" s="3043"/>
      <c r="K499" s="3043"/>
      <c r="L499" s="3043"/>
      <c r="M499" s="3043"/>
      <c r="N499" s="3043"/>
      <c r="O499" s="3043"/>
      <c r="P499" s="3043"/>
      <c r="Q499" s="3043"/>
      <c r="R499" s="3043"/>
      <c r="S499" s="3043"/>
      <c r="T499" s="3043"/>
      <c r="U499" s="3043"/>
      <c r="V499" s="3043"/>
      <c r="W499" s="3043"/>
      <c r="X499" s="3043"/>
      <c r="Y499" s="3043"/>
      <c r="Z499" s="3043"/>
      <c r="AA499" s="3043"/>
      <c r="AB499" s="3043"/>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
      <c r="A500" s="1060"/>
      <c r="B500" s="1023"/>
      <c r="C500" s="1639"/>
      <c r="D500" s="1106"/>
      <c r="E500" s="3043"/>
      <c r="F500" s="3043"/>
      <c r="G500" s="3043"/>
      <c r="H500" s="3043"/>
      <c r="I500" s="3043"/>
      <c r="J500" s="3043"/>
      <c r="K500" s="3043"/>
      <c r="L500" s="3043"/>
      <c r="M500" s="3043"/>
      <c r="N500" s="3043"/>
      <c r="O500" s="3043"/>
      <c r="P500" s="3043"/>
      <c r="Q500" s="3043"/>
      <c r="R500" s="3043"/>
      <c r="S500" s="3043"/>
      <c r="T500" s="3043"/>
      <c r="U500" s="3043"/>
      <c r="V500" s="3043"/>
      <c r="W500" s="3043"/>
      <c r="X500" s="3043"/>
      <c r="Y500" s="3043"/>
      <c r="Z500" s="3043"/>
      <c r="AA500" s="3043"/>
      <c r="AB500" s="3043"/>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3"/>
      <c r="F501" s="3043"/>
      <c r="G501" s="3043"/>
      <c r="H501" s="3043"/>
      <c r="I501" s="3043"/>
      <c r="J501" s="3043"/>
      <c r="K501" s="3043"/>
      <c r="L501" s="3043"/>
      <c r="M501" s="3043"/>
      <c r="N501" s="3043"/>
      <c r="O501" s="3043"/>
      <c r="P501" s="3043"/>
      <c r="Q501" s="3043"/>
      <c r="R501" s="3043"/>
      <c r="S501" s="3043"/>
      <c r="T501" s="3043"/>
      <c r="U501" s="3043"/>
      <c r="V501" s="3043"/>
      <c r="W501" s="3043"/>
      <c r="X501" s="3043"/>
      <c r="Y501" s="3043"/>
      <c r="Z501" s="3043"/>
      <c r="AA501" s="3043"/>
      <c r="AB501" s="3043"/>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7"/>
      <c r="D503" s="1106" t="s">
        <v>541</v>
      </c>
      <c r="E503" s="3043" t="s">
        <v>1725</v>
      </c>
      <c r="F503" s="3043"/>
      <c r="G503" s="3043"/>
      <c r="H503" s="3043"/>
      <c r="I503" s="3043"/>
      <c r="J503" s="3043"/>
      <c r="K503" s="3043"/>
      <c r="L503" s="3043"/>
      <c r="M503" s="3043"/>
      <c r="N503" s="3043"/>
      <c r="O503" s="3043"/>
      <c r="P503" s="3043"/>
      <c r="Q503" s="3043"/>
      <c r="R503" s="3043"/>
      <c r="S503" s="3043"/>
      <c r="T503" s="3043"/>
      <c r="U503" s="3043"/>
      <c r="V503" s="3043"/>
      <c r="W503" s="3043"/>
      <c r="X503" s="3043"/>
      <c r="Y503" s="3043"/>
      <c r="Z503" s="3043"/>
      <c r="AA503" s="3043"/>
      <c r="AB503" s="969"/>
      <c r="AC503" s="927"/>
      <c r="AD503" s="927"/>
      <c r="AE503" s="927"/>
      <c r="AF503" s="3142" t="s">
        <v>1686</v>
      </c>
      <c r="AG503" s="3142"/>
      <c r="AH503" s="3142"/>
      <c r="AI503" s="3142"/>
      <c r="AJ503" s="3142"/>
      <c r="AK503" s="3142"/>
      <c r="AL503" s="3142"/>
      <c r="AM503" s="1026"/>
      <c r="AN503" s="1133"/>
      <c r="AO503" s="126"/>
      <c r="AP503" s="51"/>
    </row>
    <row r="504" spans="1:81" s="1134" customFormat="1" ht="13">
      <c r="A504" s="1060"/>
      <c r="B504" s="1006"/>
      <c r="C504" s="1637"/>
      <c r="D504" s="1106"/>
      <c r="E504" s="3043"/>
      <c r="F504" s="3043"/>
      <c r="G504" s="3043"/>
      <c r="H504" s="3043"/>
      <c r="I504" s="3043"/>
      <c r="J504" s="3043"/>
      <c r="K504" s="3043"/>
      <c r="L504" s="3043"/>
      <c r="M504" s="3043"/>
      <c r="N504" s="3043"/>
      <c r="O504" s="3043"/>
      <c r="P504" s="3043"/>
      <c r="Q504" s="3043"/>
      <c r="R504" s="3043"/>
      <c r="S504" s="3043"/>
      <c r="T504" s="3043"/>
      <c r="U504" s="3043"/>
      <c r="V504" s="3043"/>
      <c r="W504" s="3043"/>
      <c r="X504" s="3043"/>
      <c r="Y504" s="3043"/>
      <c r="Z504" s="3043"/>
      <c r="AA504" s="3043"/>
      <c r="AB504" s="969"/>
      <c r="AC504" s="927"/>
      <c r="AD504" s="927"/>
      <c r="AE504" s="927"/>
      <c r="AF504" s="1596"/>
      <c r="AG504" s="1596"/>
      <c r="AH504" s="1596"/>
      <c r="AI504" s="1596"/>
      <c r="AJ504" s="1596"/>
      <c r="AK504" s="1596"/>
      <c r="AL504" s="1596"/>
      <c r="AM504" s="1026"/>
      <c r="AN504" s="1133"/>
      <c r="AO504" s="126"/>
      <c r="AP504" s="51"/>
    </row>
    <row r="505" spans="1:81" s="1134" customFormat="1" ht="13">
      <c r="A505" s="1060"/>
      <c r="B505" s="1006"/>
      <c r="C505" s="1637"/>
      <c r="D505" s="1023"/>
      <c r="E505" s="3043"/>
      <c r="F505" s="3043"/>
      <c r="G505" s="3043"/>
      <c r="H505" s="3043"/>
      <c r="I505" s="3043"/>
      <c r="J505" s="3043"/>
      <c r="K505" s="3043"/>
      <c r="L505" s="3043"/>
      <c r="M505" s="3043"/>
      <c r="N505" s="3043"/>
      <c r="O505" s="3043"/>
      <c r="P505" s="3043"/>
      <c r="Q505" s="3043"/>
      <c r="R505" s="3043"/>
      <c r="S505" s="3043"/>
      <c r="T505" s="3043"/>
      <c r="U505" s="3043"/>
      <c r="V505" s="3043"/>
      <c r="W505" s="3043"/>
      <c r="X505" s="3043"/>
      <c r="Y505" s="3043"/>
      <c r="Z505" s="3043"/>
      <c r="AA505" s="3043"/>
      <c r="AB505" s="969"/>
      <c r="AC505" s="1596"/>
      <c r="AD505" s="1596"/>
      <c r="AE505" s="1596"/>
      <c r="AF505" s="1596"/>
      <c r="AG505" s="1596"/>
      <c r="AH505" s="1596"/>
      <c r="AI505" s="1596"/>
      <c r="AJ505" s="927"/>
      <c r="AK505" s="1006"/>
      <c r="AL505" s="1006"/>
      <c r="AM505" s="1026"/>
      <c r="AN505" s="1133"/>
      <c r="AO505" s="126"/>
      <c r="AP505" s="51"/>
    </row>
    <row r="506" spans="1:81" s="1134" customFormat="1" ht="13">
      <c r="A506" s="1060"/>
      <c r="B506" s="1006"/>
      <c r="C506" s="1637"/>
      <c r="D506" s="1023"/>
      <c r="E506" s="3043"/>
      <c r="F506" s="3043"/>
      <c r="G506" s="3043"/>
      <c r="H506" s="3043"/>
      <c r="I506" s="3043"/>
      <c r="J506" s="3043"/>
      <c r="K506" s="3043"/>
      <c r="L506" s="3043"/>
      <c r="M506" s="3043"/>
      <c r="N506" s="3043"/>
      <c r="O506" s="3043"/>
      <c r="P506" s="3043"/>
      <c r="Q506" s="3043"/>
      <c r="R506" s="3043"/>
      <c r="S506" s="3043"/>
      <c r="T506" s="3043"/>
      <c r="U506" s="3043"/>
      <c r="V506" s="3043"/>
      <c r="W506" s="3043"/>
      <c r="X506" s="3043"/>
      <c r="Y506" s="3043"/>
      <c r="Z506" s="3043"/>
      <c r="AA506" s="3043"/>
      <c r="AB506" s="969"/>
      <c r="AC506" s="1596"/>
      <c r="AD506" s="1596"/>
      <c r="AE506" s="1596"/>
      <c r="AF506" s="1596"/>
      <c r="AG506" s="1596"/>
      <c r="AH506" s="1596"/>
      <c r="AI506" s="1596"/>
      <c r="AJ506" s="927"/>
      <c r="AK506" s="1006"/>
      <c r="AL506" s="1006"/>
      <c r="AM506" s="1026"/>
      <c r="AN506" s="1133"/>
      <c r="AO506" s="126"/>
      <c r="AP506" s="51"/>
    </row>
    <row r="507" spans="1:81" s="1134" customFormat="1" ht="13">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042" t="s">
        <v>625</v>
      </c>
      <c r="I508" s="3042"/>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25">
        <f>VLOOKUP($H$508,$AO$441:$AP$443,2,FALSE)</f>
        <v>0</v>
      </c>
      <c r="AK510" s="3027"/>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7"/>
      <c r="D514" s="1106" t="s">
        <v>724</v>
      </c>
      <c r="E514" s="3043" t="s">
        <v>1727</v>
      </c>
      <c r="F514" s="3043"/>
      <c r="G514" s="3043"/>
      <c r="H514" s="3043"/>
      <c r="I514" s="3043"/>
      <c r="J514" s="3043"/>
      <c r="K514" s="3043"/>
      <c r="L514" s="3043"/>
      <c r="M514" s="3043"/>
      <c r="N514" s="3043"/>
      <c r="O514" s="3043"/>
      <c r="P514" s="3043"/>
      <c r="Q514" s="3043"/>
      <c r="R514" s="3043"/>
      <c r="S514" s="3043"/>
      <c r="T514" s="3043"/>
      <c r="U514" s="3043"/>
      <c r="V514" s="3043"/>
      <c r="W514" s="3043"/>
      <c r="X514" s="3043"/>
      <c r="Y514" s="3043"/>
      <c r="Z514" s="3043"/>
      <c r="AA514" s="3043"/>
      <c r="AB514" s="3043"/>
      <c r="AC514" s="927"/>
      <c r="AD514" s="927"/>
      <c r="AE514" s="927"/>
      <c r="AF514" s="3142" t="s">
        <v>1686</v>
      </c>
      <c r="AG514" s="3142"/>
      <c r="AH514" s="3142"/>
      <c r="AI514" s="3142"/>
      <c r="AJ514" s="3142"/>
      <c r="AK514" s="3142"/>
      <c r="AL514" s="3142"/>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9"/>
      <c r="D515" s="1106"/>
      <c r="E515" s="3043"/>
      <c r="F515" s="3043"/>
      <c r="G515" s="3043"/>
      <c r="H515" s="3043"/>
      <c r="I515" s="3043"/>
      <c r="J515" s="3043"/>
      <c r="K515" s="3043"/>
      <c r="L515" s="3043"/>
      <c r="M515" s="3043"/>
      <c r="N515" s="3043"/>
      <c r="O515" s="3043"/>
      <c r="P515" s="3043"/>
      <c r="Q515" s="3043"/>
      <c r="R515" s="3043"/>
      <c r="S515" s="3043"/>
      <c r="T515" s="3043"/>
      <c r="U515" s="3043"/>
      <c r="V515" s="3043"/>
      <c r="W515" s="3043"/>
      <c r="X515" s="3043"/>
      <c r="Y515" s="3043"/>
      <c r="Z515" s="3043"/>
      <c r="AA515" s="3043"/>
      <c r="AB515" s="3043"/>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7"/>
      <c r="D517" s="1106" t="s">
        <v>541</v>
      </c>
      <c r="E517" s="3043" t="s">
        <v>1728</v>
      </c>
      <c r="F517" s="3043"/>
      <c r="G517" s="3043"/>
      <c r="H517" s="3043"/>
      <c r="I517" s="3043"/>
      <c r="J517" s="3043"/>
      <c r="K517" s="3043"/>
      <c r="L517" s="3043"/>
      <c r="M517" s="3043"/>
      <c r="N517" s="3043"/>
      <c r="O517" s="3043"/>
      <c r="P517" s="3043"/>
      <c r="Q517" s="3043"/>
      <c r="R517" s="3043"/>
      <c r="S517" s="3043"/>
      <c r="T517" s="3043"/>
      <c r="U517" s="3043"/>
      <c r="V517" s="3043"/>
      <c r="W517" s="3043"/>
      <c r="X517" s="3043"/>
      <c r="Y517" s="3043"/>
      <c r="Z517" s="3043"/>
      <c r="AA517" s="3043"/>
      <c r="AB517" s="3043"/>
      <c r="AC517" s="927"/>
      <c r="AD517" s="927"/>
      <c r="AE517" s="927"/>
      <c r="AF517" s="3142" t="s">
        <v>1705</v>
      </c>
      <c r="AG517" s="3142"/>
      <c r="AH517" s="3142"/>
      <c r="AI517" s="3142"/>
      <c r="AJ517" s="3142"/>
      <c r="AK517" s="3142"/>
      <c r="AL517" s="3142"/>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3"/>
      <c r="F518" s="3043"/>
      <c r="G518" s="3043"/>
      <c r="H518" s="3043"/>
      <c r="I518" s="3043"/>
      <c r="J518" s="3043"/>
      <c r="K518" s="3043"/>
      <c r="L518" s="3043"/>
      <c r="M518" s="3043"/>
      <c r="N518" s="3043"/>
      <c r="O518" s="3043"/>
      <c r="P518" s="3043"/>
      <c r="Q518" s="3043"/>
      <c r="R518" s="3043"/>
      <c r="S518" s="3043"/>
      <c r="T518" s="3043"/>
      <c r="U518" s="3043"/>
      <c r="V518" s="3043"/>
      <c r="W518" s="3043"/>
      <c r="X518" s="3043"/>
      <c r="Y518" s="3043"/>
      <c r="Z518" s="3043"/>
      <c r="AA518" s="3043"/>
      <c r="AB518" s="3043"/>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042" t="s">
        <v>625</v>
      </c>
      <c r="I520" s="3042"/>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25">
        <f>VLOOKUP($H$520,$AO$455:$AP$457,2,FALSE)</f>
        <v>0</v>
      </c>
      <c r="AK522" s="3027"/>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724</v>
      </c>
      <c r="E526" s="3043" t="s">
        <v>2187</v>
      </c>
      <c r="F526" s="3043"/>
      <c r="G526" s="3043"/>
      <c r="H526" s="3043"/>
      <c r="I526" s="3043"/>
      <c r="J526" s="3043"/>
      <c r="K526" s="3043"/>
      <c r="L526" s="3043"/>
      <c r="M526" s="3043"/>
      <c r="N526" s="3043"/>
      <c r="O526" s="3043"/>
      <c r="P526" s="3043"/>
      <c r="Q526" s="3043"/>
      <c r="R526" s="3043"/>
      <c r="S526" s="3043"/>
      <c r="T526" s="3043"/>
      <c r="U526" s="3043"/>
      <c r="V526" s="3043"/>
      <c r="W526" s="3043"/>
      <c r="X526" s="3043"/>
      <c r="Y526" s="3043"/>
      <c r="Z526" s="3043"/>
      <c r="AA526" s="3043"/>
      <c r="AB526" s="3043"/>
      <c r="AC526" s="3043"/>
      <c r="AD526" s="3043"/>
      <c r="AE526" s="927"/>
      <c r="AF526" s="3142" t="s">
        <v>1686</v>
      </c>
      <c r="AG526" s="3142"/>
      <c r="AH526" s="3142"/>
      <c r="AI526" s="3142"/>
      <c r="AJ526" s="3142"/>
      <c r="AK526" s="3142"/>
      <c r="AL526" s="3142"/>
      <c r="AM526" s="1031"/>
      <c r="AN526" s="1133"/>
    </row>
    <row r="527" spans="1:74" s="1134" customFormat="1" ht="13.75" customHeight="1">
      <c r="A527" s="1060"/>
      <c r="B527" s="1035"/>
      <c r="C527" s="1649"/>
      <c r="D527" s="1106"/>
      <c r="E527" s="3043"/>
      <c r="F527" s="3043"/>
      <c r="G527" s="3043"/>
      <c r="H527" s="3043"/>
      <c r="I527" s="3043"/>
      <c r="J527" s="3043"/>
      <c r="K527" s="3043"/>
      <c r="L527" s="3043"/>
      <c r="M527" s="3043"/>
      <c r="N527" s="3043"/>
      <c r="O527" s="3043"/>
      <c r="P527" s="3043"/>
      <c r="Q527" s="3043"/>
      <c r="R527" s="3043"/>
      <c r="S527" s="3043"/>
      <c r="T527" s="3043"/>
      <c r="U527" s="3043"/>
      <c r="V527" s="3043"/>
      <c r="W527" s="3043"/>
      <c r="X527" s="3043"/>
      <c r="Y527" s="3043"/>
      <c r="Z527" s="3043"/>
      <c r="AA527" s="3043"/>
      <c r="AB527" s="3043"/>
      <c r="AC527" s="3043"/>
      <c r="AD527" s="3043"/>
      <c r="AE527" s="927"/>
      <c r="AF527" s="1596"/>
      <c r="AG527" s="1596"/>
      <c r="AH527" s="1596"/>
      <c r="AI527" s="1596"/>
      <c r="AJ527" s="1596"/>
      <c r="AK527" s="1596"/>
      <c r="AL527" s="1596"/>
      <c r="AM527" s="1031"/>
      <c r="AN527" s="1133"/>
    </row>
    <row r="528" spans="1:74" s="1134" customFormat="1" ht="13">
      <c r="A528" s="1060"/>
      <c r="B528" s="1035"/>
      <c r="C528" s="1649"/>
      <c r="D528" s="1106"/>
      <c r="E528" s="3043"/>
      <c r="F528" s="3043"/>
      <c r="G528" s="3043"/>
      <c r="H528" s="3043"/>
      <c r="I528" s="3043"/>
      <c r="J528" s="3043"/>
      <c r="K528" s="3043"/>
      <c r="L528" s="3043"/>
      <c r="M528" s="3043"/>
      <c r="N528" s="3043"/>
      <c r="O528" s="3043"/>
      <c r="P528" s="3043"/>
      <c r="Q528" s="3043"/>
      <c r="R528" s="3043"/>
      <c r="S528" s="3043"/>
      <c r="T528" s="3043"/>
      <c r="U528" s="3043"/>
      <c r="V528" s="3043"/>
      <c r="W528" s="3043"/>
      <c r="X528" s="3043"/>
      <c r="Y528" s="3043"/>
      <c r="Z528" s="3043"/>
      <c r="AA528" s="3043"/>
      <c r="AB528" s="3043"/>
      <c r="AC528" s="3043"/>
      <c r="AD528" s="3043"/>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49999999999999" customHeight="1">
      <c r="A529" s="1060"/>
      <c r="B529" s="1035"/>
      <c r="C529" s="1649"/>
      <c r="D529" s="1106"/>
      <c r="E529" s="3043"/>
      <c r="F529" s="3043"/>
      <c r="G529" s="3043"/>
      <c r="H529" s="3043"/>
      <c r="I529" s="3043"/>
      <c r="J529" s="3043"/>
      <c r="K529" s="3043"/>
      <c r="L529" s="3043"/>
      <c r="M529" s="3043"/>
      <c r="N529" s="3043"/>
      <c r="O529" s="3043"/>
      <c r="P529" s="3043"/>
      <c r="Q529" s="3043"/>
      <c r="R529" s="3043"/>
      <c r="S529" s="3043"/>
      <c r="T529" s="3043"/>
      <c r="U529" s="3043"/>
      <c r="V529" s="3043"/>
      <c r="W529" s="3043"/>
      <c r="X529" s="3043"/>
      <c r="Y529" s="3043"/>
      <c r="Z529" s="3043"/>
      <c r="AA529" s="3043"/>
      <c r="AB529" s="3043"/>
      <c r="AC529" s="3043"/>
      <c r="AD529" s="3043"/>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43" t="s">
        <v>2195</v>
      </c>
      <c r="F531" s="3143"/>
      <c r="G531" s="3143"/>
      <c r="H531" s="3143"/>
      <c r="I531" s="3143"/>
      <c r="J531" s="3143"/>
      <c r="K531" s="3143"/>
      <c r="L531" s="3143"/>
      <c r="M531" s="3143"/>
      <c r="N531" s="3143"/>
      <c r="O531" s="3143"/>
      <c r="P531" s="3143"/>
      <c r="Q531" s="3143"/>
      <c r="R531" s="3143"/>
      <c r="S531" s="3143"/>
      <c r="T531" s="3143"/>
      <c r="U531" s="3143"/>
      <c r="V531" s="3143"/>
      <c r="W531" s="3143"/>
      <c r="X531" s="3143"/>
      <c r="Y531" s="3143"/>
      <c r="Z531" s="3143"/>
      <c r="AA531" s="3143"/>
      <c r="AB531" s="3143"/>
      <c r="AC531" s="3143"/>
      <c r="AD531" s="3143"/>
      <c r="AE531" s="927"/>
      <c r="AF531" s="3142" t="s">
        <v>1622</v>
      </c>
      <c r="AG531" s="3142"/>
      <c r="AH531" s="3142"/>
      <c r="AI531" s="3142"/>
      <c r="AJ531" s="3142"/>
      <c r="AK531" s="3142"/>
      <c r="AL531" s="3142"/>
      <c r="AM531" s="1031"/>
      <c r="AN531" s="1000"/>
    </row>
    <row r="532" spans="1:81" s="943" customFormat="1" ht="12.75" customHeight="1">
      <c r="A532" s="1060"/>
      <c r="B532" s="1035"/>
      <c r="C532" s="1649"/>
      <c r="D532" s="1106"/>
      <c r="E532" s="3143"/>
      <c r="F532" s="3143"/>
      <c r="G532" s="3143"/>
      <c r="H532" s="3143"/>
      <c r="I532" s="3143"/>
      <c r="J532" s="3143"/>
      <c r="K532" s="3143"/>
      <c r="L532" s="3143"/>
      <c r="M532" s="3143"/>
      <c r="N532" s="3143"/>
      <c r="O532" s="3143"/>
      <c r="P532" s="3143"/>
      <c r="Q532" s="3143"/>
      <c r="R532" s="3143"/>
      <c r="S532" s="3143"/>
      <c r="T532" s="3143"/>
      <c r="U532" s="3143"/>
      <c r="V532" s="3143"/>
      <c r="W532" s="3143"/>
      <c r="X532" s="3143"/>
      <c r="Y532" s="3143"/>
      <c r="Z532" s="3143"/>
      <c r="AA532" s="3143"/>
      <c r="AB532" s="3143"/>
      <c r="AC532" s="3143"/>
      <c r="AD532" s="3143"/>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3"/>
      <c r="F533" s="3143"/>
      <c r="G533" s="3143"/>
      <c r="H533" s="3143"/>
      <c r="I533" s="3143"/>
      <c r="J533" s="3143"/>
      <c r="K533" s="3143"/>
      <c r="L533" s="3143"/>
      <c r="M533" s="3143"/>
      <c r="N533" s="3143"/>
      <c r="O533" s="3143"/>
      <c r="P533" s="3143"/>
      <c r="Q533" s="3143"/>
      <c r="R533" s="3143"/>
      <c r="S533" s="3143"/>
      <c r="T533" s="3143"/>
      <c r="U533" s="3143"/>
      <c r="V533" s="3143"/>
      <c r="W533" s="3143"/>
      <c r="X533" s="3143"/>
      <c r="Y533" s="3143"/>
      <c r="Z533" s="3143"/>
      <c r="AA533" s="3143"/>
      <c r="AB533" s="3143"/>
      <c r="AC533" s="3143"/>
      <c r="AD533" s="3143"/>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3"/>
      <c r="F534" s="3143"/>
      <c r="G534" s="3143"/>
      <c r="H534" s="3143"/>
      <c r="I534" s="3143"/>
      <c r="J534" s="3143"/>
      <c r="K534" s="3143"/>
      <c r="L534" s="3143"/>
      <c r="M534" s="3143"/>
      <c r="N534" s="3143"/>
      <c r="O534" s="3143"/>
      <c r="P534" s="3143"/>
      <c r="Q534" s="3143"/>
      <c r="R534" s="3143"/>
      <c r="S534" s="3143"/>
      <c r="T534" s="3143"/>
      <c r="U534" s="3143"/>
      <c r="V534" s="3143"/>
      <c r="W534" s="3143"/>
      <c r="X534" s="3143"/>
      <c r="Y534" s="3143"/>
      <c r="Z534" s="3143"/>
      <c r="AA534" s="3143"/>
      <c r="AB534" s="3143"/>
      <c r="AC534" s="3143"/>
      <c r="AD534" s="3143"/>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042" t="s">
        <v>625</v>
      </c>
      <c r="I536" s="3042"/>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25">
        <f>VLOOKUP($H$536,$AP$477:$AQ$479,2,FALSE)</f>
        <v>0</v>
      </c>
      <c r="AK538" s="3027"/>
      <c r="AL538" s="1005"/>
      <c r="AM538" s="1002"/>
      <c r="AN538" s="1000"/>
    </row>
    <row r="539" spans="1:81" s="1134" customFormat="1" ht="13">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724</v>
      </c>
      <c r="E542" s="3043" t="s">
        <v>2186</v>
      </c>
      <c r="F542" s="3043"/>
      <c r="G542" s="3043"/>
      <c r="H542" s="3043"/>
      <c r="I542" s="3043"/>
      <c r="J542" s="3043"/>
      <c r="K542" s="3043"/>
      <c r="L542" s="3043"/>
      <c r="M542" s="3043"/>
      <c r="N542" s="3043"/>
      <c r="O542" s="3043"/>
      <c r="P542" s="3043"/>
      <c r="Q542" s="3043"/>
      <c r="R542" s="3043"/>
      <c r="S542" s="3043"/>
      <c r="T542" s="3043"/>
      <c r="U542" s="3043"/>
      <c r="V542" s="3043"/>
      <c r="W542" s="3043"/>
      <c r="X542" s="3043"/>
      <c r="Y542" s="3043"/>
      <c r="Z542" s="3043"/>
      <c r="AA542" s="3043"/>
      <c r="AB542" s="3043"/>
      <c r="AC542" s="3043"/>
      <c r="AD542" s="3043"/>
      <c r="AE542" s="927"/>
      <c r="AF542" s="3142" t="s">
        <v>1732</v>
      </c>
      <c r="AG542" s="3142"/>
      <c r="AH542" s="3142"/>
      <c r="AI542" s="3142"/>
      <c r="AJ542" s="3142"/>
      <c r="AK542" s="3142"/>
      <c r="AL542" s="3142"/>
      <c r="AM542" s="1031"/>
      <c r="AN542" s="1133"/>
      <c r="AO542" s="1118" t="s">
        <v>577</v>
      </c>
      <c r="AP542" s="943">
        <v>8</v>
      </c>
      <c r="AT542" s="1143"/>
      <c r="AU542" s="1143"/>
      <c r="AV542" s="1143"/>
      <c r="AW542" s="1143"/>
      <c r="AX542" s="1143"/>
      <c r="AY542" s="1143"/>
      <c r="AZ542" s="1143"/>
    </row>
    <row r="543" spans="1:81" s="1134" customFormat="1" ht="13.75" customHeight="1">
      <c r="A543" s="1060"/>
      <c r="B543" s="1035"/>
      <c r="C543" s="1649"/>
      <c r="D543" s="1106"/>
      <c r="E543" s="3043"/>
      <c r="F543" s="3043"/>
      <c r="G543" s="3043"/>
      <c r="H543" s="3043"/>
      <c r="I543" s="3043"/>
      <c r="J543" s="3043"/>
      <c r="K543" s="3043"/>
      <c r="L543" s="3043"/>
      <c r="M543" s="3043"/>
      <c r="N543" s="3043"/>
      <c r="O543" s="3043"/>
      <c r="P543" s="3043"/>
      <c r="Q543" s="3043"/>
      <c r="R543" s="3043"/>
      <c r="S543" s="3043"/>
      <c r="T543" s="3043"/>
      <c r="U543" s="3043"/>
      <c r="V543" s="3043"/>
      <c r="W543" s="3043"/>
      <c r="X543" s="3043"/>
      <c r="Y543" s="3043"/>
      <c r="Z543" s="3043"/>
      <c r="AA543" s="3043"/>
      <c r="AB543" s="3043"/>
      <c r="AC543" s="3043"/>
      <c r="AD543" s="3043"/>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ht="13">
      <c r="A544" s="1060"/>
      <c r="B544" s="1035"/>
      <c r="C544" s="1649"/>
      <c r="D544" s="1106"/>
      <c r="E544" s="3043"/>
      <c r="F544" s="3043"/>
      <c r="G544" s="3043"/>
      <c r="H544" s="3043"/>
      <c r="I544" s="3043"/>
      <c r="J544" s="3043"/>
      <c r="K544" s="3043"/>
      <c r="L544" s="3043"/>
      <c r="M544" s="3043"/>
      <c r="N544" s="3043"/>
      <c r="O544" s="3043"/>
      <c r="P544" s="3043"/>
      <c r="Q544" s="3043"/>
      <c r="R544" s="3043"/>
      <c r="S544" s="3043"/>
      <c r="T544" s="3043"/>
      <c r="U544" s="3043"/>
      <c r="V544" s="3043"/>
      <c r="W544" s="3043"/>
      <c r="X544" s="3043"/>
      <c r="Y544" s="3043"/>
      <c r="Z544" s="3043"/>
      <c r="AA544" s="3043"/>
      <c r="AB544" s="3043"/>
      <c r="AC544" s="3043"/>
      <c r="AD544" s="3043"/>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ht="13">
      <c r="A545" s="1060"/>
      <c r="B545" s="1035"/>
      <c r="C545" s="1649"/>
      <c r="D545" s="1106"/>
      <c r="E545" s="3043"/>
      <c r="F545" s="3043"/>
      <c r="G545" s="3043"/>
      <c r="H545" s="3043"/>
      <c r="I545" s="3043"/>
      <c r="J545" s="3043"/>
      <c r="K545" s="3043"/>
      <c r="L545" s="3043"/>
      <c r="M545" s="3043"/>
      <c r="N545" s="3043"/>
      <c r="O545" s="3043"/>
      <c r="P545" s="3043"/>
      <c r="Q545" s="3043"/>
      <c r="R545" s="3043"/>
      <c r="S545" s="3043"/>
      <c r="T545" s="3043"/>
      <c r="U545" s="3043"/>
      <c r="V545" s="3043"/>
      <c r="W545" s="3043"/>
      <c r="X545" s="3043"/>
      <c r="Y545" s="3043"/>
      <c r="Z545" s="3043"/>
      <c r="AA545" s="3043"/>
      <c r="AB545" s="3043"/>
      <c r="AC545" s="3043"/>
      <c r="AD545" s="3043"/>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ht="13">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ht="13">
      <c r="A547" s="1060"/>
      <c r="B547" s="1035"/>
      <c r="C547" s="1649"/>
      <c r="D547" s="1023" t="s">
        <v>1678</v>
      </c>
      <c r="E547" s="1643"/>
      <c r="F547" s="1643"/>
      <c r="G547" s="1643"/>
      <c r="H547" s="3042" t="s">
        <v>625</v>
      </c>
      <c r="I547" s="3042"/>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25">
        <f>VLOOKUP($H$547,$AO$541:$AP$542,2,FALSE)</f>
        <v>0</v>
      </c>
      <c r="AK549" s="3027"/>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25">
        <f>IF(($AJ$382+$AJ$401+$AJ$413+$AJ$448+$AJ$468+$AJ$482+$AJ$494+$AJ$510+$AJ$522+$AJ$538+AJ549)&gt;10,10,($AJ$382+$AJ$401+$AJ$413+$AJ$448+$AJ$468+$AJ$482+$AJ$494+$AJ$510+$AJ$522+$AJ$538+AJ549))</f>
        <v>10</v>
      </c>
      <c r="AL551" s="3026"/>
      <c r="AM551" s="3027"/>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25">
        <f>IF((AK320+AK551)&gt;20,20,(AK320+AK551))</f>
        <v>19</v>
      </c>
      <c r="AL553" s="3026"/>
      <c r="AM553" s="3027"/>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7" t="s">
        <v>1584</v>
      </c>
      <c r="AF556" s="3107"/>
      <c r="AG556" s="3107"/>
      <c r="AH556" s="3107"/>
      <c r="AI556" s="3107"/>
      <c r="AJ556" s="3107"/>
      <c r="AK556" s="3107"/>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4" t="s">
        <v>1737</v>
      </c>
      <c r="D558" s="3034"/>
      <c r="E558" s="3034"/>
      <c r="F558" s="3034"/>
      <c r="G558" s="3034"/>
      <c r="H558" s="3034"/>
      <c r="I558" s="3034"/>
      <c r="J558" s="3034"/>
      <c r="K558" s="3034"/>
      <c r="L558" s="3034"/>
      <c r="M558" s="3034"/>
      <c r="N558" s="3034"/>
      <c r="O558" s="3034"/>
      <c r="P558" s="3034"/>
      <c r="Q558" s="3034"/>
      <c r="R558" s="3034"/>
      <c r="S558" s="3034"/>
      <c r="T558" s="3034"/>
      <c r="U558" s="3034"/>
      <c r="V558" s="3034"/>
      <c r="W558" s="3034"/>
      <c r="X558" s="3034"/>
      <c r="Y558" s="3034"/>
      <c r="Z558" s="3034"/>
      <c r="AA558" s="3034"/>
      <c r="AB558" s="3034"/>
      <c r="AC558" s="3034"/>
      <c r="AD558" s="3034"/>
      <c r="AE558" s="3034"/>
      <c r="AF558" s="3034"/>
      <c r="AG558" s="3034"/>
      <c r="AH558" s="3034"/>
      <c r="AI558" s="3034"/>
      <c r="AJ558" s="3034"/>
      <c r="AK558" s="1027"/>
      <c r="AL558" s="1027"/>
      <c r="AM558" s="1027"/>
      <c r="AN558" s="1000"/>
    </row>
    <row r="559" spans="1:81" s="943" customFormat="1" ht="12.75" customHeight="1">
      <c r="A559" s="1027"/>
      <c r="B559" s="1028"/>
      <c r="C559" s="3034"/>
      <c r="D559" s="3034"/>
      <c r="E559" s="3034"/>
      <c r="F559" s="3034"/>
      <c r="G559" s="3034"/>
      <c r="H559" s="3034"/>
      <c r="I559" s="3034"/>
      <c r="J559" s="3034"/>
      <c r="K559" s="3034"/>
      <c r="L559" s="3034"/>
      <c r="M559" s="3034"/>
      <c r="N559" s="3034"/>
      <c r="O559" s="3034"/>
      <c r="P559" s="3034"/>
      <c r="Q559" s="3034"/>
      <c r="R559" s="3034"/>
      <c r="S559" s="3034"/>
      <c r="T559" s="3034"/>
      <c r="U559" s="3034"/>
      <c r="V559" s="3034"/>
      <c r="W559" s="3034"/>
      <c r="X559" s="3034"/>
      <c r="Y559" s="3034"/>
      <c r="Z559" s="3034"/>
      <c r="AA559" s="3034"/>
      <c r="AB559" s="3034"/>
      <c r="AC559" s="3034"/>
      <c r="AD559" s="3034"/>
      <c r="AE559" s="3034"/>
      <c r="AF559" s="3034"/>
      <c r="AG559" s="3034"/>
      <c r="AH559" s="3034"/>
      <c r="AI559" s="3034"/>
      <c r="AJ559" s="3034"/>
      <c r="AK559" s="1027"/>
      <c r="AL559" s="1027"/>
      <c r="AM559" s="1027"/>
      <c r="AN559" s="1000"/>
    </row>
    <row r="560" spans="1:81" s="943" customFormat="1" ht="12.75" customHeight="1">
      <c r="A560" s="1027"/>
      <c r="B560" s="1028"/>
      <c r="C560" s="3034"/>
      <c r="D560" s="3034"/>
      <c r="E560" s="3034"/>
      <c r="F560" s="3034"/>
      <c r="G560" s="3034"/>
      <c r="H560" s="3034"/>
      <c r="I560" s="3034"/>
      <c r="J560" s="3034"/>
      <c r="K560" s="3034"/>
      <c r="L560" s="3034"/>
      <c r="M560" s="3034"/>
      <c r="N560" s="3034"/>
      <c r="O560" s="3034"/>
      <c r="P560" s="3034"/>
      <c r="Q560" s="3034"/>
      <c r="R560" s="3034"/>
      <c r="S560" s="3034"/>
      <c r="T560" s="3034"/>
      <c r="U560" s="3034"/>
      <c r="V560" s="3034"/>
      <c r="W560" s="3034"/>
      <c r="X560" s="3034"/>
      <c r="Y560" s="3034"/>
      <c r="Z560" s="3034"/>
      <c r="AA560" s="3034"/>
      <c r="AB560" s="3034"/>
      <c r="AC560" s="3034"/>
      <c r="AD560" s="3034"/>
      <c r="AE560" s="3034"/>
      <c r="AF560" s="3034"/>
      <c r="AG560" s="3034"/>
      <c r="AH560" s="3034"/>
      <c r="AI560" s="3034"/>
      <c r="AJ560" s="3034"/>
      <c r="AK560" s="1027"/>
      <c r="AL560" s="1027"/>
      <c r="AM560" s="1027"/>
      <c r="AN560" s="1000"/>
      <c r="AQ560" s="1135"/>
      <c r="AR560" s="1002"/>
    </row>
    <row r="561" spans="1:46" s="943" customFormat="1" ht="12.75" customHeight="1">
      <c r="A561" s="1027"/>
      <c r="B561" s="1118"/>
      <c r="C561" s="3034"/>
      <c r="D561" s="3034"/>
      <c r="E561" s="3034"/>
      <c r="F561" s="3034"/>
      <c r="G561" s="3034"/>
      <c r="H561" s="3034"/>
      <c r="I561" s="3034"/>
      <c r="J561" s="3034"/>
      <c r="K561" s="3034"/>
      <c r="L561" s="3034"/>
      <c r="M561" s="3034"/>
      <c r="N561" s="3034"/>
      <c r="O561" s="3034"/>
      <c r="P561" s="3034"/>
      <c r="Q561" s="3034"/>
      <c r="R561" s="3034"/>
      <c r="S561" s="3034"/>
      <c r="T561" s="3034"/>
      <c r="U561" s="3034"/>
      <c r="V561" s="3034"/>
      <c r="W561" s="3034"/>
      <c r="X561" s="3034"/>
      <c r="Y561" s="3034"/>
      <c r="Z561" s="3034"/>
      <c r="AA561" s="3034"/>
      <c r="AB561" s="3034"/>
      <c r="AC561" s="3034"/>
      <c r="AD561" s="3034"/>
      <c r="AE561" s="3034"/>
      <c r="AF561" s="3034"/>
      <c r="AG561" s="3034"/>
      <c r="AH561" s="3034"/>
      <c r="AI561" s="3034"/>
      <c r="AJ561" s="3034"/>
      <c r="AK561" s="1027"/>
      <c r="AL561" s="1027"/>
      <c r="AM561" s="1027"/>
      <c r="AN561" s="1000"/>
      <c r="AQ561" s="1135"/>
      <c r="AR561" s="1002"/>
    </row>
    <row r="562" spans="1:46" s="943" customFormat="1" ht="12.4" customHeight="1">
      <c r="A562" s="1027"/>
      <c r="B562" s="1118"/>
      <c r="C562" s="3034"/>
      <c r="D562" s="3034"/>
      <c r="E562" s="3034"/>
      <c r="F562" s="3034"/>
      <c r="G562" s="3034"/>
      <c r="H562" s="3034"/>
      <c r="I562" s="3034"/>
      <c r="J562" s="3034"/>
      <c r="K562" s="3034"/>
      <c r="L562" s="3034"/>
      <c r="M562" s="3034"/>
      <c r="N562" s="3034"/>
      <c r="O562" s="3034"/>
      <c r="P562" s="3034"/>
      <c r="Q562" s="3034"/>
      <c r="R562" s="3034"/>
      <c r="S562" s="3034"/>
      <c r="T562" s="3034"/>
      <c r="U562" s="3034"/>
      <c r="V562" s="3034"/>
      <c r="W562" s="3034"/>
      <c r="X562" s="3034"/>
      <c r="Y562" s="3034"/>
      <c r="Z562" s="3034"/>
      <c r="AA562" s="3034"/>
      <c r="AB562" s="3034"/>
      <c r="AC562" s="3034"/>
      <c r="AD562" s="3034"/>
      <c r="AE562" s="3034"/>
      <c r="AF562" s="3034"/>
      <c r="AG562" s="3034"/>
      <c r="AH562" s="3034"/>
      <c r="AI562" s="3034"/>
      <c r="AJ562" s="3034"/>
      <c r="AK562" s="1027"/>
      <c r="AL562" s="1027"/>
      <c r="AM562" s="1027"/>
      <c r="AN562" s="1000"/>
      <c r="AQ562" s="1135"/>
      <c r="AR562" s="1135"/>
    </row>
    <row r="563" spans="1:46" s="943" customFormat="1" ht="25" customHeight="1">
      <c r="A563" s="1027"/>
      <c r="B563" s="1118"/>
      <c r="C563" s="3034" t="s">
        <v>1738</v>
      </c>
      <c r="D563" s="3034"/>
      <c r="E563" s="3034"/>
      <c r="F563" s="3034"/>
      <c r="G563" s="3034"/>
      <c r="H563" s="3034"/>
      <c r="I563" s="3034"/>
      <c r="J563" s="3034"/>
      <c r="K563" s="3034"/>
      <c r="L563" s="3034"/>
      <c r="M563" s="3034"/>
      <c r="N563" s="3034"/>
      <c r="O563" s="3034"/>
      <c r="P563" s="3034"/>
      <c r="Q563" s="3034"/>
      <c r="R563" s="3034"/>
      <c r="S563" s="3034"/>
      <c r="T563" s="3034"/>
      <c r="U563" s="3034"/>
      <c r="V563" s="3034"/>
      <c r="W563" s="3034"/>
      <c r="X563" s="3034"/>
      <c r="Y563" s="3034"/>
      <c r="Z563" s="3034"/>
      <c r="AA563" s="3034"/>
      <c r="AB563" s="3034"/>
      <c r="AC563" s="3034"/>
      <c r="AD563" s="3034"/>
      <c r="AE563" s="3034"/>
      <c r="AF563" s="3034"/>
      <c r="AG563" s="3034"/>
      <c r="AH563" s="3034"/>
      <c r="AI563" s="3034"/>
      <c r="AJ563" s="3034"/>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4" t="s">
        <v>2392</v>
      </c>
      <c r="D565" s="3034"/>
      <c r="E565" s="3034"/>
      <c r="F565" s="3034"/>
      <c r="G565" s="3034"/>
      <c r="H565" s="3034"/>
      <c r="I565" s="3034"/>
      <c r="J565" s="3034"/>
      <c r="K565" s="3034"/>
      <c r="L565" s="3034"/>
      <c r="M565" s="3034"/>
      <c r="N565" s="3034"/>
      <c r="O565" s="3034"/>
      <c r="P565" s="3034"/>
      <c r="Q565" s="3034"/>
      <c r="R565" s="3034"/>
      <c r="S565" s="3034"/>
      <c r="T565" s="3034"/>
      <c r="U565" s="3034"/>
      <c r="V565" s="3034"/>
      <c r="W565" s="3034"/>
      <c r="X565" s="3034"/>
      <c r="Y565" s="3034"/>
      <c r="Z565" s="3034"/>
      <c r="AA565" s="3034"/>
      <c r="AB565" s="3034"/>
      <c r="AC565" s="3034"/>
      <c r="AD565" s="3034"/>
      <c r="AE565" s="3034"/>
      <c r="AF565" s="3034"/>
      <c r="AG565" s="3034"/>
      <c r="AH565" s="3034"/>
      <c r="AI565" s="3034"/>
      <c r="AJ565" s="3034"/>
      <c r="AK565" s="1027"/>
      <c r="AL565" s="1027"/>
      <c r="AM565" s="1027"/>
      <c r="AN565" s="1000"/>
      <c r="AQ565" s="1135"/>
      <c r="AR565" s="1135"/>
    </row>
    <row r="566" spans="1:46" s="943" customFormat="1" ht="30" customHeight="1">
      <c r="A566" s="1027"/>
      <c r="B566" s="1118"/>
      <c r="C566" s="3034"/>
      <c r="D566" s="3034"/>
      <c r="E566" s="3034"/>
      <c r="F566" s="3034"/>
      <c r="G566" s="3034"/>
      <c r="H566" s="3034"/>
      <c r="I566" s="3034"/>
      <c r="J566" s="3034"/>
      <c r="K566" s="3034"/>
      <c r="L566" s="3034"/>
      <c r="M566" s="3034"/>
      <c r="N566" s="3034"/>
      <c r="O566" s="3034"/>
      <c r="P566" s="3034"/>
      <c r="Q566" s="3034"/>
      <c r="R566" s="3034"/>
      <c r="S566" s="3034"/>
      <c r="T566" s="3034"/>
      <c r="U566" s="3034"/>
      <c r="V566" s="3034"/>
      <c r="W566" s="3034"/>
      <c r="X566" s="3034"/>
      <c r="Y566" s="3034"/>
      <c r="Z566" s="3034"/>
      <c r="AA566" s="3034"/>
      <c r="AB566" s="3034"/>
      <c r="AC566" s="3034"/>
      <c r="AD566" s="3034"/>
      <c r="AE566" s="3034"/>
      <c r="AF566" s="3034"/>
      <c r="AG566" s="3034"/>
      <c r="AH566" s="3034"/>
      <c r="AI566" s="3034"/>
      <c r="AJ566" s="3034"/>
      <c r="AK566" s="1027"/>
      <c r="AL566" s="1027"/>
      <c r="AM566" s="1027"/>
      <c r="AN566" s="1000"/>
      <c r="AQ566" s="1002"/>
      <c r="AR566" s="1135"/>
    </row>
    <row r="567" spans="1:46" s="943" customFormat="1" ht="12.75" customHeight="1">
      <c r="A567" s="1027"/>
      <c r="B567" s="1118"/>
      <c r="C567" s="3034"/>
      <c r="D567" s="3034"/>
      <c r="E567" s="3034"/>
      <c r="F567" s="3034"/>
      <c r="G567" s="3034"/>
      <c r="H567" s="3034"/>
      <c r="I567" s="3034"/>
      <c r="J567" s="3034"/>
      <c r="K567" s="3034"/>
      <c r="L567" s="3034"/>
      <c r="M567" s="3034"/>
      <c r="N567" s="3034"/>
      <c r="O567" s="3034"/>
      <c r="P567" s="3034"/>
      <c r="Q567" s="3034"/>
      <c r="R567" s="3034"/>
      <c r="S567" s="3034"/>
      <c r="T567" s="3034"/>
      <c r="U567" s="3034"/>
      <c r="V567" s="3034"/>
      <c r="W567" s="3034"/>
      <c r="X567" s="3034"/>
      <c r="Y567" s="3034"/>
      <c r="Z567" s="3034"/>
      <c r="AA567" s="3034"/>
      <c r="AB567" s="3034"/>
      <c r="AC567" s="3034"/>
      <c r="AD567" s="3034"/>
      <c r="AE567" s="3034"/>
      <c r="AF567" s="3034"/>
      <c r="AG567" s="3034"/>
      <c r="AH567" s="3034"/>
      <c r="AI567" s="3034"/>
      <c r="AJ567" s="3034"/>
      <c r="AK567" s="1027"/>
      <c r="AL567" s="1027"/>
      <c r="AM567" s="1027"/>
      <c r="AN567" s="1000"/>
      <c r="AQ567" s="1002"/>
      <c r="AR567" s="1135"/>
    </row>
    <row r="568" spans="1:46" s="943" customFormat="1" ht="12.75" customHeight="1">
      <c r="A568" s="1027"/>
      <c r="B568" s="1118"/>
      <c r="C568" s="3034" t="s">
        <v>1739</v>
      </c>
      <c r="D568" s="3034"/>
      <c r="E568" s="3034"/>
      <c r="F568" s="3034"/>
      <c r="G568" s="3034"/>
      <c r="H568" s="3034"/>
      <c r="I568" s="3034"/>
      <c r="J568" s="3034"/>
      <c r="K568" s="3034"/>
      <c r="L568" s="3034"/>
      <c r="M568" s="3034"/>
      <c r="N568" s="3034"/>
      <c r="O568" s="3034"/>
      <c r="P568" s="3034"/>
      <c r="Q568" s="3034"/>
      <c r="R568" s="3034"/>
      <c r="S568" s="3034"/>
      <c r="T568" s="3034"/>
      <c r="U568" s="3034"/>
      <c r="V568" s="3034"/>
      <c r="W568" s="3034"/>
      <c r="X568" s="3034"/>
      <c r="Y568" s="3034"/>
      <c r="Z568" s="3034"/>
      <c r="AA568" s="3034"/>
      <c r="AB568" s="3034"/>
      <c r="AC568" s="3034"/>
      <c r="AD568" s="3034"/>
      <c r="AE568" s="3034"/>
      <c r="AF568" s="3034"/>
      <c r="AG568" s="3034"/>
      <c r="AH568" s="3034"/>
      <c r="AI568" s="3034"/>
      <c r="AJ568" s="3034"/>
      <c r="AK568" s="1027"/>
      <c r="AL568" s="1027"/>
      <c r="AM568" s="1027"/>
      <c r="AN568" s="1000"/>
      <c r="AQ568" s="1135"/>
      <c r="AR568" s="1135"/>
    </row>
    <row r="569" spans="1:46" s="943" customFormat="1" ht="12.75" customHeight="1">
      <c r="A569" s="1027"/>
      <c r="B569" s="1118"/>
      <c r="C569" s="3034"/>
      <c r="D569" s="3034"/>
      <c r="E569" s="3034"/>
      <c r="F569" s="3034"/>
      <c r="G569" s="3034"/>
      <c r="H569" s="3034"/>
      <c r="I569" s="3034"/>
      <c r="J569" s="3034"/>
      <c r="K569" s="3034"/>
      <c r="L569" s="3034"/>
      <c r="M569" s="3034"/>
      <c r="N569" s="3034"/>
      <c r="O569" s="3034"/>
      <c r="P569" s="3034"/>
      <c r="Q569" s="3034"/>
      <c r="R569" s="3034"/>
      <c r="S569" s="3034"/>
      <c r="T569" s="3034"/>
      <c r="U569" s="3034"/>
      <c r="V569" s="3034"/>
      <c r="W569" s="3034"/>
      <c r="X569" s="3034"/>
      <c r="Y569" s="3034"/>
      <c r="Z569" s="3034"/>
      <c r="AA569" s="3034"/>
      <c r="AB569" s="3034"/>
      <c r="AC569" s="3034"/>
      <c r="AD569" s="3034"/>
      <c r="AE569" s="3034"/>
      <c r="AF569" s="3034"/>
      <c r="AG569" s="3034"/>
      <c r="AH569" s="3034"/>
      <c r="AI569" s="3034"/>
      <c r="AJ569" s="3034"/>
      <c r="AK569" s="1027"/>
      <c r="AL569" s="1027"/>
      <c r="AM569" s="1027"/>
      <c r="AN569" s="1000"/>
      <c r="AQ569" s="1135"/>
      <c r="AR569" s="1135"/>
    </row>
    <row r="570" spans="1:46" s="943" customFormat="1" ht="13.15" customHeight="1">
      <c r="A570" s="1027"/>
      <c r="B570" s="1118"/>
      <c r="C570" s="3034"/>
      <c r="D570" s="3034"/>
      <c r="E570" s="3034"/>
      <c r="F570" s="3034"/>
      <c r="G570" s="3034"/>
      <c r="H570" s="3034"/>
      <c r="I570" s="3034"/>
      <c r="J570" s="3034"/>
      <c r="K570" s="3034"/>
      <c r="L570" s="3034"/>
      <c r="M570" s="3034"/>
      <c r="N570" s="3034"/>
      <c r="O570" s="3034"/>
      <c r="P570" s="3034"/>
      <c r="Q570" s="3034"/>
      <c r="R570" s="3034"/>
      <c r="S570" s="3034"/>
      <c r="T570" s="3034"/>
      <c r="U570" s="3034"/>
      <c r="V570" s="3034"/>
      <c r="W570" s="3034"/>
      <c r="X570" s="3034"/>
      <c r="Y570" s="3034"/>
      <c r="Z570" s="3034"/>
      <c r="AA570" s="3034"/>
      <c r="AB570" s="3034"/>
      <c r="AC570" s="3034"/>
      <c r="AD570" s="3034"/>
      <c r="AE570" s="3034"/>
      <c r="AF570" s="3034"/>
      <c r="AG570" s="3034"/>
      <c r="AH570" s="3034"/>
      <c r="AI570" s="3034"/>
      <c r="AJ570" s="3034"/>
      <c r="AK570" s="1027"/>
      <c r="AL570" s="1027"/>
      <c r="AM570" s="1027"/>
      <c r="AN570" s="1000"/>
      <c r="AQ570" s="1135"/>
      <c r="AR570" s="1135"/>
    </row>
    <row r="571" spans="1:46" s="943" customFormat="1" ht="12.75" customHeight="1">
      <c r="A571" s="1027"/>
      <c r="B571" s="1118"/>
      <c r="C571" s="3034"/>
      <c r="D571" s="3034"/>
      <c r="E571" s="3034"/>
      <c r="F571" s="3034"/>
      <c r="G571" s="3034"/>
      <c r="H571" s="3034"/>
      <c r="I571" s="3034"/>
      <c r="J571" s="3034"/>
      <c r="K571" s="3034"/>
      <c r="L571" s="3034"/>
      <c r="M571" s="3034"/>
      <c r="N571" s="3034"/>
      <c r="O571" s="3034"/>
      <c r="P571" s="3034"/>
      <c r="Q571" s="3034"/>
      <c r="R571" s="3034"/>
      <c r="S571" s="3034"/>
      <c r="T571" s="3034"/>
      <c r="U571" s="3034"/>
      <c r="V571" s="3034"/>
      <c r="W571" s="3034"/>
      <c r="X571" s="3034"/>
      <c r="Y571" s="3034"/>
      <c r="Z571" s="3034"/>
      <c r="AA571" s="3034"/>
      <c r="AB571" s="3034"/>
      <c r="AC571" s="3034"/>
      <c r="AD571" s="3034"/>
      <c r="AE571" s="3034"/>
      <c r="AF571" s="3034"/>
      <c r="AG571" s="3034"/>
      <c r="AH571" s="3034"/>
      <c r="AI571" s="3034"/>
      <c r="AJ571" s="3034"/>
      <c r="AK571" s="1027"/>
      <c r="AL571" s="1027"/>
      <c r="AM571" s="1027"/>
      <c r="AN571" s="1000"/>
      <c r="AO571" s="1150"/>
      <c r="AP571" s="1150"/>
      <c r="AQ571" s="1135"/>
      <c r="AR571" s="1002"/>
    </row>
    <row r="572" spans="1:46" s="943" customFormat="1" ht="11.9" customHeight="1">
      <c r="A572" s="1027"/>
      <c r="B572" s="1118"/>
      <c r="C572" s="3034"/>
      <c r="D572" s="3034"/>
      <c r="E572" s="3034"/>
      <c r="F572" s="3034"/>
      <c r="G572" s="3034"/>
      <c r="H572" s="3034"/>
      <c r="I572" s="3034"/>
      <c r="J572" s="3034"/>
      <c r="K572" s="3034"/>
      <c r="L572" s="3034"/>
      <c r="M572" s="3034"/>
      <c r="N572" s="3034"/>
      <c r="O572" s="3034"/>
      <c r="P572" s="3034"/>
      <c r="Q572" s="3034"/>
      <c r="R572" s="3034"/>
      <c r="S572" s="3034"/>
      <c r="T572" s="3034"/>
      <c r="U572" s="3034"/>
      <c r="V572" s="3034"/>
      <c r="W572" s="3034"/>
      <c r="X572" s="3034"/>
      <c r="Y572" s="3034"/>
      <c r="Z572" s="3034"/>
      <c r="AA572" s="3034"/>
      <c r="AB572" s="3034"/>
      <c r="AC572" s="3034"/>
      <c r="AD572" s="3034"/>
      <c r="AE572" s="3034"/>
      <c r="AF572" s="3034"/>
      <c r="AG572" s="3034"/>
      <c r="AH572" s="3034"/>
      <c r="AI572" s="3034"/>
      <c r="AJ572" s="3034"/>
      <c r="AK572" s="1027"/>
      <c r="AL572" s="1027"/>
      <c r="AM572" s="1027"/>
      <c r="AN572" s="1000"/>
      <c r="AO572" s="1151" t="s">
        <v>117</v>
      </c>
      <c r="AP572" s="1152">
        <f>IF(C596="Yes",5,0)</f>
        <v>0</v>
      </c>
      <c r="AQ572" s="1002"/>
      <c r="AR572" s="1002"/>
      <c r="AS572" s="932" t="s">
        <v>1740</v>
      </c>
    </row>
    <row r="573" spans="1:46" s="943" customFormat="1" ht="12.75" customHeight="1">
      <c r="A573" s="1027"/>
      <c r="B573" s="1118"/>
      <c r="C573" s="3034"/>
      <c r="D573" s="3034"/>
      <c r="E573" s="3034"/>
      <c r="F573" s="3034"/>
      <c r="G573" s="3034"/>
      <c r="H573" s="3034"/>
      <c r="I573" s="3034"/>
      <c r="J573" s="3034"/>
      <c r="K573" s="3034"/>
      <c r="L573" s="3034"/>
      <c r="M573" s="3034"/>
      <c r="N573" s="3034"/>
      <c r="O573" s="3034"/>
      <c r="P573" s="3034"/>
      <c r="Q573" s="3034"/>
      <c r="R573" s="3034"/>
      <c r="S573" s="3034"/>
      <c r="T573" s="3034"/>
      <c r="U573" s="3034"/>
      <c r="V573" s="3034"/>
      <c r="W573" s="3034"/>
      <c r="X573" s="3034"/>
      <c r="Y573" s="3034"/>
      <c r="Z573" s="3034"/>
      <c r="AA573" s="3034"/>
      <c r="AB573" s="3034"/>
      <c r="AC573" s="3034"/>
      <c r="AD573" s="3034"/>
      <c r="AE573" s="3034"/>
      <c r="AF573" s="3034"/>
      <c r="AG573" s="3034"/>
      <c r="AH573" s="3034"/>
      <c r="AI573" s="3034"/>
      <c r="AJ573" s="3034"/>
      <c r="AK573" s="1027"/>
      <c r="AL573" s="1027"/>
      <c r="AM573" s="1027"/>
      <c r="AN573" s="1000"/>
      <c r="AO573" s="1151" t="s">
        <v>118</v>
      </c>
      <c r="AP573" s="1152">
        <f>IF(C604="Yes",5,0)</f>
        <v>0</v>
      </c>
      <c r="AQ573" s="1002"/>
      <c r="AR573" s="1002"/>
      <c r="AS573" s="2999">
        <f>IF(Application!D210="Non-Targeted",(SUM(AQ581+AQ590)),AS577)</f>
        <v>10</v>
      </c>
      <c r="AT573" s="2999"/>
    </row>
    <row r="574" spans="1:46" s="943" customFormat="1" ht="12.75" customHeight="1">
      <c r="A574" s="1027"/>
      <c r="B574" s="1118"/>
      <c r="C574" s="3034"/>
      <c r="D574" s="3034"/>
      <c r="E574" s="3034"/>
      <c r="F574" s="3034"/>
      <c r="G574" s="3034"/>
      <c r="H574" s="3034"/>
      <c r="I574" s="3034"/>
      <c r="J574" s="3034"/>
      <c r="K574" s="3034"/>
      <c r="L574" s="3034"/>
      <c r="M574" s="3034"/>
      <c r="N574" s="3034"/>
      <c r="O574" s="3034"/>
      <c r="P574" s="3034"/>
      <c r="Q574" s="3034"/>
      <c r="R574" s="3034"/>
      <c r="S574" s="3034"/>
      <c r="T574" s="3034"/>
      <c r="U574" s="3034"/>
      <c r="V574" s="3034"/>
      <c r="W574" s="3034"/>
      <c r="X574" s="3034"/>
      <c r="Y574" s="3034"/>
      <c r="Z574" s="3034"/>
      <c r="AA574" s="3034"/>
      <c r="AB574" s="3034"/>
      <c r="AC574" s="3034"/>
      <c r="AD574" s="3034"/>
      <c r="AE574" s="3034"/>
      <c r="AF574" s="3034"/>
      <c r="AG574" s="3034"/>
      <c r="AH574" s="3034"/>
      <c r="AI574" s="3034"/>
      <c r="AJ574" s="3034"/>
      <c r="AK574" s="1027"/>
      <c r="AL574" s="1027"/>
      <c r="AM574" s="1027"/>
      <c r="AN574" s="1000"/>
      <c r="AO574" s="1151" t="s">
        <v>124</v>
      </c>
      <c r="AP574" s="1152">
        <f>IF(C612="Yes",7,0)</f>
        <v>7</v>
      </c>
      <c r="AS574" s="932" t="s">
        <v>1741</v>
      </c>
    </row>
    <row r="575" spans="1:46" s="943" customFormat="1" ht="12.75" customHeight="1">
      <c r="A575" s="1027"/>
      <c r="B575" s="1118"/>
      <c r="C575" s="3034"/>
      <c r="D575" s="3034"/>
      <c r="E575" s="3034"/>
      <c r="F575" s="3034"/>
      <c r="G575" s="3034"/>
      <c r="H575" s="3034"/>
      <c r="I575" s="3034"/>
      <c r="J575" s="3034"/>
      <c r="K575" s="3034"/>
      <c r="L575" s="3034"/>
      <c r="M575" s="3034"/>
      <c r="N575" s="3034"/>
      <c r="O575" s="3034"/>
      <c r="P575" s="3034"/>
      <c r="Q575" s="3034"/>
      <c r="R575" s="3034"/>
      <c r="S575" s="3034"/>
      <c r="T575" s="3034"/>
      <c r="U575" s="3034"/>
      <c r="V575" s="3034"/>
      <c r="W575" s="3034"/>
      <c r="X575" s="3034"/>
      <c r="Y575" s="3034"/>
      <c r="Z575" s="3034"/>
      <c r="AA575" s="3034"/>
      <c r="AB575" s="3034"/>
      <c r="AC575" s="3034"/>
      <c r="AD575" s="3034"/>
      <c r="AE575" s="3034"/>
      <c r="AF575" s="3034"/>
      <c r="AG575" s="3034"/>
      <c r="AH575" s="3034"/>
      <c r="AI575" s="3034"/>
      <c r="AJ575" s="3034"/>
      <c r="AK575" s="1027"/>
      <c r="AL575" s="1027"/>
      <c r="AM575" s="1027"/>
      <c r="AN575" s="1000"/>
      <c r="AO575" s="1000"/>
      <c r="AP575" s="1152">
        <f>IF(C614="Yes",5,0)</f>
        <v>0</v>
      </c>
      <c r="AS575" s="2999">
        <f>IF(AND(AQ581&gt;0,AQ590&gt;0),(AQ581+AQ590)/2,0)</f>
        <v>0</v>
      </c>
      <c r="AT575" s="2999"/>
    </row>
    <row r="576" spans="1:46" s="943" customFormat="1" ht="12.75" customHeight="1">
      <c r="A576" s="1027"/>
      <c r="B576" s="1118"/>
      <c r="C576" s="3034"/>
      <c r="D576" s="3034"/>
      <c r="E576" s="3034"/>
      <c r="F576" s="3034"/>
      <c r="G576" s="3034"/>
      <c r="H576" s="3034"/>
      <c r="I576" s="3034"/>
      <c r="J576" s="3034"/>
      <c r="K576" s="3034"/>
      <c r="L576" s="3034"/>
      <c r="M576" s="3034"/>
      <c r="N576" s="3034"/>
      <c r="O576" s="3034"/>
      <c r="P576" s="3034"/>
      <c r="Q576" s="3034"/>
      <c r="R576" s="3034"/>
      <c r="S576" s="3034"/>
      <c r="T576" s="3034"/>
      <c r="U576" s="3034"/>
      <c r="V576" s="3034"/>
      <c r="W576" s="3034"/>
      <c r="X576" s="3034"/>
      <c r="Y576" s="3034"/>
      <c r="Z576" s="3034"/>
      <c r="AA576" s="3034"/>
      <c r="AB576" s="3034"/>
      <c r="AC576" s="3034"/>
      <c r="AD576" s="3034"/>
      <c r="AE576" s="3034"/>
      <c r="AF576" s="3034"/>
      <c r="AG576" s="3034"/>
      <c r="AH576" s="3034"/>
      <c r="AI576" s="3034"/>
      <c r="AJ576" s="3034"/>
      <c r="AK576" s="1027"/>
      <c r="AL576" s="1027"/>
      <c r="AM576" s="1027"/>
      <c r="AN576" s="1000"/>
      <c r="AO576" s="1151" t="s">
        <v>615</v>
      </c>
      <c r="AP576" s="1152">
        <f>IF(C622="Yes",5,0)</f>
        <v>0</v>
      </c>
      <c r="AQ576" s="1002"/>
      <c r="AR576" s="1002"/>
      <c r="AS576" s="932" t="s">
        <v>2415</v>
      </c>
    </row>
    <row r="577" spans="1:81" s="943" customFormat="1" ht="12.75" customHeight="1">
      <c r="A577" s="1027"/>
      <c r="B577" s="1118"/>
      <c r="C577" s="3141" t="s">
        <v>1742</v>
      </c>
      <c r="D577" s="3141"/>
      <c r="E577" s="3141"/>
      <c r="F577" s="3141"/>
      <c r="G577" s="3141"/>
      <c r="H577" s="3141"/>
      <c r="I577" s="3141"/>
      <c r="J577" s="3141"/>
      <c r="K577" s="3141"/>
      <c r="L577" s="3141"/>
      <c r="M577" s="3141"/>
      <c r="N577" s="3141"/>
      <c r="O577" s="3141"/>
      <c r="P577" s="3141"/>
      <c r="Q577" s="3141"/>
      <c r="R577" s="3141"/>
      <c r="S577" s="3141"/>
      <c r="T577" s="3141"/>
      <c r="U577" s="3141"/>
      <c r="V577" s="3141"/>
      <c r="W577" s="3141"/>
      <c r="X577" s="3141"/>
      <c r="Y577" s="3141"/>
      <c r="Z577" s="3141"/>
      <c r="AA577" s="3141"/>
      <c r="AB577" s="3141"/>
      <c r="AC577" s="3141"/>
      <c r="AD577" s="3141"/>
      <c r="AE577" s="3141"/>
      <c r="AF577" s="3141"/>
      <c r="AG577" s="3141"/>
      <c r="AH577" s="3141"/>
      <c r="AI577" s="3141"/>
      <c r="AJ577" s="3141"/>
      <c r="AK577" s="1027"/>
      <c r="AL577" s="1027"/>
      <c r="AM577" s="1027"/>
      <c r="AN577" s="1000"/>
      <c r="AO577" s="1000"/>
      <c r="AP577" s="1152">
        <f>IF(C624="Yes",3,0)</f>
        <v>3</v>
      </c>
      <c r="AS577" s="2999">
        <f>IF(AQ581=0,AQ590,AQ581)</f>
        <v>10</v>
      </c>
      <c r="AT577" s="2999"/>
    </row>
    <row r="578" spans="1:81" s="943" customFormat="1" ht="12.75" customHeight="1">
      <c r="A578" s="1027"/>
      <c r="B578" s="1118"/>
      <c r="C578" s="3141"/>
      <c r="D578" s="3141"/>
      <c r="E578" s="3141"/>
      <c r="F578" s="3141"/>
      <c r="G578" s="3141"/>
      <c r="H578" s="3141"/>
      <c r="I578" s="3141"/>
      <c r="J578" s="3141"/>
      <c r="K578" s="3141"/>
      <c r="L578" s="3141"/>
      <c r="M578" s="3141"/>
      <c r="N578" s="3141"/>
      <c r="O578" s="3141"/>
      <c r="P578" s="3141"/>
      <c r="Q578" s="3141"/>
      <c r="R578" s="3141"/>
      <c r="S578" s="3141"/>
      <c r="T578" s="3141"/>
      <c r="U578" s="3141"/>
      <c r="V578" s="3141"/>
      <c r="W578" s="3141"/>
      <c r="X578" s="3141"/>
      <c r="Y578" s="3141"/>
      <c r="Z578" s="3141"/>
      <c r="AA578" s="3141"/>
      <c r="AB578" s="3141"/>
      <c r="AC578" s="3141"/>
      <c r="AD578" s="3141"/>
      <c r="AE578" s="3141"/>
      <c r="AF578" s="3141"/>
      <c r="AG578" s="3141"/>
      <c r="AH578" s="3141"/>
      <c r="AI578" s="3141"/>
      <c r="AJ578" s="3141"/>
      <c r="AK578" s="1027"/>
      <c r="AL578" s="1027"/>
      <c r="AM578" s="1027"/>
      <c r="AN578" s="1000"/>
      <c r="AO578" s="1151" t="s">
        <v>820</v>
      </c>
      <c r="AP578" s="1152">
        <f>IF(C627="Yes",5,0)</f>
        <v>0</v>
      </c>
    </row>
    <row r="579" spans="1:81" s="943" customFormat="1" ht="12.75" customHeight="1">
      <c r="A579" s="1027"/>
      <c r="B579" s="1118"/>
      <c r="C579" s="3141"/>
      <c r="D579" s="3141"/>
      <c r="E579" s="3141"/>
      <c r="F579" s="3141"/>
      <c r="G579" s="3141"/>
      <c r="H579" s="3141"/>
      <c r="I579" s="3141"/>
      <c r="J579" s="3141"/>
      <c r="K579" s="3141"/>
      <c r="L579" s="3141"/>
      <c r="M579" s="3141"/>
      <c r="N579" s="3141"/>
      <c r="O579" s="3141"/>
      <c r="P579" s="3141"/>
      <c r="Q579" s="3141"/>
      <c r="R579" s="3141"/>
      <c r="S579" s="3141"/>
      <c r="T579" s="3141"/>
      <c r="U579" s="3141"/>
      <c r="V579" s="3141"/>
      <c r="W579" s="3141"/>
      <c r="X579" s="3141"/>
      <c r="Y579" s="3141"/>
      <c r="Z579" s="3141"/>
      <c r="AA579" s="3141"/>
      <c r="AB579" s="3141"/>
      <c r="AC579" s="3141"/>
      <c r="AD579" s="3141"/>
      <c r="AE579" s="3141"/>
      <c r="AF579" s="3141"/>
      <c r="AG579" s="3141"/>
      <c r="AH579" s="3141"/>
      <c r="AI579" s="3141"/>
      <c r="AJ579" s="3141"/>
      <c r="AK579" s="1027"/>
      <c r="AL579" s="1027"/>
      <c r="AM579" s="1027"/>
      <c r="AN579" s="1000"/>
      <c r="AO579" s="1151" t="s">
        <v>618</v>
      </c>
      <c r="AP579" s="1152">
        <f>IF(C636="Yes",5,0)</f>
        <v>0</v>
      </c>
    </row>
    <row r="580" spans="1:81" s="943" customFormat="1" ht="11.9" customHeight="1">
      <c r="A580" s="1027"/>
      <c r="B580" s="1118"/>
      <c r="C580" s="3141"/>
      <c r="D580" s="3141"/>
      <c r="E580" s="3141"/>
      <c r="F580" s="3141"/>
      <c r="G580" s="3141"/>
      <c r="H580" s="3141"/>
      <c r="I580" s="3141"/>
      <c r="J580" s="3141"/>
      <c r="K580" s="3141"/>
      <c r="L580" s="3141"/>
      <c r="M580" s="3141"/>
      <c r="N580" s="3141"/>
      <c r="O580" s="3141"/>
      <c r="P580" s="3141"/>
      <c r="Q580" s="3141"/>
      <c r="R580" s="3141"/>
      <c r="S580" s="3141"/>
      <c r="T580" s="3141"/>
      <c r="U580" s="3141"/>
      <c r="V580" s="3141"/>
      <c r="W580" s="3141"/>
      <c r="X580" s="3141"/>
      <c r="Y580" s="3141"/>
      <c r="Z580" s="3141"/>
      <c r="AA580" s="3141"/>
      <c r="AB580" s="3141"/>
      <c r="AC580" s="3141"/>
      <c r="AD580" s="3141"/>
      <c r="AE580" s="3141"/>
      <c r="AF580" s="3141"/>
      <c r="AG580" s="3141"/>
      <c r="AH580" s="3141"/>
      <c r="AI580" s="3141"/>
      <c r="AJ580" s="3141"/>
      <c r="AK580" s="1027"/>
      <c r="AL580" s="1027"/>
      <c r="AM580" s="1027"/>
      <c r="AN580" s="1000"/>
      <c r="AO580" s="1153"/>
      <c r="AP580" s="1154">
        <f>IF(C638="Yes",3,0)</f>
        <v>0</v>
      </c>
    </row>
    <row r="581" spans="1:81" s="943" customFormat="1" ht="12.4" customHeight="1">
      <c r="A581" s="1027"/>
      <c r="B581" s="1118"/>
      <c r="C581" s="3141"/>
      <c r="D581" s="3141"/>
      <c r="E581" s="3141"/>
      <c r="F581" s="3141"/>
      <c r="G581" s="3141"/>
      <c r="H581" s="3141"/>
      <c r="I581" s="3141"/>
      <c r="J581" s="3141"/>
      <c r="K581" s="3141"/>
      <c r="L581" s="3141"/>
      <c r="M581" s="3141"/>
      <c r="N581" s="3141"/>
      <c r="O581" s="3141"/>
      <c r="P581" s="3141"/>
      <c r="Q581" s="3141"/>
      <c r="R581" s="3141"/>
      <c r="S581" s="3141"/>
      <c r="T581" s="3141"/>
      <c r="U581" s="3141"/>
      <c r="V581" s="3141"/>
      <c r="W581" s="3141"/>
      <c r="X581" s="3141"/>
      <c r="Y581" s="3141"/>
      <c r="Z581" s="3141"/>
      <c r="AA581" s="3141"/>
      <c r="AB581" s="3141"/>
      <c r="AC581" s="3141"/>
      <c r="AD581" s="3141"/>
      <c r="AE581" s="3141"/>
      <c r="AF581" s="3141"/>
      <c r="AG581" s="3141"/>
      <c r="AH581" s="3141"/>
      <c r="AI581" s="3141"/>
      <c r="AJ581" s="3141"/>
      <c r="AK581" s="1027"/>
      <c r="AL581" s="1027"/>
      <c r="AM581" s="1027"/>
      <c r="AN581" s="1000"/>
      <c r="AO581" s="1155" t="s">
        <v>233</v>
      </c>
      <c r="AP581" s="1156">
        <f>SUM(AP572:AP580)</f>
        <v>10</v>
      </c>
      <c r="AQ581" s="3037">
        <f>IF(AP581&gt;0,AP581,0)</f>
        <v>10</v>
      </c>
      <c r="AR581" s="3037"/>
    </row>
    <row r="582" spans="1:81" s="943" customFormat="1" ht="12.75" customHeight="1">
      <c r="A582" s="1027"/>
      <c r="B582" s="1118"/>
      <c r="C582" s="3141"/>
      <c r="D582" s="3141"/>
      <c r="E582" s="3141"/>
      <c r="F582" s="3141"/>
      <c r="G582" s="3141"/>
      <c r="H582" s="3141"/>
      <c r="I582" s="3141"/>
      <c r="J582" s="3141"/>
      <c r="K582" s="3141"/>
      <c r="L582" s="3141"/>
      <c r="M582" s="3141"/>
      <c r="N582" s="3141"/>
      <c r="O582" s="3141"/>
      <c r="P582" s="3141"/>
      <c r="Q582" s="3141"/>
      <c r="R582" s="3141"/>
      <c r="S582" s="3141"/>
      <c r="T582" s="3141"/>
      <c r="U582" s="3141"/>
      <c r="V582" s="3141"/>
      <c r="W582" s="3141"/>
      <c r="X582" s="3141"/>
      <c r="Y582" s="3141"/>
      <c r="Z582" s="3141"/>
      <c r="AA582" s="3141"/>
      <c r="AB582" s="3141"/>
      <c r="AC582" s="3141"/>
      <c r="AD582" s="3141"/>
      <c r="AE582" s="3141"/>
      <c r="AF582" s="3141"/>
      <c r="AG582" s="3141"/>
      <c r="AH582" s="3141"/>
      <c r="AI582" s="3141"/>
      <c r="AJ582" s="3141"/>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34" t="s">
        <v>1743</v>
      </c>
      <c r="D584" s="3034"/>
      <c r="E584" s="3034"/>
      <c r="F584" s="3034"/>
      <c r="G584" s="3034"/>
      <c r="H584" s="3034"/>
      <c r="I584" s="3034"/>
      <c r="J584" s="3034"/>
      <c r="K584" s="3034"/>
      <c r="L584" s="3034"/>
      <c r="M584" s="3034"/>
      <c r="N584" s="3034"/>
      <c r="O584" s="3034"/>
      <c r="P584" s="3034"/>
      <c r="Q584" s="3034"/>
      <c r="R584" s="3034"/>
      <c r="S584" s="3034"/>
      <c r="T584" s="3034"/>
      <c r="U584" s="3034"/>
      <c r="V584" s="3034"/>
      <c r="W584" s="3034"/>
      <c r="X584" s="3034"/>
      <c r="Y584" s="3034"/>
      <c r="Z584" s="3034"/>
      <c r="AA584" s="3034"/>
      <c r="AB584" s="3034"/>
      <c r="AC584" s="3034"/>
      <c r="AD584" s="3034"/>
      <c r="AE584" s="3034"/>
      <c r="AF584" s="3034"/>
      <c r="AG584" s="3034"/>
      <c r="AH584" s="3034"/>
      <c r="AI584" s="3034"/>
      <c r="AJ584" s="3034"/>
      <c r="AK584" s="1027"/>
      <c r="AL584" s="1027"/>
      <c r="AM584" s="1027"/>
      <c r="AN584" s="1000"/>
      <c r="AO584" s="1151" t="s">
        <v>487</v>
      </c>
      <c r="AP584" s="1152">
        <f>IF(C657="Yes",5,0)</f>
        <v>0</v>
      </c>
    </row>
    <row r="585" spans="1:81" s="943" customFormat="1" ht="12.75" customHeight="1">
      <c r="A585" s="1027"/>
      <c r="B585" s="1118"/>
      <c r="C585" s="3034"/>
      <c r="D585" s="3034"/>
      <c r="E585" s="3034"/>
      <c r="F585" s="3034"/>
      <c r="G585" s="3034"/>
      <c r="H585" s="3034"/>
      <c r="I585" s="3034"/>
      <c r="J585" s="3034"/>
      <c r="K585" s="3034"/>
      <c r="L585" s="3034"/>
      <c r="M585" s="3034"/>
      <c r="N585" s="3034"/>
      <c r="O585" s="3034"/>
      <c r="P585" s="3034"/>
      <c r="Q585" s="3034"/>
      <c r="R585" s="3034"/>
      <c r="S585" s="3034"/>
      <c r="T585" s="3034"/>
      <c r="U585" s="3034"/>
      <c r="V585" s="3034"/>
      <c r="W585" s="3034"/>
      <c r="X585" s="3034"/>
      <c r="Y585" s="3034"/>
      <c r="Z585" s="3034"/>
      <c r="AA585" s="3034"/>
      <c r="AB585" s="3034"/>
      <c r="AC585" s="3034"/>
      <c r="AD585" s="3034"/>
      <c r="AE585" s="3034"/>
      <c r="AF585" s="3034"/>
      <c r="AG585" s="3034"/>
      <c r="AH585" s="3034"/>
      <c r="AI585" s="3034"/>
      <c r="AJ585" s="3034"/>
      <c r="AK585" s="1027"/>
      <c r="AL585" s="1027"/>
      <c r="AM585" s="1027"/>
      <c r="AN585" s="1000"/>
      <c r="AO585" s="1151" t="s">
        <v>493</v>
      </c>
      <c r="AP585" s="1152">
        <f>IF(C664="Yes",5,0)</f>
        <v>0</v>
      </c>
    </row>
    <row r="586" spans="1:81" s="943" customFormat="1" ht="68.150000000000006" customHeight="1">
      <c r="A586" s="1027"/>
      <c r="B586" s="1118"/>
      <c r="C586" s="3034"/>
      <c r="D586" s="3034"/>
      <c r="E586" s="3034"/>
      <c r="F586" s="3034"/>
      <c r="G586" s="3034"/>
      <c r="H586" s="3034"/>
      <c r="I586" s="3034"/>
      <c r="J586" s="3034"/>
      <c r="K586" s="3034"/>
      <c r="L586" s="3034"/>
      <c r="M586" s="3034"/>
      <c r="N586" s="3034"/>
      <c r="O586" s="3034"/>
      <c r="P586" s="3034"/>
      <c r="Q586" s="3034"/>
      <c r="R586" s="3034"/>
      <c r="S586" s="3034"/>
      <c r="T586" s="3034"/>
      <c r="U586" s="3034"/>
      <c r="V586" s="3034"/>
      <c r="W586" s="3034"/>
      <c r="X586" s="3034"/>
      <c r="Y586" s="3034"/>
      <c r="Z586" s="3034"/>
      <c r="AA586" s="3034"/>
      <c r="AB586" s="3034"/>
      <c r="AC586" s="3034"/>
      <c r="AD586" s="3034"/>
      <c r="AE586" s="3034"/>
      <c r="AF586" s="3034"/>
      <c r="AG586" s="3034"/>
      <c r="AH586" s="3034"/>
      <c r="AI586" s="3034"/>
      <c r="AJ586" s="3034"/>
      <c r="AK586" s="1027"/>
      <c r="AL586" s="1027"/>
      <c r="AM586" s="1027"/>
      <c r="AN586" s="1000"/>
      <c r="AO586" s="1151" t="s">
        <v>680</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35">
        <f>'Service Amenities Budget'!J10</f>
        <v>179</v>
      </c>
      <c r="V588" s="3035"/>
      <c r="W588" s="3035"/>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36">
        <f>'Service Amenities Budget'!J9</f>
        <v>0</v>
      </c>
      <c r="V589" s="3036"/>
      <c r="W589" s="3036"/>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7">
        <f>IF(AP590&gt;0,AP590,0)</f>
        <v>0</v>
      </c>
      <c r="AR590" s="3037"/>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29" t="s">
        <v>1748</v>
      </c>
      <c r="G592" s="3029"/>
      <c r="H592" s="3029"/>
      <c r="I592" s="3029"/>
      <c r="J592" s="3029"/>
      <c r="K592" s="3029"/>
      <c r="L592" s="3029"/>
      <c r="M592" s="3029"/>
      <c r="N592" s="3029"/>
      <c r="O592" s="3029"/>
      <c r="P592" s="3029"/>
      <c r="Q592" s="3029"/>
      <c r="R592" s="3029"/>
      <c r="S592" s="3029"/>
      <c r="T592" s="3029"/>
      <c r="U592" s="3029"/>
      <c r="V592" s="3029"/>
      <c r="W592" s="3029"/>
      <c r="X592" s="3029"/>
      <c r="Y592" s="3029"/>
      <c r="Z592" s="3029"/>
      <c r="AA592" s="3029"/>
      <c r="AB592" s="3029"/>
      <c r="AC592" s="3029"/>
      <c r="AD592" s="3029"/>
      <c r="AE592" s="3029"/>
      <c r="AF592" s="3029"/>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0"/>
      <c r="G593" s="3030"/>
      <c r="H593" s="3030"/>
      <c r="I593" s="3030"/>
      <c r="J593" s="3030"/>
      <c r="K593" s="3030"/>
      <c r="L593" s="3030"/>
      <c r="M593" s="3030"/>
      <c r="N593" s="3030"/>
      <c r="O593" s="3030"/>
      <c r="P593" s="3030"/>
      <c r="Q593" s="3030"/>
      <c r="R593" s="3030"/>
      <c r="S593" s="3030"/>
      <c r="T593" s="3030"/>
      <c r="U593" s="3030"/>
      <c r="V593" s="3030"/>
      <c r="W593" s="3030"/>
      <c r="X593" s="3030"/>
      <c r="Y593" s="3030"/>
      <c r="Z593" s="3030"/>
      <c r="AA593" s="3030"/>
      <c r="AB593" s="3030"/>
      <c r="AC593" s="3030"/>
      <c r="AD593" s="3030"/>
      <c r="AE593" s="3030"/>
      <c r="AF593" s="3030"/>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0"/>
      <c r="G594" s="3030"/>
      <c r="H594" s="3030"/>
      <c r="I594" s="3030"/>
      <c r="J594" s="3030"/>
      <c r="K594" s="3030"/>
      <c r="L594" s="3030"/>
      <c r="M594" s="3030"/>
      <c r="N594" s="3030"/>
      <c r="O594" s="3030"/>
      <c r="P594" s="3030"/>
      <c r="Q594" s="3030"/>
      <c r="R594" s="3030"/>
      <c r="S594" s="3030"/>
      <c r="T594" s="3030"/>
      <c r="U594" s="3030"/>
      <c r="V594" s="3030"/>
      <c r="W594" s="3030"/>
      <c r="X594" s="3030"/>
      <c r="Y594" s="3030"/>
      <c r="Z594" s="3030"/>
      <c r="AA594" s="3030"/>
      <c r="AB594" s="3030"/>
      <c r="AC594" s="3030"/>
      <c r="AD594" s="3030"/>
      <c r="AE594" s="3030"/>
      <c r="AF594" s="3030"/>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0"/>
      <c r="G595" s="3030"/>
      <c r="H595" s="3030"/>
      <c r="I595" s="3030"/>
      <c r="J595" s="3030"/>
      <c r="K595" s="3030"/>
      <c r="L595" s="3030"/>
      <c r="M595" s="3030"/>
      <c r="N595" s="3030"/>
      <c r="O595" s="3030"/>
      <c r="P595" s="3030"/>
      <c r="Q595" s="3030"/>
      <c r="R595" s="3030"/>
      <c r="S595" s="3030"/>
      <c r="T595" s="3030"/>
      <c r="U595" s="3030"/>
      <c r="V595" s="3030"/>
      <c r="W595" s="3030"/>
      <c r="X595" s="3030"/>
      <c r="Y595" s="3030"/>
      <c r="Z595" s="3030"/>
      <c r="AA595" s="3030"/>
      <c r="AB595" s="3030"/>
      <c r="AC595" s="3030"/>
      <c r="AD595" s="3030"/>
      <c r="AE595" s="3030"/>
      <c r="AF595" s="3030"/>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8" t="s">
        <v>625</v>
      </c>
      <c r="D596" s="3039"/>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0" t="s">
        <v>1750</v>
      </c>
      <c r="AG596" s="3040"/>
      <c r="AH596" s="3040"/>
      <c r="AI596" s="3040"/>
      <c r="AJ596" s="3040"/>
      <c r="AK596" s="3040"/>
      <c r="AL596" s="3041"/>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29" t="s">
        <v>1751</v>
      </c>
      <c r="G599" s="3029"/>
      <c r="H599" s="3029"/>
      <c r="I599" s="3029"/>
      <c r="J599" s="3029"/>
      <c r="K599" s="3029"/>
      <c r="L599" s="3029"/>
      <c r="M599" s="3029"/>
      <c r="N599" s="3029"/>
      <c r="O599" s="3029"/>
      <c r="P599" s="3029"/>
      <c r="Q599" s="3029"/>
      <c r="R599" s="3029"/>
      <c r="S599" s="3029"/>
      <c r="T599" s="3029"/>
      <c r="U599" s="3029"/>
      <c r="V599" s="3029"/>
      <c r="W599" s="3029"/>
      <c r="X599" s="3029"/>
      <c r="Y599" s="3029"/>
      <c r="Z599" s="3029"/>
      <c r="AA599" s="3029"/>
      <c r="AB599" s="3029"/>
      <c r="AC599" s="3029"/>
      <c r="AD599" s="3029"/>
      <c r="AE599" s="3029"/>
      <c r="AF599" s="3029"/>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0"/>
      <c r="G600" s="3030"/>
      <c r="H600" s="3030"/>
      <c r="I600" s="3030"/>
      <c r="J600" s="3030"/>
      <c r="K600" s="3030"/>
      <c r="L600" s="3030"/>
      <c r="M600" s="3030"/>
      <c r="N600" s="3030"/>
      <c r="O600" s="3030"/>
      <c r="P600" s="3030"/>
      <c r="Q600" s="3030"/>
      <c r="R600" s="3030"/>
      <c r="S600" s="3030"/>
      <c r="T600" s="3030"/>
      <c r="U600" s="3030"/>
      <c r="V600" s="3030"/>
      <c r="W600" s="3030"/>
      <c r="X600" s="3030"/>
      <c r="Y600" s="3030"/>
      <c r="Z600" s="3030"/>
      <c r="AA600" s="3030"/>
      <c r="AB600" s="3030"/>
      <c r="AC600" s="3030"/>
      <c r="AD600" s="3030"/>
      <c r="AE600" s="3030"/>
      <c r="AF600" s="3030"/>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0"/>
      <c r="G601" s="3030"/>
      <c r="H601" s="3030"/>
      <c r="I601" s="3030"/>
      <c r="J601" s="3030"/>
      <c r="K601" s="3030"/>
      <c r="L601" s="3030"/>
      <c r="M601" s="3030"/>
      <c r="N601" s="3030"/>
      <c r="O601" s="3030"/>
      <c r="P601" s="3030"/>
      <c r="Q601" s="3030"/>
      <c r="R601" s="3030"/>
      <c r="S601" s="3030"/>
      <c r="T601" s="3030"/>
      <c r="U601" s="3030"/>
      <c r="V601" s="3030"/>
      <c r="W601" s="3030"/>
      <c r="X601" s="3030"/>
      <c r="Y601" s="3030"/>
      <c r="Z601" s="3030"/>
      <c r="AA601" s="3030"/>
      <c r="AB601" s="3030"/>
      <c r="AC601" s="3030"/>
      <c r="AD601" s="3030"/>
      <c r="AE601" s="3030"/>
      <c r="AF601" s="3030"/>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0"/>
      <c r="G602" s="3030"/>
      <c r="H602" s="3030"/>
      <c r="I602" s="3030"/>
      <c r="J602" s="3030"/>
      <c r="K602" s="3030"/>
      <c r="L602" s="3030"/>
      <c r="M602" s="3030"/>
      <c r="N602" s="3030"/>
      <c r="O602" s="3030"/>
      <c r="P602" s="3030"/>
      <c r="Q602" s="3030"/>
      <c r="R602" s="3030"/>
      <c r="S602" s="3030"/>
      <c r="T602" s="3030"/>
      <c r="U602" s="3030"/>
      <c r="V602" s="3030"/>
      <c r="W602" s="3030"/>
      <c r="X602" s="3030"/>
      <c r="Y602" s="3030"/>
      <c r="Z602" s="3030"/>
      <c r="AA602" s="3030"/>
      <c r="AB602" s="3030"/>
      <c r="AC602" s="3030"/>
      <c r="AD602" s="3030"/>
      <c r="AE602" s="3030"/>
      <c r="AF602" s="3030"/>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0"/>
      <c r="G603" s="3030"/>
      <c r="H603" s="3030"/>
      <c r="I603" s="3030"/>
      <c r="J603" s="3030"/>
      <c r="K603" s="3030"/>
      <c r="L603" s="3030"/>
      <c r="M603" s="3030"/>
      <c r="N603" s="3030"/>
      <c r="O603" s="3030"/>
      <c r="P603" s="3030"/>
      <c r="Q603" s="3030"/>
      <c r="R603" s="3030"/>
      <c r="S603" s="3030"/>
      <c r="T603" s="3030"/>
      <c r="U603" s="3030"/>
      <c r="V603" s="3030"/>
      <c r="W603" s="3030"/>
      <c r="X603" s="3030"/>
      <c r="Y603" s="3030"/>
      <c r="Z603" s="3030"/>
      <c r="AA603" s="3030"/>
      <c r="AB603" s="3030"/>
      <c r="AC603" s="3030"/>
      <c r="AD603" s="3030"/>
      <c r="AE603" s="3030"/>
      <c r="AF603" s="3030"/>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8" t="s">
        <v>625</v>
      </c>
      <c r="D604" s="3039"/>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0" t="s">
        <v>1750</v>
      </c>
      <c r="AG604" s="3040"/>
      <c r="AH604" s="3040"/>
      <c r="AI604" s="3040"/>
      <c r="AJ604" s="3040"/>
      <c r="AK604" s="3040"/>
      <c r="AL604" s="3041"/>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29" t="s">
        <v>1753</v>
      </c>
      <c r="G607" s="3029"/>
      <c r="H607" s="3029"/>
      <c r="I607" s="3029"/>
      <c r="J607" s="3029"/>
      <c r="K607" s="3029"/>
      <c r="L607" s="3029"/>
      <c r="M607" s="3029"/>
      <c r="N607" s="3029"/>
      <c r="O607" s="3029"/>
      <c r="P607" s="3029"/>
      <c r="Q607" s="3029"/>
      <c r="R607" s="3029"/>
      <c r="S607" s="3029"/>
      <c r="T607" s="3029"/>
      <c r="U607" s="3029"/>
      <c r="V607" s="3029"/>
      <c r="W607" s="3029"/>
      <c r="X607" s="3029"/>
      <c r="Y607" s="3029"/>
      <c r="Z607" s="3029"/>
      <c r="AA607" s="3029"/>
      <c r="AB607" s="3029"/>
      <c r="AC607" s="3029"/>
      <c r="AD607" s="3029"/>
      <c r="AE607" s="3029"/>
      <c r="AF607" s="3029"/>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0"/>
      <c r="G608" s="3030"/>
      <c r="H608" s="3030"/>
      <c r="I608" s="3030"/>
      <c r="J608" s="3030"/>
      <c r="K608" s="3030"/>
      <c r="L608" s="3030"/>
      <c r="M608" s="3030"/>
      <c r="N608" s="3030"/>
      <c r="O608" s="3030"/>
      <c r="P608" s="3030"/>
      <c r="Q608" s="3030"/>
      <c r="R608" s="3030"/>
      <c r="S608" s="3030"/>
      <c r="T608" s="3030"/>
      <c r="U608" s="3030"/>
      <c r="V608" s="3030"/>
      <c r="W608" s="3030"/>
      <c r="X608" s="3030"/>
      <c r="Y608" s="3030"/>
      <c r="Z608" s="3030"/>
      <c r="AA608" s="3030"/>
      <c r="AB608" s="3030"/>
      <c r="AC608" s="3030"/>
      <c r="AD608" s="3030"/>
      <c r="AE608" s="3030"/>
      <c r="AF608" s="3030"/>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0"/>
      <c r="G609" s="3030"/>
      <c r="H609" s="3030"/>
      <c r="I609" s="3030"/>
      <c r="J609" s="3030"/>
      <c r="K609" s="3030"/>
      <c r="L609" s="3030"/>
      <c r="M609" s="3030"/>
      <c r="N609" s="3030"/>
      <c r="O609" s="3030"/>
      <c r="P609" s="3030"/>
      <c r="Q609" s="3030"/>
      <c r="R609" s="3030"/>
      <c r="S609" s="3030"/>
      <c r="T609" s="3030"/>
      <c r="U609" s="3030"/>
      <c r="V609" s="3030"/>
      <c r="W609" s="3030"/>
      <c r="X609" s="3030"/>
      <c r="Y609" s="3030"/>
      <c r="Z609" s="3030"/>
      <c r="AA609" s="3030"/>
      <c r="AB609" s="3030"/>
      <c r="AC609" s="3030"/>
      <c r="AD609" s="3030"/>
      <c r="AE609" s="3030"/>
      <c r="AF609" s="3030"/>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0"/>
      <c r="G610" s="3030"/>
      <c r="H610" s="3030"/>
      <c r="I610" s="3030"/>
      <c r="J610" s="3030"/>
      <c r="K610" s="3030"/>
      <c r="L610" s="3030"/>
      <c r="M610" s="3030"/>
      <c r="N610" s="3030"/>
      <c r="O610" s="3030"/>
      <c r="P610" s="3030"/>
      <c r="Q610" s="3030"/>
      <c r="R610" s="3030"/>
      <c r="S610" s="3030"/>
      <c r="T610" s="3030"/>
      <c r="U610" s="3030"/>
      <c r="V610" s="3030"/>
      <c r="W610" s="3030"/>
      <c r="X610" s="3030"/>
      <c r="Y610" s="3030"/>
      <c r="Z610" s="3030"/>
      <c r="AA610" s="3030"/>
      <c r="AB610" s="3030"/>
      <c r="AC610" s="3030"/>
      <c r="AD610" s="3030"/>
      <c r="AE610" s="3030"/>
      <c r="AF610" s="3030"/>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0"/>
      <c r="G611" s="3030"/>
      <c r="H611" s="3030"/>
      <c r="I611" s="3030"/>
      <c r="J611" s="3030"/>
      <c r="K611" s="3030"/>
      <c r="L611" s="3030"/>
      <c r="M611" s="3030"/>
      <c r="N611" s="3030"/>
      <c r="O611" s="3030"/>
      <c r="P611" s="3030"/>
      <c r="Q611" s="3030"/>
      <c r="R611" s="3030"/>
      <c r="S611" s="3030"/>
      <c r="T611" s="3030"/>
      <c r="U611" s="3030"/>
      <c r="V611" s="3030"/>
      <c r="W611" s="3030"/>
      <c r="X611" s="3030"/>
      <c r="Y611" s="3030"/>
      <c r="Z611" s="3030"/>
      <c r="AA611" s="3030"/>
      <c r="AB611" s="3030"/>
      <c r="AC611" s="3030"/>
      <c r="AD611" s="3030"/>
      <c r="AE611" s="3030"/>
      <c r="AF611" s="3030"/>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8" t="s">
        <v>577</v>
      </c>
      <c r="D612" s="3039"/>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0" t="s">
        <v>1755</v>
      </c>
      <c r="AG612" s="3040"/>
      <c r="AH612" s="3040"/>
      <c r="AI612" s="3040"/>
      <c r="AJ612" s="3040"/>
      <c r="AK612" s="3040"/>
      <c r="AL612" s="3041"/>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8" t="s">
        <v>625</v>
      </c>
      <c r="D614" s="3039"/>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0" t="s">
        <v>1750</v>
      </c>
      <c r="AG614" s="3040"/>
      <c r="AH614" s="3040"/>
      <c r="AI614" s="3040"/>
      <c r="AJ614" s="3040"/>
      <c r="AK614" s="3040"/>
      <c r="AL614" s="3041"/>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29" t="s">
        <v>1759</v>
      </c>
      <c r="G618" s="3029"/>
      <c r="H618" s="3029"/>
      <c r="I618" s="3029"/>
      <c r="J618" s="3029"/>
      <c r="K618" s="3029"/>
      <c r="L618" s="3029"/>
      <c r="M618" s="3029"/>
      <c r="N618" s="3029"/>
      <c r="O618" s="3029"/>
      <c r="P618" s="3029"/>
      <c r="Q618" s="3029"/>
      <c r="R618" s="3029"/>
      <c r="S618" s="3029"/>
      <c r="T618" s="3029"/>
      <c r="U618" s="3029"/>
      <c r="V618" s="3029"/>
      <c r="W618" s="3029"/>
      <c r="X618" s="3029"/>
      <c r="Y618" s="3029"/>
      <c r="Z618" s="3029"/>
      <c r="AA618" s="3029"/>
      <c r="AB618" s="3029"/>
      <c r="AC618" s="3029"/>
      <c r="AD618" s="3029"/>
      <c r="AE618" s="3029"/>
      <c r="AF618" s="3029"/>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0"/>
      <c r="G619" s="3030"/>
      <c r="H619" s="3030"/>
      <c r="I619" s="3030"/>
      <c r="J619" s="3030"/>
      <c r="K619" s="3030"/>
      <c r="L619" s="3030"/>
      <c r="M619" s="3030"/>
      <c r="N619" s="3030"/>
      <c r="O619" s="3030"/>
      <c r="P619" s="3030"/>
      <c r="Q619" s="3030"/>
      <c r="R619" s="3030"/>
      <c r="S619" s="3030"/>
      <c r="T619" s="3030"/>
      <c r="U619" s="3030"/>
      <c r="V619" s="3030"/>
      <c r="W619" s="3030"/>
      <c r="X619" s="3030"/>
      <c r="Y619" s="3030"/>
      <c r="Z619" s="3030"/>
      <c r="AA619" s="3030"/>
      <c r="AB619" s="3030"/>
      <c r="AC619" s="3030"/>
      <c r="AD619" s="3030"/>
      <c r="AE619" s="3030"/>
      <c r="AF619" s="3030"/>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030"/>
      <c r="G620" s="3030"/>
      <c r="H620" s="3030"/>
      <c r="I620" s="3030"/>
      <c r="J620" s="3030"/>
      <c r="K620" s="3030"/>
      <c r="L620" s="3030"/>
      <c r="M620" s="3030"/>
      <c r="N620" s="3030"/>
      <c r="O620" s="3030"/>
      <c r="P620" s="3030"/>
      <c r="Q620" s="3030"/>
      <c r="R620" s="3030"/>
      <c r="S620" s="3030"/>
      <c r="T620" s="3030"/>
      <c r="U620" s="3030"/>
      <c r="V620" s="3030"/>
      <c r="W620" s="3030"/>
      <c r="X620" s="3030"/>
      <c r="Y620" s="3030"/>
      <c r="Z620" s="3030"/>
      <c r="AA620" s="3030"/>
      <c r="AB620" s="3030"/>
      <c r="AC620" s="3030"/>
      <c r="AD620" s="3030"/>
      <c r="AE620" s="3030"/>
      <c r="AF620" s="3030"/>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0"/>
      <c r="G621" s="3030"/>
      <c r="H621" s="3030"/>
      <c r="I621" s="3030"/>
      <c r="J621" s="3030"/>
      <c r="K621" s="3030"/>
      <c r="L621" s="3030"/>
      <c r="M621" s="3030"/>
      <c r="N621" s="3030"/>
      <c r="O621" s="3030"/>
      <c r="P621" s="3030"/>
      <c r="Q621" s="3030"/>
      <c r="R621" s="3030"/>
      <c r="S621" s="3030"/>
      <c r="T621" s="3030"/>
      <c r="U621" s="3030"/>
      <c r="V621" s="3030"/>
      <c r="W621" s="3030"/>
      <c r="X621" s="3030"/>
      <c r="Y621" s="3030"/>
      <c r="Z621" s="3030"/>
      <c r="AA621" s="3030"/>
      <c r="AB621" s="3030"/>
      <c r="AC621" s="3030"/>
      <c r="AD621" s="3030"/>
      <c r="AE621" s="3030"/>
      <c r="AF621" s="3030"/>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8" t="s">
        <v>625</v>
      </c>
      <c r="D622" s="3039"/>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0" t="s">
        <v>1750</v>
      </c>
      <c r="AG622" s="3040"/>
      <c r="AH622" s="3040"/>
      <c r="AI622" s="3040"/>
      <c r="AJ622" s="3040"/>
      <c r="AK622" s="3040"/>
      <c r="AL622" s="3041"/>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8" t="s">
        <v>577</v>
      </c>
      <c r="D624" s="3039"/>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0" t="s">
        <v>1762</v>
      </c>
      <c r="AG624" s="3040"/>
      <c r="AH624" s="3040"/>
      <c r="AI624" s="3040"/>
      <c r="AJ624" s="3040"/>
      <c r="AK624" s="3040"/>
      <c r="AL624" s="3041"/>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8" t="s">
        <v>625</v>
      </c>
      <c r="D627" s="3039"/>
      <c r="E627" s="1174" t="s">
        <v>1763</v>
      </c>
      <c r="F627" s="3029" t="s">
        <v>1764</v>
      </c>
      <c r="G627" s="3029"/>
      <c r="H627" s="3029"/>
      <c r="I627" s="3029"/>
      <c r="J627" s="3029"/>
      <c r="K627" s="3029"/>
      <c r="L627" s="3029"/>
      <c r="M627" s="3029"/>
      <c r="N627" s="3029"/>
      <c r="O627" s="3029"/>
      <c r="P627" s="3029"/>
      <c r="Q627" s="3029"/>
      <c r="R627" s="3029"/>
      <c r="S627" s="3029"/>
      <c r="T627" s="3029"/>
      <c r="U627" s="3029"/>
      <c r="V627" s="3029"/>
      <c r="W627" s="3029"/>
      <c r="X627" s="3029"/>
      <c r="Y627" s="3029"/>
      <c r="Z627" s="3029"/>
      <c r="AA627" s="3029"/>
      <c r="AB627" s="3029"/>
      <c r="AC627" s="3029"/>
      <c r="AD627" s="3029"/>
      <c r="AE627" s="3029"/>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0"/>
      <c r="G628" s="3030"/>
      <c r="H628" s="3030"/>
      <c r="I628" s="3030"/>
      <c r="J628" s="3030"/>
      <c r="K628" s="3030"/>
      <c r="L628" s="3030"/>
      <c r="M628" s="3030"/>
      <c r="N628" s="3030"/>
      <c r="O628" s="3030"/>
      <c r="P628" s="3030"/>
      <c r="Q628" s="3030"/>
      <c r="R628" s="3030"/>
      <c r="S628" s="3030"/>
      <c r="T628" s="3030"/>
      <c r="U628" s="3030"/>
      <c r="V628" s="3030"/>
      <c r="W628" s="3030"/>
      <c r="X628" s="3030"/>
      <c r="Y628" s="3030"/>
      <c r="Z628" s="3030"/>
      <c r="AA628" s="3030"/>
      <c r="AB628" s="3030"/>
      <c r="AC628" s="3030"/>
      <c r="AD628" s="3030"/>
      <c r="AE628" s="3030"/>
      <c r="AF628" s="3137" t="s">
        <v>1750</v>
      </c>
      <c r="AG628" s="3137"/>
      <c r="AH628" s="3137"/>
      <c r="AI628" s="3137"/>
      <c r="AJ628" s="3137"/>
      <c r="AK628" s="3137"/>
      <c r="AL628" s="3138"/>
      <c r="AM628" s="1134"/>
      <c r="AN628" s="1000"/>
      <c r="BS628" s="1134"/>
      <c r="BT628" s="1134"/>
      <c r="BY628" s="1134"/>
      <c r="BZ628" s="1134"/>
      <c r="CA628" s="1134"/>
      <c r="CB628" s="1134"/>
      <c r="CC628" s="1134"/>
    </row>
    <row r="629" spans="1:81" s="943" customFormat="1" ht="12.75" customHeight="1">
      <c r="A629" s="927"/>
      <c r="B629" s="51"/>
      <c r="C629" s="1192"/>
      <c r="D629" s="112"/>
      <c r="E629" s="1146"/>
      <c r="F629" s="3030"/>
      <c r="G629" s="3030"/>
      <c r="H629" s="3030"/>
      <c r="I629" s="3030"/>
      <c r="J629" s="3030"/>
      <c r="K629" s="3030"/>
      <c r="L629" s="3030"/>
      <c r="M629" s="3030"/>
      <c r="N629" s="3030"/>
      <c r="O629" s="3030"/>
      <c r="P629" s="3030"/>
      <c r="Q629" s="3030"/>
      <c r="R629" s="3030"/>
      <c r="S629" s="3030"/>
      <c r="T629" s="3030"/>
      <c r="U629" s="3030"/>
      <c r="V629" s="3030"/>
      <c r="W629" s="3030"/>
      <c r="X629" s="3030"/>
      <c r="Y629" s="3030"/>
      <c r="Z629" s="3030"/>
      <c r="AA629" s="3030"/>
      <c r="AB629" s="3030"/>
      <c r="AC629" s="3030"/>
      <c r="AD629" s="3030"/>
      <c r="AE629" s="3030"/>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2"/>
      <c r="G630" s="3132"/>
      <c r="H630" s="3132"/>
      <c r="I630" s="3132"/>
      <c r="J630" s="3132"/>
      <c r="K630" s="3132"/>
      <c r="L630" s="3132"/>
      <c r="M630" s="3132"/>
      <c r="N630" s="3132"/>
      <c r="O630" s="3132"/>
      <c r="P630" s="3132"/>
      <c r="Q630" s="3132"/>
      <c r="R630" s="3132"/>
      <c r="S630" s="3132"/>
      <c r="T630" s="3132"/>
      <c r="U630" s="3132"/>
      <c r="V630" s="3132"/>
      <c r="W630" s="3132"/>
      <c r="X630" s="3132"/>
      <c r="Y630" s="3132"/>
      <c r="Z630" s="3132"/>
      <c r="AA630" s="3132"/>
      <c r="AB630" s="3132"/>
      <c r="AC630" s="3132"/>
      <c r="AD630" s="3132"/>
      <c r="AE630" s="3132"/>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5" t="s">
        <v>1766</v>
      </c>
      <c r="G632" s="3135"/>
      <c r="H632" s="3135"/>
      <c r="I632" s="3135"/>
      <c r="J632" s="3135"/>
      <c r="K632" s="3135"/>
      <c r="L632" s="3135"/>
      <c r="M632" s="3135"/>
      <c r="N632" s="3135"/>
      <c r="O632" s="3135"/>
      <c r="P632" s="3135"/>
      <c r="Q632" s="3135"/>
      <c r="R632" s="3135"/>
      <c r="S632" s="3135"/>
      <c r="T632" s="3135"/>
      <c r="U632" s="3135"/>
      <c r="V632" s="3135"/>
      <c r="W632" s="3135"/>
      <c r="X632" s="3135"/>
      <c r="Y632" s="3135"/>
      <c r="Z632" s="3135"/>
      <c r="AA632" s="3135"/>
      <c r="AB632" s="3135"/>
      <c r="AC632" s="3135"/>
      <c r="AD632" s="3135"/>
      <c r="AE632" s="3135"/>
      <c r="AF632" s="1211"/>
      <c r="AG632" s="1211"/>
      <c r="AH632" s="1211"/>
      <c r="AI632" s="1211"/>
      <c r="AJ632" s="1211"/>
      <c r="AK632" s="1211"/>
      <c r="AL632" s="1212"/>
      <c r="AM632" s="1134"/>
    </row>
    <row r="633" spans="1:81" ht="13">
      <c r="A633" s="927"/>
      <c r="C633" s="1192"/>
      <c r="D633" s="112"/>
      <c r="E633" s="1146"/>
      <c r="F633" s="3136"/>
      <c r="G633" s="3136"/>
      <c r="H633" s="3136"/>
      <c r="I633" s="3136"/>
      <c r="J633" s="3136"/>
      <c r="K633" s="3136"/>
      <c r="L633" s="3136"/>
      <c r="M633" s="3136"/>
      <c r="N633" s="3136"/>
      <c r="O633" s="3136"/>
      <c r="P633" s="3136"/>
      <c r="Q633" s="3136"/>
      <c r="R633" s="3136"/>
      <c r="S633" s="3136"/>
      <c r="T633" s="3136"/>
      <c r="U633" s="3136"/>
      <c r="V633" s="3136"/>
      <c r="W633" s="3136"/>
      <c r="X633" s="3136"/>
      <c r="Y633" s="3136"/>
      <c r="Z633" s="3136"/>
      <c r="AA633" s="3136"/>
      <c r="AB633" s="3136"/>
      <c r="AC633" s="3136"/>
      <c r="AD633" s="3136"/>
      <c r="AE633" s="3136"/>
      <c r="AF633" s="1213"/>
      <c r="AG633" s="991"/>
      <c r="AH633" s="1025"/>
      <c r="AI633" s="1025"/>
      <c r="AJ633" s="1025"/>
      <c r="AK633" s="1025"/>
      <c r="AL633" s="1193"/>
      <c r="AM633" s="1134"/>
    </row>
    <row r="634" spans="1:81" s="943" customFormat="1" ht="12.75" customHeight="1">
      <c r="A634" s="927"/>
      <c r="B634" s="51"/>
      <c r="C634" s="1192"/>
      <c r="D634" s="112"/>
      <c r="E634" s="1146"/>
      <c r="F634" s="3136"/>
      <c r="G634" s="3136"/>
      <c r="H634" s="3136"/>
      <c r="I634" s="3136"/>
      <c r="J634" s="3136"/>
      <c r="K634" s="3136"/>
      <c r="L634" s="3136"/>
      <c r="M634" s="3136"/>
      <c r="N634" s="3136"/>
      <c r="O634" s="3136"/>
      <c r="P634" s="3136"/>
      <c r="Q634" s="3136"/>
      <c r="R634" s="3136"/>
      <c r="S634" s="3136"/>
      <c r="T634" s="3136"/>
      <c r="U634" s="3136"/>
      <c r="V634" s="3136"/>
      <c r="W634" s="3136"/>
      <c r="X634" s="3136"/>
      <c r="Y634" s="3136"/>
      <c r="Z634" s="3136"/>
      <c r="AA634" s="3136"/>
      <c r="AB634" s="3136"/>
      <c r="AC634" s="3136"/>
      <c r="AD634" s="3136"/>
      <c r="AE634" s="3136"/>
      <c r="AF634" s="1025"/>
      <c r="AG634" s="1025"/>
      <c r="AH634" s="1025"/>
      <c r="AI634" s="1025"/>
      <c r="AJ634" s="1025"/>
      <c r="AK634" s="1025"/>
      <c r="AL634" s="1193"/>
      <c r="AM634" s="1134"/>
      <c r="AN634" s="1000"/>
    </row>
    <row r="635" spans="1:81" s="943" customFormat="1" ht="12.75" customHeight="1">
      <c r="A635" s="927"/>
      <c r="B635" s="51"/>
      <c r="C635" s="1201"/>
      <c r="D635" s="1025"/>
      <c r="E635" s="1025"/>
      <c r="F635" s="3136"/>
      <c r="G635" s="3136"/>
      <c r="H635" s="3136"/>
      <c r="I635" s="3136"/>
      <c r="J635" s="3136"/>
      <c r="K635" s="3136"/>
      <c r="L635" s="3136"/>
      <c r="M635" s="3136"/>
      <c r="N635" s="3136"/>
      <c r="O635" s="3136"/>
      <c r="P635" s="3136"/>
      <c r="Q635" s="3136"/>
      <c r="R635" s="3136"/>
      <c r="S635" s="3136"/>
      <c r="T635" s="3136"/>
      <c r="U635" s="3136"/>
      <c r="V635" s="3136"/>
      <c r="W635" s="3136"/>
      <c r="X635" s="3136"/>
      <c r="Y635" s="3136"/>
      <c r="Z635" s="3136"/>
      <c r="AA635" s="3136"/>
      <c r="AB635" s="3136"/>
      <c r="AC635" s="3136"/>
      <c r="AD635" s="3136"/>
      <c r="AE635" s="3136"/>
      <c r="AF635" s="1025"/>
      <c r="AG635" s="1025"/>
      <c r="AH635" s="1025"/>
      <c r="AI635" s="1025"/>
      <c r="AJ635" s="1025"/>
      <c r="AK635" s="1025"/>
      <c r="AL635" s="1193"/>
      <c r="AM635" s="1134"/>
      <c r="AN635" s="1000"/>
    </row>
    <row r="636" spans="1:81" s="943" customFormat="1" ht="12.75" customHeight="1">
      <c r="A636" s="927"/>
      <c r="B636" s="51"/>
      <c r="C636" s="3038" t="s">
        <v>625</v>
      </c>
      <c r="D636" s="3039"/>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7" t="s">
        <v>1750</v>
      </c>
      <c r="AG636" s="3137"/>
      <c r="AH636" s="3137"/>
      <c r="AI636" s="3137"/>
      <c r="AJ636" s="3137"/>
      <c r="AK636" s="3137"/>
      <c r="AL636" s="3138"/>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8" t="s">
        <v>625</v>
      </c>
      <c r="D638" s="3039"/>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7" t="s">
        <v>1762</v>
      </c>
      <c r="AG638" s="3137"/>
      <c r="AH638" s="3137"/>
      <c r="AI638" s="3137"/>
      <c r="AJ638" s="3137"/>
      <c r="AK638" s="3137"/>
      <c r="AL638" s="3138"/>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29" t="s">
        <v>1771</v>
      </c>
      <c r="G642" s="3029"/>
      <c r="H642" s="3029"/>
      <c r="I642" s="3029"/>
      <c r="J642" s="3029"/>
      <c r="K642" s="3029"/>
      <c r="L642" s="3029"/>
      <c r="M642" s="3029"/>
      <c r="N642" s="3029"/>
      <c r="O642" s="3029"/>
      <c r="P642" s="3029"/>
      <c r="Q642" s="3029"/>
      <c r="R642" s="3029"/>
      <c r="S642" s="3029"/>
      <c r="T642" s="3029"/>
      <c r="U642" s="3029"/>
      <c r="V642" s="3029"/>
      <c r="W642" s="3029"/>
      <c r="X642" s="3029"/>
      <c r="Y642" s="3029"/>
      <c r="Z642" s="3029"/>
      <c r="AA642" s="3029"/>
      <c r="AB642" s="3029"/>
      <c r="AC642" s="3029"/>
      <c r="AD642" s="3029"/>
      <c r="AE642" s="3029"/>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0"/>
      <c r="G643" s="3030"/>
      <c r="H643" s="3030"/>
      <c r="I643" s="3030"/>
      <c r="J643" s="3030"/>
      <c r="K643" s="3030"/>
      <c r="L643" s="3030"/>
      <c r="M643" s="3030"/>
      <c r="N643" s="3030"/>
      <c r="O643" s="3030"/>
      <c r="P643" s="3030"/>
      <c r="Q643" s="3030"/>
      <c r="R643" s="3030"/>
      <c r="S643" s="3030"/>
      <c r="T643" s="3030"/>
      <c r="U643" s="3030"/>
      <c r="V643" s="3030"/>
      <c r="W643" s="3030"/>
      <c r="X643" s="3030"/>
      <c r="Y643" s="3030"/>
      <c r="Z643" s="3030"/>
      <c r="AA643" s="3030"/>
      <c r="AB643" s="3030"/>
      <c r="AC643" s="3030"/>
      <c r="AD643" s="3030"/>
      <c r="AE643" s="3030"/>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30"/>
      <c r="G644" s="3030"/>
      <c r="H644" s="3030"/>
      <c r="I644" s="3030"/>
      <c r="J644" s="3030"/>
      <c r="K644" s="3030"/>
      <c r="L644" s="3030"/>
      <c r="M644" s="3030"/>
      <c r="N644" s="3030"/>
      <c r="O644" s="3030"/>
      <c r="P644" s="3030"/>
      <c r="Q644" s="3030"/>
      <c r="R644" s="3030"/>
      <c r="S644" s="3030"/>
      <c r="T644" s="3030"/>
      <c r="U644" s="3030"/>
      <c r="V644" s="3030"/>
      <c r="W644" s="3030"/>
      <c r="X644" s="3030"/>
      <c r="Y644" s="3030"/>
      <c r="Z644" s="3030"/>
      <c r="AA644" s="3030"/>
      <c r="AB644" s="3030"/>
      <c r="AC644" s="3030"/>
      <c r="AD644" s="3030"/>
      <c r="AE644" s="3030"/>
      <c r="AF644" s="1025"/>
      <c r="AG644" s="1025"/>
      <c r="AH644" s="1025"/>
      <c r="AI644" s="1025"/>
      <c r="AJ644" s="1025"/>
      <c r="AK644" s="1025"/>
      <c r="AL644" s="1193"/>
      <c r="AM644" s="1134"/>
      <c r="AN644" s="1000"/>
      <c r="AO644" s="1025"/>
      <c r="AP644" s="1025"/>
    </row>
    <row r="645" spans="1:60" s="943" customFormat="1" ht="12.75" customHeight="1">
      <c r="A645" s="927"/>
      <c r="B645" s="51"/>
      <c r="C645" s="3038" t="s">
        <v>625</v>
      </c>
      <c r="D645" s="3039"/>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7" t="s">
        <v>1750</v>
      </c>
      <c r="AG645" s="3137"/>
      <c r="AH645" s="3137"/>
      <c r="AI645" s="3137"/>
      <c r="AJ645" s="3137"/>
      <c r="AK645" s="3137"/>
      <c r="AL645" s="3138"/>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1773</v>
      </c>
      <c r="F648" s="3029" t="s">
        <v>1774</v>
      </c>
      <c r="G648" s="3029"/>
      <c r="H648" s="3029"/>
      <c r="I648" s="3029"/>
      <c r="J648" s="3029"/>
      <c r="K648" s="3029"/>
      <c r="L648" s="3029"/>
      <c r="M648" s="3029"/>
      <c r="N648" s="3029"/>
      <c r="O648" s="3029"/>
      <c r="P648" s="3029"/>
      <c r="Q648" s="3029"/>
      <c r="R648" s="3029"/>
      <c r="S648" s="3029"/>
      <c r="T648" s="3029"/>
      <c r="U648" s="3029"/>
      <c r="V648" s="3029"/>
      <c r="W648" s="3029"/>
      <c r="X648" s="3029"/>
      <c r="Y648" s="3029"/>
      <c r="Z648" s="3029"/>
      <c r="AA648" s="3029"/>
      <c r="AB648" s="3029"/>
      <c r="AC648" s="3029"/>
      <c r="AD648" s="3029"/>
      <c r="AE648" s="3029"/>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030"/>
      <c r="G649" s="3030"/>
      <c r="H649" s="3030"/>
      <c r="I649" s="3030"/>
      <c r="J649" s="3030"/>
      <c r="K649" s="3030"/>
      <c r="L649" s="3030"/>
      <c r="M649" s="3030"/>
      <c r="N649" s="3030"/>
      <c r="O649" s="3030"/>
      <c r="P649" s="3030"/>
      <c r="Q649" s="3030"/>
      <c r="R649" s="3030"/>
      <c r="S649" s="3030"/>
      <c r="T649" s="3030"/>
      <c r="U649" s="3030"/>
      <c r="V649" s="3030"/>
      <c r="W649" s="3030"/>
      <c r="X649" s="3030"/>
      <c r="Y649" s="3030"/>
      <c r="Z649" s="3030"/>
      <c r="AA649" s="3030"/>
      <c r="AB649" s="3030"/>
      <c r="AC649" s="3030"/>
      <c r="AD649" s="3030"/>
      <c r="AE649" s="3030"/>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0"/>
      <c r="G650" s="3030"/>
      <c r="H650" s="3030"/>
      <c r="I650" s="3030"/>
      <c r="J650" s="3030"/>
      <c r="K650" s="3030"/>
      <c r="L650" s="3030"/>
      <c r="M650" s="3030"/>
      <c r="N650" s="3030"/>
      <c r="O650" s="3030"/>
      <c r="P650" s="3030"/>
      <c r="Q650" s="3030"/>
      <c r="R650" s="3030"/>
      <c r="S650" s="3030"/>
      <c r="T650" s="3030"/>
      <c r="U650" s="3030"/>
      <c r="V650" s="3030"/>
      <c r="W650" s="3030"/>
      <c r="X650" s="3030"/>
      <c r="Y650" s="3030"/>
      <c r="Z650" s="3030"/>
      <c r="AA650" s="3030"/>
      <c r="AB650" s="3030"/>
      <c r="AC650" s="3030"/>
      <c r="AD650" s="3030"/>
      <c r="AE650" s="3030"/>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0"/>
      <c r="G651" s="3030"/>
      <c r="H651" s="3030"/>
      <c r="I651" s="3030"/>
      <c r="J651" s="3030"/>
      <c r="K651" s="3030"/>
      <c r="L651" s="3030"/>
      <c r="M651" s="3030"/>
      <c r="N651" s="3030"/>
      <c r="O651" s="3030"/>
      <c r="P651" s="3030"/>
      <c r="Q651" s="3030"/>
      <c r="R651" s="3030"/>
      <c r="S651" s="3030"/>
      <c r="T651" s="3030"/>
      <c r="U651" s="3030"/>
      <c r="V651" s="3030"/>
      <c r="W651" s="3030"/>
      <c r="X651" s="3030"/>
      <c r="Y651" s="3030"/>
      <c r="Z651" s="3030"/>
      <c r="AA651" s="3030"/>
      <c r="AB651" s="3030"/>
      <c r="AC651" s="3030"/>
      <c r="AD651" s="3030"/>
      <c r="AE651" s="3030"/>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0"/>
      <c r="G652" s="3030"/>
      <c r="H652" s="3030"/>
      <c r="I652" s="3030"/>
      <c r="J652" s="3030"/>
      <c r="K652" s="3030"/>
      <c r="L652" s="3030"/>
      <c r="M652" s="3030"/>
      <c r="N652" s="3030"/>
      <c r="O652" s="3030"/>
      <c r="P652" s="3030"/>
      <c r="Q652" s="3030"/>
      <c r="R652" s="3030"/>
      <c r="S652" s="3030"/>
      <c r="T652" s="3030"/>
      <c r="U652" s="3030"/>
      <c r="V652" s="3030"/>
      <c r="W652" s="3030"/>
      <c r="X652" s="3030"/>
      <c r="Y652" s="3030"/>
      <c r="Z652" s="3030"/>
      <c r="AA652" s="3030"/>
      <c r="AB652" s="3030"/>
      <c r="AC652" s="3030"/>
      <c r="AD652" s="3030"/>
      <c r="AE652" s="3030"/>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0"/>
      <c r="G653" s="3030"/>
      <c r="H653" s="3030"/>
      <c r="I653" s="3030"/>
      <c r="J653" s="3030"/>
      <c r="K653" s="3030"/>
      <c r="L653" s="3030"/>
      <c r="M653" s="3030"/>
      <c r="N653" s="3030"/>
      <c r="O653" s="3030"/>
      <c r="P653" s="3030"/>
      <c r="Q653" s="3030"/>
      <c r="R653" s="3030"/>
      <c r="S653" s="3030"/>
      <c r="T653" s="3030"/>
      <c r="U653" s="3030"/>
      <c r="V653" s="3030"/>
      <c r="W653" s="3030"/>
      <c r="X653" s="3030"/>
      <c r="Y653" s="3030"/>
      <c r="Z653" s="3030"/>
      <c r="AA653" s="3030"/>
      <c r="AB653" s="3030"/>
      <c r="AC653" s="3030"/>
      <c r="AD653" s="3030"/>
      <c r="AE653" s="3030"/>
      <c r="AF653" s="1224"/>
      <c r="AG653" s="1224"/>
      <c r="AH653" s="1224"/>
      <c r="AI653" s="1224"/>
      <c r="AJ653" s="1224"/>
      <c r="AK653" s="1224"/>
      <c r="AL653" s="1225"/>
      <c r="AM653" s="1134"/>
      <c r="AN653" s="1000"/>
    </row>
    <row r="654" spans="1:60" s="943" customFormat="1" ht="12.75" customHeight="1">
      <c r="A654" s="927"/>
      <c r="B654" s="51"/>
      <c r="C654" s="1226"/>
      <c r="D654" s="1191"/>
      <c r="E654" s="1178"/>
      <c r="F654" s="3030"/>
      <c r="G654" s="3030"/>
      <c r="H654" s="3030"/>
      <c r="I654" s="3030"/>
      <c r="J654" s="3030"/>
      <c r="K654" s="3030"/>
      <c r="L654" s="3030"/>
      <c r="M654" s="3030"/>
      <c r="N654" s="3030"/>
      <c r="O654" s="3030"/>
      <c r="P654" s="3030"/>
      <c r="Q654" s="3030"/>
      <c r="R654" s="3030"/>
      <c r="S654" s="3030"/>
      <c r="T654" s="3030"/>
      <c r="U654" s="3030"/>
      <c r="V654" s="3030"/>
      <c r="W654" s="3030"/>
      <c r="X654" s="3030"/>
      <c r="Y654" s="3030"/>
      <c r="Z654" s="3030"/>
      <c r="AA654" s="3030"/>
      <c r="AB654" s="3030"/>
      <c r="AC654" s="3030"/>
      <c r="AD654" s="3030"/>
      <c r="AE654" s="3030"/>
      <c r="AF654" s="1224"/>
      <c r="AG654" s="1224"/>
      <c r="AH654" s="1224"/>
      <c r="AI654" s="1224"/>
      <c r="AJ654" s="1224"/>
      <c r="AK654" s="1224"/>
      <c r="AL654" s="1225"/>
      <c r="AM654" s="1134"/>
      <c r="AN654" s="1000"/>
    </row>
    <row r="655" spans="1:60" s="943" customFormat="1" ht="12.75" customHeight="1">
      <c r="A655" s="927"/>
      <c r="B655" s="51"/>
      <c r="C655" s="1226"/>
      <c r="D655" s="1191"/>
      <c r="E655" s="1178"/>
      <c r="F655" s="3030"/>
      <c r="G655" s="3030"/>
      <c r="H655" s="3030"/>
      <c r="I655" s="3030"/>
      <c r="J655" s="3030"/>
      <c r="K655" s="3030"/>
      <c r="L655" s="3030"/>
      <c r="M655" s="3030"/>
      <c r="N655" s="3030"/>
      <c r="O655" s="3030"/>
      <c r="P655" s="3030"/>
      <c r="Q655" s="3030"/>
      <c r="R655" s="3030"/>
      <c r="S655" s="3030"/>
      <c r="T655" s="3030"/>
      <c r="U655" s="3030"/>
      <c r="V655" s="3030"/>
      <c r="W655" s="3030"/>
      <c r="X655" s="3030"/>
      <c r="Y655" s="3030"/>
      <c r="Z655" s="3030"/>
      <c r="AA655" s="3030"/>
      <c r="AB655" s="3030"/>
      <c r="AC655" s="3030"/>
      <c r="AD655" s="3030"/>
      <c r="AE655" s="3030"/>
      <c r="AF655" s="1224"/>
      <c r="AG655" s="1224"/>
      <c r="AH655" s="1224"/>
      <c r="AI655" s="1224"/>
      <c r="AJ655" s="1224"/>
      <c r="AK655" s="1224"/>
      <c r="AL655" s="1225"/>
      <c r="AM655" s="1134"/>
      <c r="AN655" s="1000"/>
    </row>
    <row r="656" spans="1:60" s="943" customFormat="1" ht="17.25" customHeight="1">
      <c r="A656" s="927"/>
      <c r="B656" s="51"/>
      <c r="C656" s="1226"/>
      <c r="D656" s="1191"/>
      <c r="E656" s="1178"/>
      <c r="F656" s="3030"/>
      <c r="G656" s="3030"/>
      <c r="H656" s="3030"/>
      <c r="I656" s="3030"/>
      <c r="J656" s="3030"/>
      <c r="K656" s="3030"/>
      <c r="L656" s="3030"/>
      <c r="M656" s="3030"/>
      <c r="N656" s="3030"/>
      <c r="O656" s="3030"/>
      <c r="P656" s="3030"/>
      <c r="Q656" s="3030"/>
      <c r="R656" s="3030"/>
      <c r="S656" s="3030"/>
      <c r="T656" s="3030"/>
      <c r="U656" s="3030"/>
      <c r="V656" s="3030"/>
      <c r="W656" s="3030"/>
      <c r="X656" s="3030"/>
      <c r="Y656" s="3030"/>
      <c r="Z656" s="3030"/>
      <c r="AA656" s="3030"/>
      <c r="AB656" s="3030"/>
      <c r="AC656" s="3030"/>
      <c r="AD656" s="3030"/>
      <c r="AE656" s="3030"/>
      <c r="AF656" s="1025"/>
      <c r="AG656" s="1025"/>
      <c r="AH656" s="1025"/>
      <c r="AI656" s="1025"/>
      <c r="AJ656" s="1025"/>
      <c r="AK656" s="1025"/>
      <c r="AL656" s="1193"/>
      <c r="AM656" s="1134"/>
      <c r="AN656" s="1000"/>
    </row>
    <row r="657" spans="1:54" s="943" customFormat="1" ht="12.75" customHeight="1">
      <c r="A657" s="927"/>
      <c r="B657" s="51"/>
      <c r="C657" s="3038" t="s">
        <v>625</v>
      </c>
      <c r="D657" s="3039"/>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7" t="s">
        <v>1750</v>
      </c>
      <c r="AG657" s="3137"/>
      <c r="AH657" s="3137"/>
      <c r="AI657" s="3137"/>
      <c r="AJ657" s="3137"/>
      <c r="AK657" s="3137"/>
      <c r="AL657" s="3138"/>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29" t="s">
        <v>1777</v>
      </c>
      <c r="G660" s="3029"/>
      <c r="H660" s="3029"/>
      <c r="I660" s="3029"/>
      <c r="J660" s="3029"/>
      <c r="K660" s="3029"/>
      <c r="L660" s="3029"/>
      <c r="M660" s="3029"/>
      <c r="N660" s="3029"/>
      <c r="O660" s="3029"/>
      <c r="P660" s="3029"/>
      <c r="Q660" s="3029"/>
      <c r="R660" s="3029"/>
      <c r="S660" s="3029"/>
      <c r="T660" s="3029"/>
      <c r="U660" s="3029"/>
      <c r="V660" s="3029"/>
      <c r="W660" s="3029"/>
      <c r="X660" s="3029"/>
      <c r="Y660" s="3029"/>
      <c r="Z660" s="3029"/>
      <c r="AA660" s="3029"/>
      <c r="AB660" s="3029"/>
      <c r="AC660" s="3029"/>
      <c r="AD660" s="3029"/>
      <c r="AE660" s="3029"/>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0"/>
      <c r="G661" s="3030"/>
      <c r="H661" s="3030"/>
      <c r="I661" s="3030"/>
      <c r="J661" s="3030"/>
      <c r="K661" s="3030"/>
      <c r="L661" s="3030"/>
      <c r="M661" s="3030"/>
      <c r="N661" s="3030"/>
      <c r="O661" s="3030"/>
      <c r="P661" s="3030"/>
      <c r="Q661" s="3030"/>
      <c r="R661" s="3030"/>
      <c r="S661" s="3030"/>
      <c r="T661" s="3030"/>
      <c r="U661" s="3030"/>
      <c r="V661" s="3030"/>
      <c r="W661" s="3030"/>
      <c r="X661" s="3030"/>
      <c r="Y661" s="3030"/>
      <c r="Z661" s="3030"/>
      <c r="AA661" s="3030"/>
      <c r="AB661" s="3030"/>
      <c r="AC661" s="3030"/>
      <c r="AD661" s="3030"/>
      <c r="AE661" s="3030"/>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30"/>
      <c r="G662" s="3030"/>
      <c r="H662" s="3030"/>
      <c r="I662" s="3030"/>
      <c r="J662" s="3030"/>
      <c r="K662" s="3030"/>
      <c r="L662" s="3030"/>
      <c r="M662" s="3030"/>
      <c r="N662" s="3030"/>
      <c r="O662" s="3030"/>
      <c r="P662" s="3030"/>
      <c r="Q662" s="3030"/>
      <c r="R662" s="3030"/>
      <c r="S662" s="3030"/>
      <c r="T662" s="3030"/>
      <c r="U662" s="3030"/>
      <c r="V662" s="3030"/>
      <c r="W662" s="3030"/>
      <c r="X662" s="3030"/>
      <c r="Y662" s="3030"/>
      <c r="Z662" s="3030"/>
      <c r="AA662" s="3030"/>
      <c r="AB662" s="3030"/>
      <c r="AC662" s="3030"/>
      <c r="AD662" s="3030"/>
      <c r="AE662" s="3030"/>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30"/>
      <c r="G663" s="3030"/>
      <c r="H663" s="3030"/>
      <c r="I663" s="3030"/>
      <c r="J663" s="3030"/>
      <c r="K663" s="3030"/>
      <c r="L663" s="3030"/>
      <c r="M663" s="3030"/>
      <c r="N663" s="3030"/>
      <c r="O663" s="3030"/>
      <c r="P663" s="3030"/>
      <c r="Q663" s="3030"/>
      <c r="R663" s="3030"/>
      <c r="S663" s="3030"/>
      <c r="T663" s="3030"/>
      <c r="U663" s="3030"/>
      <c r="V663" s="3030"/>
      <c r="W663" s="3030"/>
      <c r="X663" s="3030"/>
      <c r="Y663" s="3030"/>
      <c r="Z663" s="3030"/>
      <c r="AA663" s="3030"/>
      <c r="AB663" s="3030"/>
      <c r="AC663" s="3030"/>
      <c r="AD663" s="3030"/>
      <c r="AE663" s="3030"/>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38" t="s">
        <v>625</v>
      </c>
      <c r="D664" s="3039"/>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7" t="s">
        <v>1750</v>
      </c>
      <c r="AG664" s="3137"/>
      <c r="AH664" s="3137"/>
      <c r="AI664" s="3137"/>
      <c r="AJ664" s="3137"/>
      <c r="AK664" s="3137"/>
      <c r="AL664" s="3138"/>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39" t="s">
        <v>625</v>
      </c>
      <c r="D668" s="3140"/>
      <c r="E668" s="1174" t="s">
        <v>1786</v>
      </c>
      <c r="F668" s="3029" t="s">
        <v>1787</v>
      </c>
      <c r="G668" s="3029"/>
      <c r="H668" s="3029"/>
      <c r="I668" s="3029"/>
      <c r="J668" s="3029"/>
      <c r="K668" s="3029"/>
      <c r="L668" s="3029"/>
      <c r="M668" s="3029"/>
      <c r="N668" s="3029"/>
      <c r="O668" s="3029"/>
      <c r="P668" s="3029"/>
      <c r="Q668" s="3029"/>
      <c r="R668" s="3029"/>
      <c r="S668" s="3029"/>
      <c r="T668" s="3029"/>
      <c r="U668" s="3029"/>
      <c r="V668" s="3029"/>
      <c r="W668" s="3029"/>
      <c r="X668" s="3029"/>
      <c r="Y668" s="3029"/>
      <c r="Z668" s="3029"/>
      <c r="AA668" s="3029"/>
      <c r="AB668" s="3029"/>
      <c r="AC668" s="3029"/>
      <c r="AD668" s="3029"/>
      <c r="AE668" s="3029"/>
      <c r="AF668" s="3133" t="s">
        <v>1750</v>
      </c>
      <c r="AG668" s="3133"/>
      <c r="AH668" s="3133"/>
      <c r="AI668" s="3133"/>
      <c r="AJ668" s="3133"/>
      <c r="AK668" s="3133"/>
      <c r="AL668" s="3134"/>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0"/>
      <c r="G669" s="3030"/>
      <c r="H669" s="3030"/>
      <c r="I669" s="3030"/>
      <c r="J669" s="3030"/>
      <c r="K669" s="3030"/>
      <c r="L669" s="3030"/>
      <c r="M669" s="3030"/>
      <c r="N669" s="3030"/>
      <c r="O669" s="3030"/>
      <c r="P669" s="3030"/>
      <c r="Q669" s="3030"/>
      <c r="R669" s="3030"/>
      <c r="S669" s="3030"/>
      <c r="T669" s="3030"/>
      <c r="U669" s="3030"/>
      <c r="V669" s="3030"/>
      <c r="W669" s="3030"/>
      <c r="X669" s="3030"/>
      <c r="Y669" s="3030"/>
      <c r="Z669" s="3030"/>
      <c r="AA669" s="3030"/>
      <c r="AB669" s="3030"/>
      <c r="AC669" s="3030"/>
      <c r="AD669" s="3030"/>
      <c r="AE669" s="3030"/>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49999999999999" customHeight="1">
      <c r="A670" s="927"/>
      <c r="B670" s="51"/>
      <c r="C670" s="1236"/>
      <c r="D670" s="1184"/>
      <c r="E670" s="1185"/>
      <c r="F670" s="3132"/>
      <c r="G670" s="3132"/>
      <c r="H670" s="3132"/>
      <c r="I670" s="3132"/>
      <c r="J670" s="3132"/>
      <c r="K670" s="3132"/>
      <c r="L670" s="3132"/>
      <c r="M670" s="3132"/>
      <c r="N670" s="3132"/>
      <c r="O670" s="3132"/>
      <c r="P670" s="3132"/>
      <c r="Q670" s="3132"/>
      <c r="R670" s="3132"/>
      <c r="S670" s="3132"/>
      <c r="T670" s="3132"/>
      <c r="U670" s="3132"/>
      <c r="V670" s="3132"/>
      <c r="W670" s="3132"/>
      <c r="X670" s="3132"/>
      <c r="Y670" s="3132"/>
      <c r="Z670" s="3132"/>
      <c r="AA670" s="3132"/>
      <c r="AB670" s="3132"/>
      <c r="AC670" s="3132"/>
      <c r="AD670" s="3132"/>
      <c r="AE670" s="3132"/>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38" t="s">
        <v>625</v>
      </c>
      <c r="D672" s="3039"/>
      <c r="E672" s="1174" t="s">
        <v>1792</v>
      </c>
      <c r="F672" s="3029" t="s">
        <v>1793</v>
      </c>
      <c r="G672" s="3029"/>
      <c r="H672" s="3029"/>
      <c r="I672" s="3029"/>
      <c r="J672" s="3029"/>
      <c r="K672" s="3029"/>
      <c r="L672" s="3029"/>
      <c r="M672" s="3029"/>
      <c r="N672" s="3029"/>
      <c r="O672" s="3029"/>
      <c r="P672" s="3029"/>
      <c r="Q672" s="3029"/>
      <c r="R672" s="3029"/>
      <c r="S672" s="3029"/>
      <c r="T672" s="3029"/>
      <c r="U672" s="3029"/>
      <c r="V672" s="3029"/>
      <c r="W672" s="3029"/>
      <c r="X672" s="3029"/>
      <c r="Y672" s="3029"/>
      <c r="Z672" s="3029"/>
      <c r="AA672" s="3029"/>
      <c r="AB672" s="3029"/>
      <c r="AC672" s="3029"/>
      <c r="AD672" s="3029"/>
      <c r="AE672" s="3029"/>
      <c r="AF672" s="3133" t="s">
        <v>1750</v>
      </c>
      <c r="AG672" s="3133"/>
      <c r="AH672" s="3133"/>
      <c r="AI672" s="3133"/>
      <c r="AJ672" s="3133"/>
      <c r="AK672" s="3133"/>
      <c r="AL672" s="3134"/>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30"/>
      <c r="G673" s="3030"/>
      <c r="H673" s="3030"/>
      <c r="I673" s="3030"/>
      <c r="J673" s="3030"/>
      <c r="K673" s="3030"/>
      <c r="L673" s="3030"/>
      <c r="M673" s="3030"/>
      <c r="N673" s="3030"/>
      <c r="O673" s="3030"/>
      <c r="P673" s="3030"/>
      <c r="Q673" s="3030"/>
      <c r="R673" s="3030"/>
      <c r="S673" s="3030"/>
      <c r="T673" s="3030"/>
      <c r="U673" s="3030"/>
      <c r="V673" s="3030"/>
      <c r="W673" s="3030"/>
      <c r="X673" s="3030"/>
      <c r="Y673" s="3030"/>
      <c r="Z673" s="3030"/>
      <c r="AA673" s="3030"/>
      <c r="AB673" s="3030"/>
      <c r="AC673" s="3030"/>
      <c r="AD673" s="3030"/>
      <c r="AE673" s="3030"/>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0"/>
      <c r="G674" s="3030"/>
      <c r="H674" s="3030"/>
      <c r="I674" s="3030"/>
      <c r="J674" s="3030"/>
      <c r="K674" s="3030"/>
      <c r="L674" s="3030"/>
      <c r="M674" s="3030"/>
      <c r="N674" s="3030"/>
      <c r="O674" s="3030"/>
      <c r="P674" s="3030"/>
      <c r="Q674" s="3030"/>
      <c r="R674" s="3030"/>
      <c r="S674" s="3030"/>
      <c r="T674" s="3030"/>
      <c r="U674" s="3030"/>
      <c r="V674" s="3030"/>
      <c r="W674" s="3030"/>
      <c r="X674" s="3030"/>
      <c r="Y674" s="3030"/>
      <c r="Z674" s="3030"/>
      <c r="AA674" s="3030"/>
      <c r="AB674" s="3030"/>
      <c r="AC674" s="3030"/>
      <c r="AD674" s="3030"/>
      <c r="AE674" s="3030"/>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32"/>
      <c r="G675" s="3132"/>
      <c r="H675" s="3132"/>
      <c r="I675" s="3132"/>
      <c r="J675" s="3132"/>
      <c r="K675" s="3132"/>
      <c r="L675" s="3132"/>
      <c r="M675" s="3132"/>
      <c r="N675" s="3132"/>
      <c r="O675" s="3132"/>
      <c r="P675" s="3132"/>
      <c r="Q675" s="3132"/>
      <c r="R675" s="3132"/>
      <c r="S675" s="3132"/>
      <c r="T675" s="3132"/>
      <c r="U675" s="3132"/>
      <c r="V675" s="3132"/>
      <c r="W675" s="3132"/>
      <c r="X675" s="3132"/>
      <c r="Y675" s="3132"/>
      <c r="Z675" s="3132"/>
      <c r="AA675" s="3132"/>
      <c r="AB675" s="3132"/>
      <c r="AC675" s="3132"/>
      <c r="AD675" s="3132"/>
      <c r="AE675" s="3132"/>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5" t="s">
        <v>1796</v>
      </c>
      <c r="G677" s="3135"/>
      <c r="H677" s="3135"/>
      <c r="I677" s="3135"/>
      <c r="J677" s="3135"/>
      <c r="K677" s="3135"/>
      <c r="L677" s="3135"/>
      <c r="M677" s="3135"/>
      <c r="N677" s="3135"/>
      <c r="O677" s="3135"/>
      <c r="P677" s="3135"/>
      <c r="Q677" s="3135"/>
      <c r="R677" s="3135"/>
      <c r="S677" s="3135"/>
      <c r="T677" s="3135"/>
      <c r="U677" s="3135"/>
      <c r="V677" s="3135"/>
      <c r="W677" s="3135"/>
      <c r="X677" s="3135"/>
      <c r="Y677" s="3135"/>
      <c r="Z677" s="3135"/>
      <c r="AA677" s="3135"/>
      <c r="AB677" s="3135"/>
      <c r="AC677" s="3135"/>
      <c r="AD677" s="3135"/>
      <c r="AE677" s="3135"/>
      <c r="AF677" s="3135"/>
      <c r="AG677" s="1208"/>
      <c r="AH677" s="1173"/>
      <c r="AI677" s="1173"/>
      <c r="AJ677" s="1173"/>
      <c r="AK677" s="1173"/>
      <c r="AL677" s="1209"/>
      <c r="AM677" s="1134"/>
      <c r="AN677" s="1000"/>
    </row>
    <row r="678" spans="1:54" s="943" customFormat="1" ht="12.75" customHeight="1">
      <c r="A678" s="927"/>
      <c r="B678" s="51"/>
      <c r="C678" s="1192"/>
      <c r="D678" s="112"/>
      <c r="E678" s="1146"/>
      <c r="F678" s="3136"/>
      <c r="G678" s="3136"/>
      <c r="H678" s="3136"/>
      <c r="I678" s="3136"/>
      <c r="J678" s="3136"/>
      <c r="K678" s="3136"/>
      <c r="L678" s="3136"/>
      <c r="M678" s="3136"/>
      <c r="N678" s="3136"/>
      <c r="O678" s="3136"/>
      <c r="P678" s="3136"/>
      <c r="Q678" s="3136"/>
      <c r="R678" s="3136"/>
      <c r="S678" s="3136"/>
      <c r="T678" s="3136"/>
      <c r="U678" s="3136"/>
      <c r="V678" s="3136"/>
      <c r="W678" s="3136"/>
      <c r="X678" s="3136"/>
      <c r="Y678" s="3136"/>
      <c r="Z678" s="3136"/>
      <c r="AA678" s="3136"/>
      <c r="AB678" s="3136"/>
      <c r="AC678" s="3136"/>
      <c r="AD678" s="3136"/>
      <c r="AE678" s="3136"/>
      <c r="AF678" s="3136"/>
      <c r="AG678" s="1025"/>
      <c r="AH678" s="1025"/>
      <c r="AI678" s="1025"/>
      <c r="AJ678" s="1025"/>
      <c r="AK678" s="1025"/>
      <c r="AL678" s="1193"/>
      <c r="AM678" s="1134"/>
      <c r="AN678" s="1000"/>
    </row>
    <row r="679" spans="1:54" s="943" customFormat="1" ht="12.75" customHeight="1">
      <c r="A679" s="927"/>
      <c r="B679" s="51"/>
      <c r="C679" s="1201"/>
      <c r="D679" s="1025"/>
      <c r="E679" s="1025"/>
      <c r="F679" s="3136"/>
      <c r="G679" s="3136"/>
      <c r="H679" s="3136"/>
      <c r="I679" s="3136"/>
      <c r="J679" s="3136"/>
      <c r="K679" s="3136"/>
      <c r="L679" s="3136"/>
      <c r="M679" s="3136"/>
      <c r="N679" s="3136"/>
      <c r="O679" s="3136"/>
      <c r="P679" s="3136"/>
      <c r="Q679" s="3136"/>
      <c r="R679" s="3136"/>
      <c r="S679" s="3136"/>
      <c r="T679" s="3136"/>
      <c r="U679" s="3136"/>
      <c r="V679" s="3136"/>
      <c r="W679" s="3136"/>
      <c r="X679" s="3136"/>
      <c r="Y679" s="3136"/>
      <c r="Z679" s="3136"/>
      <c r="AA679" s="3136"/>
      <c r="AB679" s="3136"/>
      <c r="AC679" s="3136"/>
      <c r="AD679" s="3136"/>
      <c r="AE679" s="3136"/>
      <c r="AF679" s="3136"/>
      <c r="AG679" s="1025"/>
      <c r="AH679" s="1025"/>
      <c r="AI679" s="1025"/>
      <c r="AJ679" s="1025"/>
      <c r="AK679" s="1025"/>
      <c r="AL679" s="1193"/>
      <c r="AM679" s="1134"/>
      <c r="AN679" s="1000"/>
    </row>
    <row r="680" spans="1:54" s="943" customFormat="1" ht="12.75" customHeight="1">
      <c r="A680" s="927"/>
      <c r="B680" s="51"/>
      <c r="C680" s="1201"/>
      <c r="D680" s="1025"/>
      <c r="E680" s="1025"/>
      <c r="F680" s="3136"/>
      <c r="G680" s="3136"/>
      <c r="H680" s="3136"/>
      <c r="I680" s="3136"/>
      <c r="J680" s="3136"/>
      <c r="K680" s="3136"/>
      <c r="L680" s="3136"/>
      <c r="M680" s="3136"/>
      <c r="N680" s="3136"/>
      <c r="O680" s="3136"/>
      <c r="P680" s="3136"/>
      <c r="Q680" s="3136"/>
      <c r="R680" s="3136"/>
      <c r="S680" s="3136"/>
      <c r="T680" s="3136"/>
      <c r="U680" s="3136"/>
      <c r="V680" s="3136"/>
      <c r="W680" s="3136"/>
      <c r="X680" s="3136"/>
      <c r="Y680" s="3136"/>
      <c r="Z680" s="3136"/>
      <c r="AA680" s="3136"/>
      <c r="AB680" s="3136"/>
      <c r="AC680" s="3136"/>
      <c r="AD680" s="3136"/>
      <c r="AE680" s="3136"/>
      <c r="AF680" s="3136"/>
      <c r="AG680" s="1025"/>
      <c r="AH680" s="1025"/>
      <c r="AI680" s="1025"/>
      <c r="AJ680" s="1025"/>
      <c r="AK680" s="1025"/>
      <c r="AL680" s="1193"/>
      <c r="AM680" s="1134"/>
      <c r="AN680" s="1000"/>
    </row>
    <row r="681" spans="1:54" s="943" customFormat="1" ht="12.75" customHeight="1">
      <c r="A681" s="927"/>
      <c r="B681" s="51"/>
      <c r="C681" s="3038" t="s">
        <v>625</v>
      </c>
      <c r="D681" s="3039"/>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0" t="s">
        <v>1750</v>
      </c>
      <c r="AG681" s="3040"/>
      <c r="AH681" s="3040"/>
      <c r="AI681" s="3040"/>
      <c r="AJ681" s="3040"/>
      <c r="AK681" s="3040"/>
      <c r="AL681" s="3041"/>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25">
        <f>IF(Application!D213="N/A",AS573,AS575)</f>
        <v>10</v>
      </c>
      <c r="AL684" s="3026"/>
      <c r="AM684" s="3027"/>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8" t="s">
        <v>1800</v>
      </c>
      <c r="AF687" s="3028"/>
      <c r="AG687" s="3028"/>
      <c r="AH687" s="3028"/>
      <c r="AI687" s="3028"/>
      <c r="AJ687" s="3028"/>
      <c r="AK687" s="3028"/>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14" t="s">
        <v>625</v>
      </c>
      <c r="D693" s="3115"/>
      <c r="E693" s="1248" t="s">
        <v>539</v>
      </c>
      <c r="F693" s="3123" t="s">
        <v>1806</v>
      </c>
      <c r="G693" s="3123"/>
      <c r="H693" s="3123"/>
      <c r="I693" s="3123"/>
      <c r="J693" s="3123"/>
      <c r="K693" s="3123"/>
      <c r="L693" s="3123"/>
      <c r="M693" s="3123"/>
      <c r="N693" s="3123"/>
      <c r="O693" s="3123"/>
      <c r="P693" s="3123"/>
      <c r="Q693" s="3123"/>
      <c r="R693" s="3123"/>
      <c r="S693" s="3123"/>
      <c r="T693" s="3123"/>
      <c r="U693" s="3123"/>
      <c r="V693" s="3123"/>
      <c r="W693" s="3123"/>
      <c r="X693" s="3123"/>
      <c r="Y693" s="3123"/>
      <c r="Z693" s="3123"/>
      <c r="AA693" s="3123"/>
      <c r="AB693" s="3123"/>
      <c r="AC693" s="3123"/>
      <c r="AD693" s="3123"/>
      <c r="AE693" s="3123"/>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24"/>
      <c r="G694" s="3124"/>
      <c r="H694" s="3124"/>
      <c r="I694" s="3124"/>
      <c r="J694" s="3124"/>
      <c r="K694" s="3124"/>
      <c r="L694" s="3124"/>
      <c r="M694" s="3124"/>
      <c r="N694" s="3124"/>
      <c r="O694" s="3124"/>
      <c r="P694" s="3124"/>
      <c r="Q694" s="3124"/>
      <c r="R694" s="3124"/>
      <c r="S694" s="3124"/>
      <c r="T694" s="3124"/>
      <c r="U694" s="3124"/>
      <c r="V694" s="3124"/>
      <c r="W694" s="3124"/>
      <c r="X694" s="3124"/>
      <c r="Y694" s="3124"/>
      <c r="Z694" s="3124"/>
      <c r="AA694" s="3124"/>
      <c r="AB694" s="3124"/>
      <c r="AC694" s="3124"/>
      <c r="AD694" s="3124"/>
      <c r="AE694" s="3124"/>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29" t="s">
        <v>625</v>
      </c>
      <c r="G695" s="3129"/>
      <c r="H695" s="3129"/>
      <c r="I695" s="3129"/>
      <c r="J695" s="3129"/>
      <c r="K695" s="3129"/>
      <c r="L695" s="3129"/>
      <c r="M695" s="3129"/>
      <c r="N695" s="3129"/>
      <c r="O695" s="3129"/>
      <c r="P695" s="3129"/>
      <c r="Q695" s="3129"/>
      <c r="R695" s="3129"/>
      <c r="S695" s="3129"/>
      <c r="T695" s="3129"/>
      <c r="U695" s="3129"/>
      <c r="V695" s="3129"/>
      <c r="W695" s="3129"/>
      <c r="X695" s="3129"/>
      <c r="Y695" s="3129"/>
      <c r="Z695" s="3129"/>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30" t="s">
        <v>577</v>
      </c>
      <c r="D697" s="3131"/>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33" t="s">
        <v>625</v>
      </c>
      <c r="W700" s="3033"/>
      <c r="X700" s="3033"/>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33" t="s">
        <v>625</v>
      </c>
      <c r="W702" s="3033"/>
      <c r="X702" s="3033"/>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33" t="s">
        <v>625</v>
      </c>
      <c r="W707" s="3033"/>
      <c r="X707" s="3033"/>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17"/>
      <c r="E710" s="3117"/>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33" t="s">
        <v>625</v>
      </c>
      <c r="W711" s="3033"/>
      <c r="X711" s="3033"/>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33" t="s">
        <v>625</v>
      </c>
      <c r="W713" s="3033"/>
      <c r="X713" s="3033"/>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4" t="s">
        <v>625</v>
      </c>
      <c r="D716" s="3115"/>
      <c r="E716" s="1248" t="s">
        <v>539</v>
      </c>
      <c r="F716" s="3123" t="s">
        <v>1806</v>
      </c>
      <c r="G716" s="3123"/>
      <c r="H716" s="3123"/>
      <c r="I716" s="3123"/>
      <c r="J716" s="3123"/>
      <c r="K716" s="3123"/>
      <c r="L716" s="3123"/>
      <c r="M716" s="3123"/>
      <c r="N716" s="3123"/>
      <c r="O716" s="3123"/>
      <c r="P716" s="3123"/>
      <c r="Q716" s="3123"/>
      <c r="R716" s="3123"/>
      <c r="S716" s="3123"/>
      <c r="T716" s="3123"/>
      <c r="U716" s="3123"/>
      <c r="V716" s="3123"/>
      <c r="W716" s="3123"/>
      <c r="X716" s="3123"/>
      <c r="Y716" s="3123"/>
      <c r="Z716" s="3123"/>
      <c r="AA716" s="3123"/>
      <c r="AB716" s="3123"/>
      <c r="AC716" s="3123"/>
      <c r="AD716" s="3123"/>
      <c r="AE716" s="3123"/>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4"/>
      <c r="G717" s="3124"/>
      <c r="H717" s="3124"/>
      <c r="I717" s="3124"/>
      <c r="J717" s="3124"/>
      <c r="K717" s="3124"/>
      <c r="L717" s="3124"/>
      <c r="M717" s="3124"/>
      <c r="N717" s="3124"/>
      <c r="O717" s="3124"/>
      <c r="P717" s="3124"/>
      <c r="Q717" s="3124"/>
      <c r="R717" s="3124"/>
      <c r="S717" s="3124"/>
      <c r="T717" s="3124"/>
      <c r="U717" s="3124"/>
      <c r="V717" s="3124"/>
      <c r="W717" s="3124"/>
      <c r="X717" s="3124"/>
      <c r="Y717" s="3124"/>
      <c r="Z717" s="3124"/>
      <c r="AA717" s="3124"/>
      <c r="AB717" s="3124"/>
      <c r="AC717" s="3124"/>
      <c r="AD717" s="3124"/>
      <c r="AE717" s="3124"/>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5" t="s">
        <v>625</v>
      </c>
      <c r="G718" s="3125"/>
      <c r="H718" s="3125"/>
      <c r="I718" s="3125"/>
      <c r="J718" s="3125"/>
      <c r="K718" s="3125"/>
      <c r="L718" s="3125"/>
      <c r="M718" s="3125"/>
      <c r="N718" s="3125"/>
      <c r="O718" s="3125"/>
      <c r="P718" s="3125"/>
      <c r="Q718" s="3125"/>
      <c r="R718" s="3125"/>
      <c r="S718" s="3125"/>
      <c r="T718" s="3125"/>
      <c r="U718" s="3125"/>
      <c r="V718" s="3125"/>
      <c r="W718" s="3125"/>
      <c r="X718" s="3125"/>
      <c r="Y718" s="3125"/>
      <c r="Z718" s="3125"/>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4" t="s">
        <v>625</v>
      </c>
      <c r="D720" s="3115"/>
      <c r="E720" s="1248" t="s">
        <v>797</v>
      </c>
      <c r="F720" s="3126" t="s">
        <v>1828</v>
      </c>
      <c r="G720" s="3126"/>
      <c r="H720" s="3126"/>
      <c r="I720" s="3126"/>
      <c r="J720" s="3126"/>
      <c r="K720" s="3126"/>
      <c r="L720" s="3126"/>
      <c r="M720" s="3126"/>
      <c r="N720" s="3126"/>
      <c r="O720" s="3126"/>
      <c r="P720" s="3126"/>
      <c r="Q720" s="3126"/>
      <c r="R720" s="3126"/>
      <c r="S720" s="3126"/>
      <c r="T720" s="3126"/>
      <c r="U720" s="3126"/>
      <c r="V720" s="3126"/>
      <c r="W720" s="3126"/>
      <c r="X720" s="3126"/>
      <c r="Y720" s="3126"/>
      <c r="Z720" s="3126"/>
      <c r="AA720" s="3126"/>
      <c r="AB720" s="3126"/>
      <c r="AC720" s="3126"/>
      <c r="AD720" s="3126"/>
      <c r="AE720" s="3126"/>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7"/>
      <c r="G721" s="3127"/>
      <c r="H721" s="3127"/>
      <c r="I721" s="3127"/>
      <c r="J721" s="3127"/>
      <c r="K721" s="3127"/>
      <c r="L721" s="3127"/>
      <c r="M721" s="3127"/>
      <c r="N721" s="3127"/>
      <c r="O721" s="3127"/>
      <c r="P721" s="3127"/>
      <c r="Q721" s="3127"/>
      <c r="R721" s="3127"/>
      <c r="S721" s="3127"/>
      <c r="T721" s="3127"/>
      <c r="U721" s="3127"/>
      <c r="V721" s="3127"/>
      <c r="W721" s="3127"/>
      <c r="X721" s="3127"/>
      <c r="Y721" s="3127"/>
      <c r="Z721" s="3127"/>
      <c r="AA721" s="3127"/>
      <c r="AB721" s="3127"/>
      <c r="AC721" s="3127"/>
      <c r="AD721" s="3127"/>
      <c r="AE721" s="3127"/>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28" t="s">
        <v>625</v>
      </c>
      <c r="G723" s="3128"/>
      <c r="H723" s="3128"/>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14" t="s">
        <v>625</v>
      </c>
      <c r="D725" s="3115"/>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16"/>
      <c r="D727" s="3117"/>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118" t="s">
        <v>625</v>
      </c>
      <c r="H728" s="3118"/>
      <c r="I728" s="3118"/>
      <c r="J728" s="3118"/>
      <c r="K728" s="3118"/>
      <c r="L728" s="3118"/>
      <c r="M728" s="3118"/>
      <c r="N728" s="3118"/>
      <c r="O728" s="3118"/>
      <c r="P728" s="3118"/>
      <c r="Q728" s="3118"/>
      <c r="R728" s="3118"/>
      <c r="S728" s="3118"/>
      <c r="T728" s="3118"/>
      <c r="U728" s="3118"/>
      <c r="V728" s="3118"/>
      <c r="W728" s="3118"/>
      <c r="X728" s="3118"/>
      <c r="Y728" s="3118"/>
      <c r="Z728" s="3118"/>
      <c r="AA728" s="3118"/>
      <c r="AB728" s="3118"/>
      <c r="AC728" s="3118"/>
      <c r="AD728" s="3118"/>
      <c r="AE728" s="3118"/>
      <c r="AF728" s="3118"/>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9" t="s">
        <v>625</v>
      </c>
      <c r="D730" s="3120"/>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9" t="s">
        <v>625</v>
      </c>
      <c r="D734" s="3120"/>
      <c r="E734" s="1025"/>
      <c r="F734" s="1290" t="s">
        <v>1836</v>
      </c>
      <c r="G734" s="3121" t="s">
        <v>1837</v>
      </c>
      <c r="H734" s="3121"/>
      <c r="I734" s="3121"/>
      <c r="J734" s="3121"/>
      <c r="K734" s="3121"/>
      <c r="L734" s="3121"/>
      <c r="M734" s="3121"/>
      <c r="N734" s="3121"/>
      <c r="O734" s="3121"/>
      <c r="P734" s="3121"/>
      <c r="Q734" s="3121"/>
      <c r="R734" s="3121"/>
      <c r="S734" s="3121"/>
      <c r="T734" s="3121"/>
      <c r="U734" s="3121"/>
      <c r="V734" s="3121"/>
      <c r="W734" s="3121"/>
      <c r="X734" s="3121"/>
      <c r="Y734" s="3121"/>
      <c r="Z734" s="3121"/>
      <c r="AA734" s="3121"/>
      <c r="AB734" s="3121"/>
      <c r="AC734" s="3121"/>
      <c r="AD734" s="3121"/>
      <c r="AE734" s="3121"/>
      <c r="AF734" s="3121"/>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2"/>
      <c r="H735" s="3122"/>
      <c r="I735" s="3122"/>
      <c r="J735" s="3122"/>
      <c r="K735" s="3122"/>
      <c r="L735" s="3122"/>
      <c r="M735" s="3122"/>
      <c r="N735" s="3122"/>
      <c r="O735" s="3122"/>
      <c r="P735" s="3122"/>
      <c r="Q735" s="3122"/>
      <c r="R735" s="3122"/>
      <c r="S735" s="3122"/>
      <c r="T735" s="3122"/>
      <c r="U735" s="3122"/>
      <c r="V735" s="3122"/>
      <c r="W735" s="3122"/>
      <c r="X735" s="3122"/>
      <c r="Y735" s="3122"/>
      <c r="Z735" s="3122"/>
      <c r="AA735" s="3122"/>
      <c r="AB735" s="3122"/>
      <c r="AC735" s="3122"/>
      <c r="AD735" s="3122"/>
      <c r="AE735" s="3122"/>
      <c r="AF735" s="3122"/>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3" t="s">
        <v>625</v>
      </c>
      <c r="D738" s="3104"/>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5" t="s">
        <v>625</v>
      </c>
      <c r="G739" s="3105"/>
      <c r="H739" s="3105"/>
      <c r="I739" s="3105"/>
      <c r="J739" s="3105"/>
      <c r="K739" s="3105"/>
      <c r="L739" s="3105"/>
      <c r="M739" s="3105"/>
      <c r="N739" s="3105"/>
      <c r="O739" s="3105"/>
      <c r="P739" s="3105"/>
      <c r="Q739" s="3105"/>
      <c r="R739" s="3105"/>
      <c r="S739" s="3105"/>
      <c r="T739" s="3105"/>
      <c r="U739" s="3105"/>
      <c r="V739" s="3105"/>
      <c r="W739" s="3105"/>
      <c r="X739" s="3105"/>
      <c r="Y739" s="3105"/>
      <c r="Z739" s="3105"/>
      <c r="AA739" s="3105"/>
      <c r="AB739" s="3105"/>
      <c r="AC739" s="3105"/>
      <c r="AD739" s="3105"/>
      <c r="AE739" s="3105"/>
      <c r="AF739" s="3105"/>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6"/>
      <c r="G740" s="3106"/>
      <c r="H740" s="3106"/>
      <c r="I740" s="3106"/>
      <c r="J740" s="3106"/>
      <c r="K740" s="3106"/>
      <c r="L740" s="3106"/>
      <c r="M740" s="3106"/>
      <c r="N740" s="3106"/>
      <c r="O740" s="3106"/>
      <c r="P740" s="3106"/>
      <c r="Q740" s="3106"/>
      <c r="R740" s="3106"/>
      <c r="S740" s="3106"/>
      <c r="T740" s="3106"/>
      <c r="U740" s="3106"/>
      <c r="V740" s="3106"/>
      <c r="W740" s="3106"/>
      <c r="X740" s="3106"/>
      <c r="Y740" s="3106"/>
      <c r="Z740" s="3106"/>
      <c r="AA740" s="3106"/>
      <c r="AB740" s="3106"/>
      <c r="AC740" s="3106"/>
      <c r="AD740" s="3106"/>
      <c r="AE740" s="3106"/>
      <c r="AF740" s="3106"/>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25">
        <f>SUM(AG694:AG739)</f>
        <v>0</v>
      </c>
      <c r="AL750" s="3026"/>
      <c r="AM750" s="3027"/>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7" t="s">
        <v>1851</v>
      </c>
      <c r="AF753" s="3107"/>
      <c r="AG753" s="3107"/>
      <c r="AH753" s="3107"/>
      <c r="AI753" s="3107"/>
      <c r="AJ753" s="3107"/>
      <c r="AK753" s="3107"/>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9" t="s">
        <v>577</v>
      </c>
      <c r="D756" s="3039"/>
      <c r="E756" s="944"/>
      <c r="F756" s="3108" t="s">
        <v>1852</v>
      </c>
      <c r="G756" s="3109"/>
      <c r="H756" s="3109"/>
      <c r="I756" s="3109"/>
      <c r="J756" s="3109"/>
      <c r="K756" s="3109"/>
      <c r="L756" s="3109"/>
      <c r="M756" s="3109"/>
      <c r="N756" s="3109"/>
      <c r="O756" s="3109"/>
      <c r="P756" s="3109"/>
      <c r="Q756" s="3109"/>
      <c r="R756" s="3109"/>
      <c r="S756" s="3109"/>
      <c r="T756" s="3109"/>
      <c r="U756" s="3109"/>
      <c r="V756" s="3109"/>
      <c r="W756" s="3109"/>
      <c r="X756" s="3109"/>
      <c r="Y756" s="3109"/>
      <c r="Z756" s="3109"/>
      <c r="AA756" s="3109"/>
      <c r="AB756" s="3109"/>
      <c r="AC756" s="3109"/>
      <c r="AD756" s="3109"/>
      <c r="AE756" s="3109"/>
      <c r="AF756" s="3109"/>
      <c r="AG756" s="3109"/>
      <c r="AH756" s="3109"/>
      <c r="AI756" s="3109"/>
      <c r="AJ756" s="3109"/>
      <c r="AK756" s="3109"/>
      <c r="AL756" s="3110"/>
      <c r="AM756" s="1005"/>
      <c r="AN756" s="1000"/>
    </row>
    <row r="757" spans="1:49" s="943" customFormat="1" ht="12.75" customHeight="1">
      <c r="A757" s="1012"/>
      <c r="B757" s="1012"/>
      <c r="C757" s="944"/>
      <c r="D757" s="944"/>
      <c r="E757" s="944"/>
      <c r="F757" s="3111"/>
      <c r="G757" s="3112"/>
      <c r="H757" s="3112"/>
      <c r="I757" s="3112"/>
      <c r="J757" s="3112"/>
      <c r="K757" s="3112"/>
      <c r="L757" s="3112"/>
      <c r="M757" s="3112"/>
      <c r="N757" s="3112"/>
      <c r="O757" s="3112"/>
      <c r="P757" s="3112"/>
      <c r="Q757" s="3112"/>
      <c r="R757" s="3112"/>
      <c r="S757" s="3112"/>
      <c r="T757" s="3112"/>
      <c r="U757" s="3112"/>
      <c r="V757" s="3112"/>
      <c r="W757" s="3112"/>
      <c r="X757" s="3112"/>
      <c r="Y757" s="3112"/>
      <c r="Z757" s="3112"/>
      <c r="AA757" s="3112"/>
      <c r="AB757" s="3112"/>
      <c r="AC757" s="3112"/>
      <c r="AD757" s="3112"/>
      <c r="AE757" s="3112"/>
      <c r="AF757" s="3112"/>
      <c r="AG757" s="3112"/>
      <c r="AH757" s="3112"/>
      <c r="AI757" s="3112"/>
      <c r="AJ757" s="3112"/>
      <c r="AK757" s="3112"/>
      <c r="AL757" s="3113"/>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9" t="s">
        <v>625</v>
      </c>
      <c r="D759" s="3039"/>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7" t="s">
        <v>1854</v>
      </c>
      <c r="G760" s="3018"/>
      <c r="H760" s="3018"/>
      <c r="I760" s="3018"/>
      <c r="J760" s="3018"/>
      <c r="K760" s="3018"/>
      <c r="L760" s="3018"/>
      <c r="M760" s="3018"/>
      <c r="N760" s="3018"/>
      <c r="O760" s="3018"/>
      <c r="P760" s="3018"/>
      <c r="Q760" s="3018"/>
      <c r="R760" s="3018"/>
      <c r="S760" s="3018"/>
      <c r="T760" s="3018"/>
      <c r="U760" s="3018"/>
      <c r="V760" s="3018"/>
      <c r="W760" s="3018"/>
      <c r="X760" s="3018"/>
      <c r="Y760" s="3018"/>
      <c r="Z760" s="3018"/>
      <c r="AA760" s="3018"/>
      <c r="AB760" s="3018"/>
      <c r="AC760" s="3018"/>
      <c r="AD760" s="3018"/>
      <c r="AE760" s="3018"/>
      <c r="AF760" s="3018"/>
      <c r="AG760" s="3018"/>
      <c r="AH760" s="3018"/>
      <c r="AI760" s="3018"/>
      <c r="AJ760" s="3018"/>
      <c r="AK760" s="3018"/>
      <c r="AL760" s="3019"/>
      <c r="AM760" s="1005"/>
      <c r="AN760" s="1000"/>
      <c r="AS760" s="1483"/>
      <c r="AT760" s="1483"/>
      <c r="AU760" s="1483"/>
      <c r="AV760" s="1483"/>
      <c r="AW760" s="1483"/>
    </row>
    <row r="761" spans="1:49" s="943" customFormat="1" ht="12.75" customHeight="1">
      <c r="A761" s="1026"/>
      <c r="B761" s="1305"/>
      <c r="C761" s="1305"/>
      <c r="D761" s="1305"/>
      <c r="E761" s="1305"/>
      <c r="F761" s="3017"/>
      <c r="G761" s="3018"/>
      <c r="H761" s="3018"/>
      <c r="I761" s="3018"/>
      <c r="J761" s="3018"/>
      <c r="K761" s="3018"/>
      <c r="L761" s="3018"/>
      <c r="M761" s="3018"/>
      <c r="N761" s="3018"/>
      <c r="O761" s="3018"/>
      <c r="P761" s="3018"/>
      <c r="Q761" s="3018"/>
      <c r="R761" s="3018"/>
      <c r="S761" s="3018"/>
      <c r="T761" s="3018"/>
      <c r="U761" s="3018"/>
      <c r="V761" s="3018"/>
      <c r="W761" s="3018"/>
      <c r="X761" s="3018"/>
      <c r="Y761" s="3018"/>
      <c r="Z761" s="3018"/>
      <c r="AA761" s="3018"/>
      <c r="AB761" s="3018"/>
      <c r="AC761" s="3018"/>
      <c r="AD761" s="3018"/>
      <c r="AE761" s="3018"/>
      <c r="AF761" s="3018"/>
      <c r="AG761" s="3018"/>
      <c r="AH761" s="3018"/>
      <c r="AI761" s="3018"/>
      <c r="AJ761" s="3018"/>
      <c r="AK761" s="3018"/>
      <c r="AL761" s="3019"/>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7" t="s">
        <v>1856</v>
      </c>
      <c r="G763" s="3018"/>
      <c r="H763" s="3018"/>
      <c r="I763" s="3018"/>
      <c r="J763" s="3018"/>
      <c r="K763" s="3018"/>
      <c r="L763" s="3018"/>
      <c r="M763" s="3018"/>
      <c r="N763" s="3018"/>
      <c r="O763" s="3018"/>
      <c r="P763" s="3018"/>
      <c r="Q763" s="3018"/>
      <c r="R763" s="3018"/>
      <c r="S763" s="3018"/>
      <c r="T763" s="3018"/>
      <c r="U763" s="3018"/>
      <c r="V763" s="3018"/>
      <c r="W763" s="3018"/>
      <c r="X763" s="3018"/>
      <c r="Y763" s="3018"/>
      <c r="Z763" s="3018"/>
      <c r="AA763" s="3018"/>
      <c r="AB763" s="3018"/>
      <c r="AC763" s="3018"/>
      <c r="AD763" s="3018"/>
      <c r="AE763" s="3018"/>
      <c r="AF763" s="3018"/>
      <c r="AG763" s="3018"/>
      <c r="AH763" s="3018"/>
      <c r="AI763" s="3018"/>
      <c r="AJ763" s="3018"/>
      <c r="AK763" s="3018"/>
      <c r="AL763" s="1314"/>
      <c r="AM763" s="1005"/>
      <c r="AN763" s="1000"/>
      <c r="AT763" s="1089"/>
      <c r="AU763" s="1089"/>
      <c r="AV763" s="1089"/>
    </row>
    <row r="764" spans="1:49" s="943" customFormat="1" ht="12.75" customHeight="1">
      <c r="A764" s="1026"/>
      <c r="B764" s="1305"/>
      <c r="C764" s="1305"/>
      <c r="D764" s="1305"/>
      <c r="E764" s="1305"/>
      <c r="F764" s="3020"/>
      <c r="G764" s="3021"/>
      <c r="H764" s="3021"/>
      <c r="I764" s="3021"/>
      <c r="J764" s="3021"/>
      <c r="K764" s="3021"/>
      <c r="L764" s="3021"/>
      <c r="M764" s="3021"/>
      <c r="N764" s="3021"/>
      <c r="O764" s="3021"/>
      <c r="P764" s="3021"/>
      <c r="Q764" s="3021"/>
      <c r="R764" s="3021"/>
      <c r="S764" s="3021"/>
      <c r="T764" s="3021"/>
      <c r="U764" s="3021"/>
      <c r="V764" s="3021"/>
      <c r="W764" s="3021"/>
      <c r="X764" s="3021"/>
      <c r="Y764" s="3021"/>
      <c r="Z764" s="3021"/>
      <c r="AA764" s="3021"/>
      <c r="AB764" s="3021"/>
      <c r="AC764" s="3021"/>
      <c r="AD764" s="3021"/>
      <c r="AE764" s="3021"/>
      <c r="AF764" s="3021"/>
      <c r="AG764" s="3021"/>
      <c r="AH764" s="3021"/>
      <c r="AI764" s="3021"/>
      <c r="AJ764" s="3021"/>
      <c r="AK764" s="3021"/>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1">
        <f>Application!AJ975</f>
        <v>73890432</v>
      </c>
      <c r="AQ765" s="3011"/>
      <c r="AR765" s="3011"/>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2">
        <f>'Sources and Uses Budget'!S107+'Sources and Uses Budget'!T107</f>
        <v>64730731</v>
      </c>
      <c r="AG766" s="3022"/>
      <c r="AH766" s="3022"/>
      <c r="AI766" s="3022"/>
      <c r="AJ766" s="3022"/>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3">
        <f>AP774</f>
        <v>146009771.19999999</v>
      </c>
      <c r="AG767" s="3023"/>
      <c r="AH767" s="3023"/>
      <c r="AI767" s="3023"/>
      <c r="AJ767" s="3023"/>
      <c r="AK767" s="1005"/>
      <c r="AL767" s="1005"/>
      <c r="AM767" s="1005"/>
      <c r="AN767" s="1000"/>
      <c r="AP767" s="3011">
        <f>Application!AJ1024</f>
        <v>29556172.800000001</v>
      </c>
      <c r="AQ767" s="3011"/>
      <c r="AR767" s="3011"/>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4">
        <f>ROUNDDOWN(IF(C759="YES",((1-(AF766/AF767))*2),(1-(AF766/AF767))),2)</f>
        <v>0.55000000000000004</v>
      </c>
      <c r="AG768" s="3024"/>
      <c r="AH768" s="3024"/>
      <c r="AI768" s="3024"/>
      <c r="AJ768" s="3024"/>
      <c r="AK768" s="1005"/>
      <c r="AL768" s="1005"/>
      <c r="AM768" s="1005"/>
      <c r="AN768" s="1000"/>
      <c r="AP768" s="3012">
        <f>Application!AJ1028</f>
        <v>14778086.4</v>
      </c>
      <c r="AQ768" s="3012"/>
      <c r="AR768" s="3012"/>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1">
        <f>IF(((AP767+AP768)/AP765)&gt;0.8,0.8,((AP767+AP768)/AP765))</f>
        <v>0.60000000000000009</v>
      </c>
      <c r="AQ769" s="3031"/>
      <c r="AR769" s="3031"/>
    </row>
    <row r="770" spans="1:44" s="943" customFormat="1" ht="12.75" customHeight="1">
      <c r="A770" s="1048"/>
      <c r="B770" s="3083" t="s">
        <v>1859</v>
      </c>
      <c r="C770" s="3084"/>
      <c r="D770" s="3084"/>
      <c r="E770" s="3084"/>
      <c r="F770" s="3084"/>
      <c r="G770" s="3084"/>
      <c r="H770" s="3084"/>
      <c r="I770" s="3084"/>
      <c r="J770" s="3084"/>
      <c r="K770" s="3084"/>
      <c r="L770" s="3084"/>
      <c r="M770" s="3084"/>
      <c r="N770" s="3084"/>
      <c r="O770" s="3084"/>
      <c r="P770" s="3084"/>
      <c r="Q770" s="3084"/>
      <c r="R770" s="3084"/>
      <c r="S770" s="3084"/>
      <c r="T770" s="3084"/>
      <c r="U770" s="3084"/>
      <c r="V770" s="3084"/>
      <c r="W770" s="3084"/>
      <c r="X770" s="3084"/>
      <c r="Y770" s="3084"/>
      <c r="Z770" s="3084"/>
      <c r="AA770" s="3084"/>
      <c r="AB770" s="3084"/>
      <c r="AC770" s="3084"/>
      <c r="AD770" s="3084"/>
      <c r="AE770" s="3084"/>
      <c r="AF770" s="3084"/>
      <c r="AG770" s="3084"/>
      <c r="AH770" s="3084"/>
      <c r="AI770" s="3084"/>
      <c r="AJ770" s="3085"/>
      <c r="AK770" s="1005"/>
      <c r="AL770" s="1005"/>
      <c r="AM770" s="1005"/>
      <c r="AN770" s="1000"/>
    </row>
    <row r="771" spans="1:44" s="943" customFormat="1" ht="12.75" customHeight="1">
      <c r="A771" s="1048"/>
      <c r="B771" s="3086"/>
      <c r="C771" s="3087"/>
      <c r="D771" s="3087"/>
      <c r="E771" s="3087"/>
      <c r="F771" s="3087"/>
      <c r="G771" s="3087"/>
      <c r="H771" s="3087"/>
      <c r="I771" s="3087"/>
      <c r="J771" s="3087"/>
      <c r="K771" s="3087"/>
      <c r="L771" s="3087"/>
      <c r="M771" s="3087"/>
      <c r="N771" s="3087"/>
      <c r="O771" s="3087"/>
      <c r="P771" s="3087"/>
      <c r="Q771" s="3087"/>
      <c r="R771" s="3087"/>
      <c r="S771" s="3087"/>
      <c r="T771" s="3087"/>
      <c r="U771" s="3087"/>
      <c r="V771" s="3087"/>
      <c r="W771" s="3087"/>
      <c r="X771" s="3087"/>
      <c r="Y771" s="3087"/>
      <c r="Z771" s="3087"/>
      <c r="AA771" s="3087"/>
      <c r="AB771" s="3087"/>
      <c r="AC771" s="3087"/>
      <c r="AD771" s="3087"/>
      <c r="AE771" s="3087"/>
      <c r="AF771" s="3087"/>
      <c r="AG771" s="3087"/>
      <c r="AH771" s="3087"/>
      <c r="AI771" s="3087"/>
      <c r="AJ771" s="3088"/>
      <c r="AK771" s="1005"/>
      <c r="AL771" s="1005"/>
      <c r="AM771" s="1005"/>
      <c r="AN771" s="1000"/>
      <c r="AP771" s="3011">
        <f>AP772-AP767-AP768</f>
        <v>101675511.99999999</v>
      </c>
      <c r="AQ771" s="3032"/>
      <c r="AR771" s="3032"/>
    </row>
    <row r="772" spans="1:44" s="943" customFormat="1" ht="12.75" customHeight="1">
      <c r="A772" s="1048"/>
      <c r="B772" s="3089"/>
      <c r="C772" s="3090"/>
      <c r="D772" s="3090"/>
      <c r="E772" s="3090"/>
      <c r="F772" s="3090"/>
      <c r="G772" s="3090"/>
      <c r="H772" s="3090"/>
      <c r="I772" s="3090"/>
      <c r="J772" s="3090"/>
      <c r="K772" s="3090"/>
      <c r="L772" s="3090"/>
      <c r="M772" s="3090"/>
      <c r="N772" s="3090"/>
      <c r="O772" s="3090"/>
      <c r="P772" s="3090"/>
      <c r="Q772" s="3090"/>
      <c r="R772" s="3090"/>
      <c r="S772" s="3090"/>
      <c r="T772" s="3090"/>
      <c r="U772" s="3090"/>
      <c r="V772" s="3090"/>
      <c r="W772" s="3090"/>
      <c r="X772" s="3090"/>
      <c r="Y772" s="3090"/>
      <c r="Z772" s="3090"/>
      <c r="AA772" s="3090"/>
      <c r="AB772" s="3090"/>
      <c r="AC772" s="3090"/>
      <c r="AD772" s="3090"/>
      <c r="AE772" s="3090"/>
      <c r="AF772" s="3090"/>
      <c r="AG772" s="3090"/>
      <c r="AH772" s="3090"/>
      <c r="AI772" s="3090"/>
      <c r="AJ772" s="3091"/>
      <c r="AK772" s="1005"/>
      <c r="AL772" s="1005"/>
      <c r="AM772" s="1005"/>
      <c r="AN772" s="1000"/>
      <c r="AP772" s="3011">
        <f>Application!AJ1032</f>
        <v>146009771.19999999</v>
      </c>
      <c r="AQ772" s="3011"/>
      <c r="AR772" s="3011"/>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092">
        <f>IF(AF768=0,0,IF((AF768*100)&gt;12,12,(AF768*100)))</f>
        <v>12</v>
      </c>
      <c r="AL774" s="3092"/>
      <c r="AM774" s="3093"/>
      <c r="AN774" s="1000"/>
      <c r="AP774" s="3000">
        <f>AP771+(AP765*AP769)</f>
        <v>146009771.19999999</v>
      </c>
      <c r="AQ774" s="3001"/>
      <c r="AR774" s="3002"/>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4" t="s">
        <v>1861</v>
      </c>
      <c r="B777" s="3095"/>
      <c r="C777" s="3095"/>
      <c r="D777" s="3095"/>
      <c r="E777" s="3095"/>
      <c r="F777" s="3095"/>
      <c r="G777" s="3095"/>
      <c r="H777" s="3095"/>
      <c r="I777" s="3095"/>
      <c r="J777" s="3095"/>
      <c r="K777" s="3095"/>
      <c r="L777" s="3095"/>
      <c r="M777" s="3095"/>
      <c r="N777" s="3095"/>
      <c r="O777" s="3095"/>
      <c r="P777" s="3095"/>
      <c r="Q777" s="3095"/>
      <c r="R777" s="3095"/>
      <c r="S777" s="3095"/>
      <c r="T777" s="3095"/>
      <c r="U777" s="3095"/>
      <c r="V777" s="3095"/>
      <c r="W777" s="3095"/>
      <c r="X777" s="3095"/>
      <c r="Y777" s="3095"/>
      <c r="Z777" s="3095"/>
      <c r="AA777" s="3095"/>
      <c r="AB777" s="3095"/>
      <c r="AC777" s="3095"/>
      <c r="AD777" s="3095"/>
      <c r="AE777" s="3095"/>
      <c r="AF777" s="3095"/>
      <c r="AG777" s="3095"/>
      <c r="AH777" s="3095"/>
      <c r="AI777" s="3095"/>
      <c r="AJ777" s="3095"/>
      <c r="AK777" s="3095"/>
      <c r="AL777" s="3095"/>
      <c r="AM777" s="3095"/>
    </row>
    <row r="778" spans="1:44">
      <c r="A778" s="3096"/>
      <c r="B778" s="3096"/>
      <c r="C778" s="3096"/>
      <c r="D778" s="3096"/>
      <c r="E778" s="3096"/>
      <c r="F778" s="3096"/>
      <c r="G778" s="3096"/>
      <c r="H778" s="3096"/>
      <c r="I778" s="3096"/>
      <c r="J778" s="3096"/>
      <c r="K778" s="3096"/>
      <c r="L778" s="3096"/>
      <c r="M778" s="3096"/>
      <c r="N778" s="3096"/>
      <c r="O778" s="3096"/>
      <c r="P778" s="3096"/>
      <c r="Q778" s="3096"/>
      <c r="R778" s="3096"/>
      <c r="S778" s="3096"/>
      <c r="T778" s="3096"/>
      <c r="U778" s="3096"/>
      <c r="V778" s="3096"/>
      <c r="W778" s="3096"/>
      <c r="X778" s="3096"/>
      <c r="Y778" s="3096"/>
      <c r="Z778" s="3096"/>
      <c r="AA778" s="3096"/>
      <c r="AB778" s="3096"/>
      <c r="AC778" s="3096"/>
      <c r="AD778" s="3096"/>
      <c r="AE778" s="3096"/>
      <c r="AF778" s="3096"/>
      <c r="AG778" s="3096"/>
      <c r="AH778" s="3096"/>
      <c r="AI778" s="3096"/>
      <c r="AJ778" s="3096"/>
      <c r="AK778" s="3096"/>
      <c r="AL778" s="3096"/>
      <c r="AM778" s="3096"/>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028"/>
      <c r="B780" s="3028"/>
      <c r="C780" s="3028"/>
      <c r="D780" s="3028"/>
      <c r="E780" s="3028"/>
      <c r="F780" s="3028"/>
      <c r="G780" s="3028"/>
      <c r="H780" s="3028"/>
      <c r="I780" s="3028"/>
      <c r="J780" s="3028"/>
      <c r="K780" s="3028"/>
      <c r="L780" s="3028"/>
      <c r="M780" s="3028"/>
      <c r="N780" s="3028"/>
      <c r="O780" s="3028"/>
      <c r="P780" s="3028"/>
      <c r="Q780" s="3028"/>
      <c r="R780" s="3028"/>
      <c r="S780" s="3028"/>
      <c r="T780" s="3028"/>
      <c r="U780" s="3028"/>
      <c r="V780" s="3028"/>
      <c r="W780" s="3028"/>
      <c r="X780" s="3028"/>
      <c r="Y780" s="3028"/>
      <c r="Z780" s="3028"/>
      <c r="AA780" s="3028"/>
      <c r="AB780" s="3028"/>
      <c r="AC780" s="3028"/>
      <c r="AD780" s="3028"/>
      <c r="AE780" s="3028"/>
      <c r="AF780" s="3028"/>
      <c r="AG780" s="3028"/>
      <c r="AH780" s="3028"/>
      <c r="AI780" s="3028"/>
      <c r="AJ780" s="3028"/>
      <c r="AK780" s="3028"/>
      <c r="AL780" s="3028"/>
      <c r="AM780" s="3028"/>
      <c r="AO780" s="1227"/>
      <c r="AP780" s="1320"/>
      <c r="AQ780" s="1319"/>
    </row>
    <row r="781" spans="1:44" ht="13">
      <c r="A781" s="3028"/>
      <c r="B781" s="3028"/>
      <c r="C781" s="3028"/>
      <c r="D781" s="3028"/>
      <c r="E781" s="3028"/>
      <c r="F781" s="3028"/>
      <c r="G781" s="3028"/>
      <c r="H781" s="3028"/>
      <c r="I781" s="3028"/>
      <c r="J781" s="3028"/>
      <c r="K781" s="3028"/>
      <c r="L781" s="3028"/>
      <c r="M781" s="3028"/>
      <c r="N781" s="3028"/>
      <c r="O781" s="3028"/>
      <c r="P781" s="3028"/>
      <c r="Q781" s="3028"/>
      <c r="R781" s="3028"/>
      <c r="S781" s="3028"/>
      <c r="T781" s="3028"/>
      <c r="U781" s="3028"/>
      <c r="V781" s="3028"/>
      <c r="W781" s="3028"/>
      <c r="X781" s="3028"/>
      <c r="Y781" s="3028"/>
      <c r="Z781" s="3028"/>
      <c r="AA781" s="3028"/>
      <c r="AB781" s="3028"/>
      <c r="AC781" s="3028"/>
      <c r="AD781" s="3028"/>
      <c r="AE781" s="3028"/>
      <c r="AF781" s="3028"/>
      <c r="AG781" s="3028"/>
      <c r="AH781" s="3028"/>
      <c r="AI781" s="3028"/>
      <c r="AJ781" s="3028"/>
      <c r="AK781" s="3028"/>
      <c r="AL781" s="3028"/>
      <c r="AM781" s="3028"/>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097" t="s">
        <v>1862</v>
      </c>
      <c r="U782" s="3098"/>
      <c r="V782" s="3098"/>
      <c r="W782" s="3098"/>
      <c r="X782" s="3098"/>
      <c r="Y782" s="3099"/>
      <c r="Z782" s="3097" t="s">
        <v>1863</v>
      </c>
      <c r="AA782" s="3098"/>
      <c r="AB782" s="3098"/>
      <c r="AC782" s="3098"/>
      <c r="AD782" s="3098"/>
      <c r="AE782" s="3099"/>
      <c r="AF782" s="3097" t="s">
        <v>1864</v>
      </c>
      <c r="AG782" s="3098"/>
      <c r="AH782" s="3098"/>
      <c r="AI782" s="3098"/>
      <c r="AJ782" s="3098"/>
      <c r="AK782" s="3099"/>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100"/>
      <c r="U783" s="3101"/>
      <c r="V783" s="3101"/>
      <c r="W783" s="3101"/>
      <c r="X783" s="3101"/>
      <c r="Y783" s="3102"/>
      <c r="Z783" s="3100"/>
      <c r="AA783" s="3101"/>
      <c r="AB783" s="3101"/>
      <c r="AC783" s="3101"/>
      <c r="AD783" s="3101"/>
      <c r="AE783" s="3102"/>
      <c r="AF783" s="3100"/>
      <c r="AG783" s="3101"/>
      <c r="AH783" s="3101"/>
      <c r="AI783" s="3101"/>
      <c r="AJ783" s="3101"/>
      <c r="AK783" s="3102"/>
      <c r="AL783" s="1322"/>
      <c r="AM783" s="1216"/>
      <c r="AO783" s="1320"/>
      <c r="AP783" s="1319"/>
      <c r="AQ783" s="1319"/>
    </row>
    <row r="784" spans="1:44" ht="13">
      <c r="A784" s="1323" t="s">
        <v>797</v>
      </c>
      <c r="B784" s="3051" t="s">
        <v>1562</v>
      </c>
      <c r="C784" s="3051"/>
      <c r="D784" s="3051"/>
      <c r="E784" s="3051"/>
      <c r="F784" s="3051"/>
      <c r="G784" s="3051"/>
      <c r="H784" s="3051"/>
      <c r="I784" s="3051"/>
      <c r="J784" s="3051"/>
      <c r="K784" s="3051"/>
      <c r="L784" s="3051"/>
      <c r="M784" s="3051"/>
      <c r="N784" s="3051"/>
      <c r="O784" s="3051"/>
      <c r="P784" s="3051"/>
      <c r="Q784" s="3051"/>
      <c r="R784" s="3051"/>
      <c r="S784" s="3052"/>
      <c r="T784" s="3082">
        <f>AK51</f>
        <v>0</v>
      </c>
      <c r="U784" s="3055"/>
      <c r="V784" s="3055"/>
      <c r="W784" s="3055"/>
      <c r="X784" s="3055"/>
      <c r="Y784" s="3056"/>
      <c r="Z784" s="3054">
        <v>20</v>
      </c>
      <c r="AA784" s="3055"/>
      <c r="AB784" s="3055"/>
      <c r="AC784" s="3055"/>
      <c r="AD784" s="3055"/>
      <c r="AE784" s="3056"/>
      <c r="AF784" s="3057">
        <f>IF(T784&gt;Z784,Z784,T784)</f>
        <v>0</v>
      </c>
      <c r="AG784" s="3057"/>
      <c r="AH784" s="3057"/>
      <c r="AI784" s="3057"/>
      <c r="AJ784" s="3057"/>
      <c r="AK784" s="3057"/>
      <c r="AL784" s="1322"/>
      <c r="AM784" s="1216"/>
      <c r="AO784" s="1319"/>
      <c r="AP784" s="1319"/>
      <c r="AQ784" s="1319"/>
    </row>
    <row r="785" spans="1:81" ht="13">
      <c r="A785" s="1323" t="s">
        <v>1830</v>
      </c>
      <c r="B785" s="3051" t="s">
        <v>1583</v>
      </c>
      <c r="C785" s="3051"/>
      <c r="D785" s="3051"/>
      <c r="E785" s="3051"/>
      <c r="F785" s="3051"/>
      <c r="G785" s="3051"/>
      <c r="H785" s="3051"/>
      <c r="I785" s="3051"/>
      <c r="J785" s="3051"/>
      <c r="K785" s="3051"/>
      <c r="L785" s="3051"/>
      <c r="M785" s="3051"/>
      <c r="N785" s="3051"/>
      <c r="O785" s="3051"/>
      <c r="P785" s="3051"/>
      <c r="Q785" s="3051"/>
      <c r="R785" s="3051"/>
      <c r="S785" s="3052"/>
      <c r="T785" s="3082">
        <f>AK72</f>
        <v>10</v>
      </c>
      <c r="U785" s="3055"/>
      <c r="V785" s="3055"/>
      <c r="W785" s="3055"/>
      <c r="X785" s="3055"/>
      <c r="Y785" s="3056"/>
      <c r="Z785" s="3054">
        <v>10</v>
      </c>
      <c r="AA785" s="3055"/>
      <c r="AB785" s="3055"/>
      <c r="AC785" s="3055"/>
      <c r="AD785" s="3055"/>
      <c r="AE785" s="3056"/>
      <c r="AF785" s="3057">
        <f>IF(T785&gt;Z785,Z785,T785)</f>
        <v>10</v>
      </c>
      <c r="AG785" s="3057"/>
      <c r="AH785" s="3057"/>
      <c r="AI785" s="3057"/>
      <c r="AJ785" s="3057"/>
      <c r="AK785" s="3057"/>
      <c r="AL785" s="1322"/>
      <c r="AM785" s="1216"/>
      <c r="AO785" s="1319"/>
      <c r="AP785" s="1319"/>
      <c r="AQ785" s="1319"/>
    </row>
    <row r="786" spans="1:81" ht="13">
      <c r="A786" s="1323" t="s">
        <v>1839</v>
      </c>
      <c r="B786" s="3051" t="s">
        <v>1593</v>
      </c>
      <c r="C786" s="3051"/>
      <c r="D786" s="3051"/>
      <c r="E786" s="3051"/>
      <c r="F786" s="3051"/>
      <c r="G786" s="3051"/>
      <c r="H786" s="3051"/>
      <c r="I786" s="3051"/>
      <c r="J786" s="3051"/>
      <c r="K786" s="3051"/>
      <c r="L786" s="3051"/>
      <c r="M786" s="3051"/>
      <c r="N786" s="3051"/>
      <c r="O786" s="3051"/>
      <c r="P786" s="3051"/>
      <c r="Q786" s="3051"/>
      <c r="R786" s="3051"/>
      <c r="S786" s="3052"/>
      <c r="T786" s="3082">
        <f ca="1">AK97</f>
        <v>20</v>
      </c>
      <c r="U786" s="3055"/>
      <c r="V786" s="3055"/>
      <c r="W786" s="3055"/>
      <c r="X786" s="3055"/>
      <c r="Y786" s="3056"/>
      <c r="Z786" s="3054">
        <v>20</v>
      </c>
      <c r="AA786" s="3055"/>
      <c r="AB786" s="3055"/>
      <c r="AC786" s="3055"/>
      <c r="AD786" s="3055"/>
      <c r="AE786" s="3056"/>
      <c r="AF786" s="3057">
        <f ca="1">IF(T786&gt;Z786,Z786,T786)</f>
        <v>20</v>
      </c>
      <c r="AG786" s="3057"/>
      <c r="AH786" s="3057"/>
      <c r="AI786" s="3057"/>
      <c r="AJ786" s="3057"/>
      <c r="AK786" s="3057"/>
      <c r="AL786" s="1322"/>
      <c r="AM786" s="1216"/>
      <c r="AO786" s="1319"/>
      <c r="AP786" s="1319"/>
      <c r="AQ786" s="1319"/>
    </row>
    <row r="787" spans="1:81" ht="13">
      <c r="A787" s="1323" t="s">
        <v>1865</v>
      </c>
      <c r="B787" s="3051" t="s">
        <v>1603</v>
      </c>
      <c r="C787" s="3051"/>
      <c r="D787" s="3051"/>
      <c r="E787" s="3051"/>
      <c r="F787" s="3051"/>
      <c r="G787" s="3051"/>
      <c r="H787" s="3051"/>
      <c r="I787" s="3051"/>
      <c r="J787" s="3051"/>
      <c r="K787" s="3051"/>
      <c r="L787" s="3051"/>
      <c r="M787" s="3051"/>
      <c r="N787" s="3051"/>
      <c r="O787" s="3051"/>
      <c r="P787" s="3051"/>
      <c r="Q787" s="3051"/>
      <c r="R787" s="3051"/>
      <c r="S787" s="3052"/>
      <c r="T787" s="3082">
        <f>AK131</f>
        <v>10</v>
      </c>
      <c r="U787" s="3055"/>
      <c r="V787" s="3055"/>
      <c r="W787" s="3055"/>
      <c r="X787" s="3055"/>
      <c r="Y787" s="3056"/>
      <c r="Z787" s="3054">
        <v>10</v>
      </c>
      <c r="AA787" s="3055"/>
      <c r="AB787" s="3055"/>
      <c r="AC787" s="3055"/>
      <c r="AD787" s="3055"/>
      <c r="AE787" s="3056"/>
      <c r="AF787" s="3057">
        <f>IF(T787&gt;Z787,Z787,T787)</f>
        <v>10</v>
      </c>
      <c r="AG787" s="3057"/>
      <c r="AH787" s="3057"/>
      <c r="AI787" s="3057"/>
      <c r="AJ787" s="3057"/>
      <c r="AK787" s="3057"/>
      <c r="AL787" s="1322"/>
      <c r="AM787" s="1216"/>
      <c r="AO787" s="1319"/>
      <c r="AP787" s="1319"/>
      <c r="AQ787" s="1319"/>
    </row>
    <row r="788" spans="1:81" ht="13">
      <c r="A788" s="1325" t="s">
        <v>1866</v>
      </c>
      <c r="B788" s="3051" t="s">
        <v>1867</v>
      </c>
      <c r="C788" s="3051"/>
      <c r="D788" s="3051"/>
      <c r="E788" s="3051"/>
      <c r="F788" s="3051"/>
      <c r="G788" s="3051"/>
      <c r="H788" s="3051"/>
      <c r="I788" s="3051"/>
      <c r="J788" s="3051"/>
      <c r="K788" s="3051"/>
      <c r="L788" s="3051"/>
      <c r="M788" s="3051"/>
      <c r="N788" s="3051"/>
      <c r="O788" s="3051"/>
      <c r="P788" s="3051"/>
      <c r="Q788" s="3051"/>
      <c r="R788" s="3051"/>
      <c r="S788" s="3052"/>
      <c r="T788" s="3053">
        <f>SUM(T789:Y790)</f>
        <v>10</v>
      </c>
      <c r="U788" s="3053"/>
      <c r="V788" s="3053"/>
      <c r="W788" s="3053"/>
      <c r="X788" s="3053"/>
      <c r="Y788" s="3053"/>
      <c r="Z788" s="3057">
        <v>10</v>
      </c>
      <c r="AA788" s="3057"/>
      <c r="AB788" s="3057"/>
      <c r="AC788" s="3057"/>
      <c r="AD788" s="3057"/>
      <c r="AE788" s="3057"/>
      <c r="AF788" s="3057">
        <f>IF(T788&gt;Z788,Z788,T788)</f>
        <v>10</v>
      </c>
      <c r="AG788" s="3057"/>
      <c r="AH788" s="3057"/>
      <c r="AI788" s="3057"/>
      <c r="AJ788" s="3057"/>
      <c r="AK788" s="3057"/>
      <c r="AL788" s="1322"/>
      <c r="AM788" s="1216"/>
    </row>
    <row r="789" spans="1:81" ht="13">
      <c r="A789" s="926"/>
      <c r="B789" s="1009"/>
      <c r="C789" s="3058" t="s">
        <v>1868</v>
      </c>
      <c r="D789" s="3058"/>
      <c r="E789" s="3058"/>
      <c r="F789" s="3058"/>
      <c r="G789" s="3058"/>
      <c r="H789" s="3058"/>
      <c r="I789" s="3058"/>
      <c r="J789" s="3058"/>
      <c r="K789" s="3058"/>
      <c r="L789" s="3058"/>
      <c r="M789" s="3058"/>
      <c r="N789" s="3058"/>
      <c r="O789" s="3058"/>
      <c r="P789" s="3058"/>
      <c r="Q789" s="3058"/>
      <c r="R789" s="3058"/>
      <c r="S789" s="3059"/>
      <c r="T789" s="3060">
        <f>AJ149</f>
        <v>7</v>
      </c>
      <c r="U789" s="3060"/>
      <c r="V789" s="3060"/>
      <c r="W789" s="3060"/>
      <c r="X789" s="3060"/>
      <c r="Y789" s="3060"/>
      <c r="Z789" s="3061">
        <v>7</v>
      </c>
      <c r="AA789" s="3061"/>
      <c r="AB789" s="3061"/>
      <c r="AC789" s="3061"/>
      <c r="AD789" s="3061"/>
      <c r="AE789" s="3061"/>
      <c r="AF789" s="3062"/>
      <c r="AG789" s="3062"/>
      <c r="AH789" s="3062"/>
      <c r="AI789" s="3062"/>
      <c r="AJ789" s="3062"/>
      <c r="AK789" s="3062"/>
      <c r="AL789" s="1322"/>
      <c r="AM789" s="1216"/>
    </row>
    <row r="790" spans="1:81" ht="13">
      <c r="A790" s="1326"/>
      <c r="B790" s="1009"/>
      <c r="C790" s="3058" t="s">
        <v>1869</v>
      </c>
      <c r="D790" s="3058"/>
      <c r="E790" s="3058"/>
      <c r="F790" s="3058"/>
      <c r="G790" s="3058"/>
      <c r="H790" s="3058"/>
      <c r="I790" s="3058"/>
      <c r="J790" s="3058"/>
      <c r="K790" s="3058"/>
      <c r="L790" s="3058"/>
      <c r="M790" s="3058"/>
      <c r="N790" s="3058"/>
      <c r="O790" s="3058"/>
      <c r="P790" s="3058"/>
      <c r="Q790" s="3058"/>
      <c r="R790" s="3058"/>
      <c r="S790" s="3059"/>
      <c r="T790" s="3060">
        <f>AJ163</f>
        <v>3</v>
      </c>
      <c r="U790" s="3060"/>
      <c r="V790" s="3060"/>
      <c r="W790" s="3060"/>
      <c r="X790" s="3060"/>
      <c r="Y790" s="3060"/>
      <c r="Z790" s="3061">
        <v>3</v>
      </c>
      <c r="AA790" s="3061"/>
      <c r="AB790" s="3061"/>
      <c r="AC790" s="3061"/>
      <c r="AD790" s="3061"/>
      <c r="AE790" s="3061"/>
      <c r="AF790" s="3062"/>
      <c r="AG790" s="3062"/>
      <c r="AH790" s="3062"/>
      <c r="AI790" s="3062"/>
      <c r="AJ790" s="3062"/>
      <c r="AK790" s="3062"/>
      <c r="AL790" s="1322"/>
      <c r="AM790" s="1216"/>
      <c r="AO790" s="943"/>
    </row>
    <row r="791" spans="1:81" ht="13">
      <c r="A791" s="1325" t="s">
        <v>1631</v>
      </c>
      <c r="B791" s="3051" t="s">
        <v>1870</v>
      </c>
      <c r="C791" s="3051"/>
      <c r="D791" s="3051"/>
      <c r="E791" s="3051"/>
      <c r="F791" s="3051"/>
      <c r="G791" s="3051"/>
      <c r="H791" s="3051"/>
      <c r="I791" s="3051"/>
      <c r="J791" s="3051"/>
      <c r="K791" s="3051"/>
      <c r="L791" s="3051"/>
      <c r="M791" s="3051"/>
      <c r="N791" s="3051"/>
      <c r="O791" s="3051"/>
      <c r="P791" s="3051"/>
      <c r="Q791" s="3051"/>
      <c r="R791" s="3051"/>
      <c r="S791" s="3052"/>
      <c r="T791" s="3053">
        <f>AK174</f>
        <v>10</v>
      </c>
      <c r="U791" s="3053"/>
      <c r="V791" s="3053"/>
      <c r="W791" s="3053"/>
      <c r="X791" s="3053"/>
      <c r="Y791" s="3053"/>
      <c r="Z791" s="3057">
        <v>10</v>
      </c>
      <c r="AA791" s="3057"/>
      <c r="AB791" s="3057"/>
      <c r="AC791" s="3057"/>
      <c r="AD791" s="3057"/>
      <c r="AE791" s="3057"/>
      <c r="AF791" s="3057">
        <f>IF(T791&gt;Z791,Z791,T791)</f>
        <v>10</v>
      </c>
      <c r="AG791" s="3057"/>
      <c r="AH791" s="3057"/>
      <c r="AI791" s="3057"/>
      <c r="AJ791" s="3057"/>
      <c r="AK791" s="3057"/>
      <c r="AL791" s="1322"/>
      <c r="AM791" s="1216"/>
    </row>
    <row r="792" spans="1:81" ht="13">
      <c r="A792" s="1323" t="s">
        <v>1640</v>
      </c>
      <c r="B792" s="3051" t="s">
        <v>1641</v>
      </c>
      <c r="C792" s="3051"/>
      <c r="D792" s="3051"/>
      <c r="E792" s="3051"/>
      <c r="F792" s="3051"/>
      <c r="G792" s="3051"/>
      <c r="H792" s="3051"/>
      <c r="I792" s="3051"/>
      <c r="J792" s="3051"/>
      <c r="K792" s="3051"/>
      <c r="L792" s="3051"/>
      <c r="M792" s="3051"/>
      <c r="N792" s="3051"/>
      <c r="O792" s="3051"/>
      <c r="P792" s="3051"/>
      <c r="Q792" s="3051"/>
      <c r="R792" s="3051"/>
      <c r="S792" s="3052"/>
      <c r="T792" s="3053">
        <f>AK256</f>
        <v>8</v>
      </c>
      <c r="U792" s="3053"/>
      <c r="V792" s="3053"/>
      <c r="W792" s="3053"/>
      <c r="X792" s="3053"/>
      <c r="Y792" s="3053"/>
      <c r="Z792" s="3054">
        <v>8</v>
      </c>
      <c r="AA792" s="3055"/>
      <c r="AB792" s="3055"/>
      <c r="AC792" s="3055"/>
      <c r="AD792" s="3055"/>
      <c r="AE792" s="3056"/>
      <c r="AF792" s="3057">
        <f>IF(T792&gt;Z792,Z792,T792)</f>
        <v>8</v>
      </c>
      <c r="AG792" s="3057"/>
      <c r="AH792" s="3057"/>
      <c r="AI792" s="3057"/>
      <c r="AJ792" s="3057"/>
      <c r="AK792" s="3057"/>
      <c r="AL792" s="1322"/>
      <c r="AM792" s="1216"/>
    </row>
    <row r="793" spans="1:81" s="925" customFormat="1" ht="13" hidden="1">
      <c r="A793" s="1325" t="s">
        <v>623</v>
      </c>
      <c r="B793" s="3051" t="s">
        <v>1871</v>
      </c>
      <c r="C793" s="3051"/>
      <c r="D793" s="3051"/>
      <c r="E793" s="3051"/>
      <c r="F793" s="3051"/>
      <c r="G793" s="3051"/>
      <c r="H793" s="3051"/>
      <c r="I793" s="3051"/>
      <c r="J793" s="3051"/>
      <c r="K793" s="3051"/>
      <c r="L793" s="3051"/>
      <c r="M793" s="3051"/>
      <c r="N793" s="3051"/>
      <c r="O793" s="3051"/>
      <c r="P793" s="3051"/>
      <c r="Q793" s="3051"/>
      <c r="R793" s="3051"/>
      <c r="S793" s="3052"/>
      <c r="T793" s="3053">
        <f>IF(AK750&gt;5,5,AK750)</f>
        <v>0</v>
      </c>
      <c r="U793" s="3053"/>
      <c r="V793" s="3053"/>
      <c r="W793" s="3053"/>
      <c r="X793" s="3053"/>
      <c r="Y793" s="3053"/>
      <c r="Z793" s="3057">
        <v>5</v>
      </c>
      <c r="AA793" s="3057"/>
      <c r="AB793" s="3057"/>
      <c r="AC793" s="3057"/>
      <c r="AD793" s="3057"/>
      <c r="AE793" s="3057"/>
      <c r="AF793" s="3057">
        <f>IF(T793&gt;Z793,5,T793)</f>
        <v>0</v>
      </c>
      <c r="AG793" s="3057"/>
      <c r="AH793" s="3057"/>
      <c r="AI793" s="3057"/>
      <c r="AJ793" s="3057"/>
      <c r="AK793" s="3057"/>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1646</v>
      </c>
      <c r="B794" s="3051" t="s">
        <v>1872</v>
      </c>
      <c r="C794" s="3051"/>
      <c r="D794" s="3051"/>
      <c r="E794" s="3051"/>
      <c r="F794" s="3051"/>
      <c r="G794" s="3051"/>
      <c r="H794" s="3051"/>
      <c r="I794" s="3051"/>
      <c r="J794" s="3051"/>
      <c r="K794" s="3051"/>
      <c r="L794" s="3051"/>
      <c r="M794" s="3051"/>
      <c r="N794" s="3051"/>
      <c r="O794" s="3051"/>
      <c r="P794" s="3051"/>
      <c r="Q794" s="3051"/>
      <c r="R794" s="3051"/>
      <c r="S794" s="3052"/>
      <c r="T794" s="3053">
        <f>AK267</f>
        <v>10</v>
      </c>
      <c r="U794" s="3053"/>
      <c r="V794" s="3053"/>
      <c r="W794" s="3053"/>
      <c r="X794" s="3053"/>
      <c r="Y794" s="3053"/>
      <c r="Z794" s="3057">
        <v>10</v>
      </c>
      <c r="AA794" s="3057"/>
      <c r="AB794" s="3057"/>
      <c r="AC794" s="3057"/>
      <c r="AD794" s="3057"/>
      <c r="AE794" s="3057"/>
      <c r="AF794" s="3063">
        <f>IF(T794&gt;Z794,Z794,T794)</f>
        <v>10</v>
      </c>
      <c r="AG794" s="3064"/>
      <c r="AH794" s="3064"/>
      <c r="AI794" s="3064"/>
      <c r="AJ794" s="3064"/>
      <c r="AK794" s="306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1650</v>
      </c>
      <c r="B795" s="3051" t="s">
        <v>1651</v>
      </c>
      <c r="C795" s="3051"/>
      <c r="D795" s="3051"/>
      <c r="E795" s="3051"/>
      <c r="F795" s="3051"/>
      <c r="G795" s="3051"/>
      <c r="H795" s="3051"/>
      <c r="I795" s="3051"/>
      <c r="J795" s="3051"/>
      <c r="K795" s="3051"/>
      <c r="L795" s="3051"/>
      <c r="M795" s="3051"/>
      <c r="N795" s="3051"/>
      <c r="O795" s="3051"/>
      <c r="P795" s="3051"/>
      <c r="Q795" s="3051"/>
      <c r="R795" s="3051"/>
      <c r="S795" s="3052"/>
      <c r="T795" s="3053">
        <f>AK553</f>
        <v>19</v>
      </c>
      <c r="U795" s="3053"/>
      <c r="V795" s="3053"/>
      <c r="W795" s="3053"/>
      <c r="X795" s="3053"/>
      <c r="Y795" s="3053"/>
      <c r="Z795" s="3063">
        <v>20</v>
      </c>
      <c r="AA795" s="3064"/>
      <c r="AB795" s="3064"/>
      <c r="AC795" s="3064"/>
      <c r="AD795" s="3064"/>
      <c r="AE795" s="3065"/>
      <c r="AF795" s="3063">
        <f>IF(T795&gt;Z795,Z795,T795)</f>
        <v>19</v>
      </c>
      <c r="AG795" s="3066"/>
      <c r="AH795" s="3066"/>
      <c r="AI795" s="3066"/>
      <c r="AJ795" s="3066"/>
      <c r="AK795" s="3067"/>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0">
        <f>AK320</f>
        <v>9</v>
      </c>
      <c r="U796" s="3060"/>
      <c r="V796" s="3060"/>
      <c r="W796" s="3060"/>
      <c r="X796" s="3060"/>
      <c r="Y796" s="3060"/>
      <c r="Z796" s="3025">
        <v>20</v>
      </c>
      <c r="AA796" s="3026"/>
      <c r="AB796" s="3026"/>
      <c r="AC796" s="3026"/>
      <c r="AD796" s="3026"/>
      <c r="AE796" s="3027"/>
      <c r="AF796" s="3062"/>
      <c r="AG796" s="3062"/>
      <c r="AH796" s="3062"/>
      <c r="AI796" s="3062"/>
      <c r="AJ796" s="3062"/>
      <c r="AK796" s="3062"/>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0">
        <f>AK551</f>
        <v>10</v>
      </c>
      <c r="U797" s="3060"/>
      <c r="V797" s="3060"/>
      <c r="W797" s="3060"/>
      <c r="X797" s="3060"/>
      <c r="Y797" s="3060"/>
      <c r="Z797" s="3025">
        <v>10</v>
      </c>
      <c r="AA797" s="3026"/>
      <c r="AB797" s="3026"/>
      <c r="AC797" s="3026"/>
      <c r="AD797" s="3026"/>
      <c r="AE797" s="3027"/>
      <c r="AF797" s="3062"/>
      <c r="AG797" s="3062"/>
      <c r="AH797" s="3062"/>
      <c r="AI797" s="3062"/>
      <c r="AJ797" s="3062"/>
      <c r="AK797" s="3062"/>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1736</v>
      </c>
      <c r="B798" s="3051" t="s">
        <v>907</v>
      </c>
      <c r="C798" s="3051"/>
      <c r="D798" s="3051"/>
      <c r="E798" s="3051"/>
      <c r="F798" s="3051"/>
      <c r="G798" s="3051"/>
      <c r="H798" s="3051"/>
      <c r="I798" s="3051"/>
      <c r="J798" s="3051"/>
      <c r="K798" s="3051"/>
      <c r="L798" s="3051"/>
      <c r="M798" s="3051"/>
      <c r="N798" s="3051"/>
      <c r="O798" s="3051"/>
      <c r="P798" s="3051"/>
      <c r="Q798" s="3051"/>
      <c r="R798" s="3051"/>
      <c r="S798" s="3052"/>
      <c r="T798" s="3053">
        <f>AK684</f>
        <v>10</v>
      </c>
      <c r="U798" s="3053"/>
      <c r="V798" s="3053"/>
      <c r="W798" s="3053"/>
      <c r="X798" s="3053"/>
      <c r="Y798" s="3053"/>
      <c r="Z798" s="3063">
        <v>10</v>
      </c>
      <c r="AA798" s="3064"/>
      <c r="AB798" s="3064"/>
      <c r="AC798" s="3064"/>
      <c r="AD798" s="3064"/>
      <c r="AE798" s="3065"/>
      <c r="AF798" s="3057">
        <f>IF(T798&gt;Z798,Z798,T798)</f>
        <v>10</v>
      </c>
      <c r="AG798" s="3057"/>
      <c r="AH798" s="3057"/>
      <c r="AI798" s="3057"/>
      <c r="AJ798" s="3057"/>
      <c r="AK798" s="3057"/>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1849</v>
      </c>
      <c r="B799" s="3051" t="s">
        <v>1850</v>
      </c>
      <c r="C799" s="3051"/>
      <c r="D799" s="3051"/>
      <c r="E799" s="3051"/>
      <c r="F799" s="3051"/>
      <c r="G799" s="3051"/>
      <c r="H799" s="3051"/>
      <c r="I799" s="3051"/>
      <c r="J799" s="3051"/>
      <c r="K799" s="3051"/>
      <c r="L799" s="3051"/>
      <c r="M799" s="3051"/>
      <c r="N799" s="3051"/>
      <c r="O799" s="3051"/>
      <c r="P799" s="3051"/>
      <c r="Q799" s="3051"/>
      <c r="R799" s="3051"/>
      <c r="S799" s="3052"/>
      <c r="T799" s="3053">
        <f>AK774</f>
        <v>12</v>
      </c>
      <c r="U799" s="3053"/>
      <c r="V799" s="3053"/>
      <c r="W799" s="3053"/>
      <c r="X799" s="3053"/>
      <c r="Y799" s="3053"/>
      <c r="Z799" s="3063">
        <v>12</v>
      </c>
      <c r="AA799" s="3064"/>
      <c r="AB799" s="3064"/>
      <c r="AC799" s="3064"/>
      <c r="AD799" s="3064"/>
      <c r="AE799" s="3065"/>
      <c r="AF799" s="3057">
        <f>IF(T799&gt;Z799,Z799,T799)</f>
        <v>12</v>
      </c>
      <c r="AG799" s="3057"/>
      <c r="AH799" s="3057"/>
      <c r="AI799" s="3057"/>
      <c r="AJ799" s="3057"/>
      <c r="AK799" s="3057"/>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068" t="s">
        <v>1875</v>
      </c>
      <c r="B800" s="3051"/>
      <c r="C800" s="3051"/>
      <c r="D800" s="3051"/>
      <c r="E800" s="3051"/>
      <c r="F800" s="3051"/>
      <c r="G800" s="3051"/>
      <c r="H800" s="3051"/>
      <c r="I800" s="3051"/>
      <c r="J800" s="3051"/>
      <c r="K800" s="3051"/>
      <c r="L800" s="3051"/>
      <c r="M800" s="3051"/>
      <c r="N800" s="3051"/>
      <c r="O800" s="3051"/>
      <c r="P800" s="3051"/>
      <c r="Q800" s="3051"/>
      <c r="R800" s="3051"/>
      <c r="S800" s="3052"/>
      <c r="T800" s="3069"/>
      <c r="U800" s="3069"/>
      <c r="V800" s="3069"/>
      <c r="W800" s="3069"/>
      <c r="X800" s="3069"/>
      <c r="Y800" s="3069"/>
      <c r="Z800" s="3061" t="s">
        <v>1876</v>
      </c>
      <c r="AA800" s="3061"/>
      <c r="AB800" s="3061"/>
      <c r="AC800" s="3061"/>
      <c r="AD800" s="3061"/>
      <c r="AE800" s="3061"/>
      <c r="AF800" s="3063">
        <f>IF(T800&gt;0,T800,0)</f>
        <v>0</v>
      </c>
      <c r="AG800" s="3064"/>
      <c r="AH800" s="3064"/>
      <c r="AI800" s="3064"/>
      <c r="AJ800" s="3064"/>
      <c r="AK800" s="306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070" t="s">
        <v>1877</v>
      </c>
      <c r="B801" s="3071"/>
      <c r="C801" s="3071"/>
      <c r="D801" s="3071"/>
      <c r="E801" s="3071"/>
      <c r="F801" s="3071"/>
      <c r="G801" s="3071"/>
      <c r="H801" s="3071"/>
      <c r="I801" s="3071"/>
      <c r="J801" s="3071"/>
      <c r="K801" s="3071"/>
      <c r="L801" s="3071"/>
      <c r="M801" s="3071"/>
      <c r="N801" s="3071"/>
      <c r="O801" s="3071"/>
      <c r="P801" s="3071"/>
      <c r="Q801" s="3071"/>
      <c r="R801" s="3071"/>
      <c r="S801" s="3071"/>
      <c r="T801" s="3071"/>
      <c r="U801" s="3071"/>
      <c r="V801" s="3071"/>
      <c r="W801" s="3071"/>
      <c r="X801" s="3071"/>
      <c r="Y801" s="3071"/>
      <c r="Z801" s="3071"/>
      <c r="AA801" s="3071"/>
      <c r="AB801" s="3071"/>
      <c r="AC801" s="3071"/>
      <c r="AD801" s="3071"/>
      <c r="AE801" s="3072"/>
      <c r="AF801" s="3076">
        <f ca="1">SUM(AF784:AK799)-AF800</f>
        <v>119</v>
      </c>
      <c r="AG801" s="3077"/>
      <c r="AH801" s="3077"/>
      <c r="AI801" s="3077"/>
      <c r="AJ801" s="3077"/>
      <c r="AK801" s="3078"/>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073"/>
      <c r="B802" s="3074"/>
      <c r="C802" s="3074"/>
      <c r="D802" s="3074"/>
      <c r="E802" s="3074"/>
      <c r="F802" s="3074"/>
      <c r="G802" s="3074"/>
      <c r="H802" s="3074"/>
      <c r="I802" s="3074"/>
      <c r="J802" s="3074"/>
      <c r="K802" s="3074"/>
      <c r="L802" s="3074"/>
      <c r="M802" s="3074"/>
      <c r="N802" s="3074"/>
      <c r="O802" s="3074"/>
      <c r="P802" s="3074"/>
      <c r="Q802" s="3074"/>
      <c r="R802" s="3074"/>
      <c r="S802" s="3074"/>
      <c r="T802" s="3074"/>
      <c r="U802" s="3074"/>
      <c r="V802" s="3074"/>
      <c r="W802" s="3074"/>
      <c r="X802" s="3074"/>
      <c r="Y802" s="3074"/>
      <c r="Z802" s="3074"/>
      <c r="AA802" s="3074"/>
      <c r="AB802" s="3074"/>
      <c r="AC802" s="3074"/>
      <c r="AD802" s="3074"/>
      <c r="AE802" s="3075"/>
      <c r="AF802" s="3079"/>
      <c r="AG802" s="3080"/>
      <c r="AH802" s="3080"/>
      <c r="AI802" s="3080"/>
      <c r="AJ802" s="3080"/>
      <c r="AK802" s="3081"/>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1EEE4AB76AE54BACEEDDA0DF69F67B" ma:contentTypeVersion="25" ma:contentTypeDescription="Create a new document." ma:contentTypeScope="" ma:versionID="ac568af5e7d63b1d79b075a6250b1106">
  <xsd:schema xmlns:xsd="http://www.w3.org/2001/XMLSchema" xmlns:xs="http://www.w3.org/2001/XMLSchema" xmlns:p="http://schemas.microsoft.com/office/2006/metadata/properties" xmlns:ns2="12787784-bee3-4f4c-b8c2-408b19805a85" xmlns:ns3="http://schemas.microsoft.com/sharepoint/v4" targetNamespace="http://schemas.microsoft.com/office/2006/metadata/properties" ma:root="true" ma:fieldsID="7b57ddd565d81bb6d8bd944aa5bf9d52" ns2:_="" ns3:_="">
    <xsd:import namespace="12787784-bee3-4f4c-b8c2-408b19805a85"/>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87784-bee3-4f4c-b8c2-408b19805a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75101b4b-3bad-4164-9195-46007ef9097e}" ma:internalName="TaxCatchAll" ma:showField="CatchAllData" ma:web="c68dd490-b8b7-4f56-a06f-295f852692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12787784-bee3-4f4c-b8c2-408b19805a85"/>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D9A65712-6D65-4C45-891E-911E0D8D35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787784-bee3-4f4c-b8c2-408b19805a8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02E52C3-FB63-4E66-99C3-EBD0A87FA2BE}">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microsoft.com/sharepoint/v4"/>
    <ds:schemaRef ds:uri="http://purl.org/dc/terms/"/>
    <ds:schemaRef ds:uri="http://schemas.openxmlformats.org/package/2006/metadata/core-properties"/>
    <ds:schemaRef ds:uri="12787784-bee3-4f4c-b8c2-408b19805a85"/>
    <ds:schemaRef ds:uri="http://www.w3.org/XML/1998/namespace"/>
  </ds:schemaRefs>
</ds:datastoreItem>
</file>

<file path=customXml/itemProps3.xml><?xml version="1.0" encoding="utf-8"?>
<ds:datastoreItem xmlns:ds="http://schemas.openxmlformats.org/officeDocument/2006/customXml" ds:itemID="{363878C9-F563-4DEF-AF0B-309ECAACD3F1}">
  <ds:schemaRefs>
    <ds:schemaRef ds:uri="http://schemas.microsoft.com/sharepoint/v3/contenttype/forms"/>
  </ds:schemaRefs>
</ds:datastoreItem>
</file>

<file path=customXml/itemProps4.xml><?xml version="1.0" encoding="utf-8"?>
<ds:datastoreItem xmlns:ds="http://schemas.openxmlformats.org/officeDocument/2006/customXml" ds:itemID="{00C1CE56-7F5E-43C0-8C5C-297589546096}">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Janelle Ingle</cp:lastModifiedBy>
  <cp:lastPrinted>2021-09-01T21:53:15Z</cp:lastPrinted>
  <dcterms:created xsi:type="dcterms:W3CDTF">2007-12-27T18:26:28Z</dcterms:created>
  <dcterms:modified xsi:type="dcterms:W3CDTF">2021-09-03T18:46:23Z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0x010100041EEE4AB76AE54BACEEDDA0DF69F67B</vt:lpwstr>
  </property>
</Properties>
</file>