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Mammoth Lakes (4%) (09-09)\TAB 40 - TCAC E-App\"/>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68" i="7" l="1"/>
  <c r="AC67" i="7"/>
  <c r="AC66" i="7"/>
  <c r="AC65" i="7"/>
  <c r="AG68" i="7"/>
  <c r="AG67" i="7"/>
  <c r="AG66" i="7"/>
  <c r="AG65" i="7"/>
  <c r="AE68" i="7"/>
  <c r="AE67" i="7"/>
  <c r="AE66" i="7"/>
  <c r="AE65" i="7"/>
  <c r="AA61" i="7" l="1"/>
  <c r="Y61" i="7"/>
  <c r="AB71" i="15"/>
  <c r="AB50" i="15"/>
  <c r="S10" i="4"/>
  <c r="E45" i="4"/>
  <c r="C45" i="4"/>
  <c r="Y829" i="3" l="1"/>
  <c r="U829" i="3"/>
  <c r="Q829" i="3"/>
  <c r="M829" i="3"/>
  <c r="S90" i="4" l="1"/>
  <c r="S89" i="4"/>
  <c r="S84"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79" i="13"/>
  <c r="E51" i="13"/>
  <c r="E48" i="13"/>
  <c r="E47" i="13"/>
  <c r="E46" i="13"/>
  <c r="E41" i="13"/>
  <c r="E40"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R90" i="4"/>
  <c r="R89" i="4"/>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E50" i="13" s="1"/>
  <c r="R49" i="4"/>
  <c r="S49" i="4" s="1"/>
  <c r="E49" i="13" s="1"/>
  <c r="R48" i="4"/>
  <c r="R47" i="4"/>
  <c r="R46" i="4"/>
  <c r="S46" i="4" s="1"/>
  <c r="R45" i="4"/>
  <c r="S45" i="4" s="1"/>
  <c r="E45" i="13" s="1"/>
  <c r="R43" i="4"/>
  <c r="S43" i="4" s="1"/>
  <c r="E43" i="13" s="1"/>
  <c r="R41" i="4"/>
  <c r="S41" i="4" s="1"/>
  <c r="R40" i="4"/>
  <c r="S40" i="4" s="1"/>
  <c r="S42" i="4" s="1"/>
  <c r="E42" i="13" s="1"/>
  <c r="R37" i="4"/>
  <c r="R35" i="4"/>
  <c r="S35" i="4" s="1"/>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S96" i="4"/>
  <c r="E96" i="13" s="1"/>
  <c r="R81" i="4"/>
  <c r="S80" i="4"/>
  <c r="S70" i="4"/>
  <c r="E70" i="13" s="1"/>
  <c r="D51" i="11"/>
  <c r="S54" i="4"/>
  <c r="E54" i="13" s="1"/>
  <c r="AM736" i="3"/>
  <c r="BI711" i="3" s="1"/>
  <c r="AM735" i="3"/>
  <c r="BI710" i="3" s="1"/>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<sst xmlns="http://schemas.openxmlformats.org/spreadsheetml/2006/main" count="5173" uniqueCount="2702">
  <si>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</si>
  <si>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</si>
  <si>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</si>
  <si>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</si>
  <si>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</si>
  <si>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</si>
  <si>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</si>
  <si>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</si>
  <si>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</si>
  <si>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</si>
  <si>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</si>
  <si>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</si>
  <si>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</si>
  <si>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</si>
  <si>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</si>
  <si>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</si>
  <si>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</si>
  <si>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</si>
  <si>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</si>
  <si>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</si>
  <si>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</si>
  <si>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</si>
  <si>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</si>
  <si>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</si>
  <si>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</si>
  <si>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</si>
  <si>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</si>
  <si>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</si>
  <si>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</si>
  <si>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</si>
  <si>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</si>
  <si>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</si>
  <si>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</si>
  <si>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</si>
  <si>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</si>
  <si>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</si>
  <si>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</si>
  <si>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</si>
  <si>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</si>
  <si>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</si>
  <si>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</si>
  <si>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</si>
  <si>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</si>
  <si>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</si>
  <si>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</si>
  <si>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</si>
  <si>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</si>
  <si>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</si>
  <si>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</si>
  <si>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</si>
  <si>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</si>
  <si>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</si>
  <si>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</si>
  <si>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</si>
  <si>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</si>
  <si>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</si>
  <si>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</si>
  <si>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</si>
  <si>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</si>
  <si>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</si>
  <si>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</si>
  <si>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</si>
  <si>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</si>
  <si>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</si>
  <si>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</si>
  <si>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</si>
  <si>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</si>
  <si>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</si>
  <si>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</si>
  <si>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</si>
  <si>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</si>
  <si>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</si>
  <si>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</si>
  <si>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</si>
  <si>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</si>
  <si>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</si>
  <si>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</si>
  <si>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</si>
  <si>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</si>
  <si>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</si>
  <si>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</si>
  <si>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</si>
  <si>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</si>
  <si>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</si>
  <si>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</si>
  <si>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</si>
  <si>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</si>
  <si>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</si>
  <si>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</si>
  <si>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</si>
  <si>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</si>
  <si>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</si>
  <si>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</si>
  <si>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</si>
  <si>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</si>
  <si>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</si>
  <si>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</si>
  <si>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</si>
  <si>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</si>
  <si>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</si>
  <si>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</si>
  <si>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</si>
  <si>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</si>
  <si>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</si>
  <si>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</si>
  <si>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</si>
  <si>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</si>
  <si>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</si>
  <si>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</si>
  <si>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</si>
  <si>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</si>
  <si>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</si>
  <si>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</si>
  <si>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</si>
  <si>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</si>
  <si>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</si>
  <si>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</si>
  <si>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</si>
  <si>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</si>
  <si>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</si>
  <si>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</si>
  <si>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</si>
  <si>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</si>
  <si>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</si>
  <si>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</si>
  <si>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</si>
  <si>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</si>
  <si>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</si>
  <si>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</si>
  <si>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</si>
  <si>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</si>
  <si>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</si>
  <si>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</si>
  <si>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</si>
  <si>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</si>
  <si>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</si>
  <si>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</si>
  <si>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</si>
  <si>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</si>
  <si>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</si>
  <si>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</si>
  <si>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</si>
  <si>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</si>
  <si>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</si>
  <si>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</si>
  <si>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</si>
  <si>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</si>
  <si>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</si>
  <si>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</si>
  <si>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</si>
  <si>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</si>
  <si>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</si>
  <si>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</si>
  <si>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</si>
  <si>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</si>
  <si>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</si>
  <si>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</si>
  <si>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</si>
  <si>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</si>
  <si>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</si>
  <si>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</si>
  <si>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</si>
  <si>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</si>
  <si>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</si>
  <si>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</si>
  <si>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</si>
  <si>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</si>
  <si>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</si>
  <si>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</si>
  <si>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</si>
  <si>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</si>
  <si>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</si>
  <si>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</si>
  <si>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</si>
  <si>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</si>
  <si>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</si>
  <si>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</si>
  <si>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</si>
  <si>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</si>
  <si>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</si>
  <si>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</si>
  <si>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</si>
  <si>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</si>
  <si>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</si>
  <si>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</si>
  <si>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</si>
  <si>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</si>
  <si>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</si>
  <si>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</si>
  <si>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</si>
  <si>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</si>
  <si>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</si>
  <si>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</si>
  <si>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</si>
  <si>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</si>
  <si>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</si>
  <si>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</si>
  <si>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</si>
  <si>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</si>
  <si>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</si>
  <si>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</si>
  <si>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</si>
  <si>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</si>
  <si>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</si>
  <si>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</si>
  <si>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</si>
  <si>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</si>
  <si>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</si>
  <si>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</si>
  <si>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</si>
  <si>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</si>
  <si>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</si>
  <si>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</si>
  <si>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</si>
  <si>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</si>
  <si>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</si>
  <si>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</si>
  <si>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</si>
  <si>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</si>
  <si>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</si>
  <si>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</si>
  <si>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</si>
  <si>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</si>
  <si>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</si>
  <si>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</si>
  <si>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</si>
  <si>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</si>
  <si>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</si>
  <si>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</si>
  <si>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</si>
  <si>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</si>
  <si>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</si>
  <si>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</si>
  <si>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</si>
  <si>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</si>
  <si>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</si>
  <si>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</si>
  <si>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</si>
  <si>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</si>
  <si>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</si>
  <si>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</si>
  <si>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</si>
  <si>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</si>
  <si>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</si>
  <si>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</si>
  <si>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</si>
  <si>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</si>
  <si>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</si>
  <si>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</si>
  <si>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</si>
  <si>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</si>
  <si>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</si>
  <si>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</si>
  <si>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</si>
  <si>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</si>
  <si>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</si>
  <si>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</si>
  <si>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</si>
  <si>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</si>
  <si>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</si>
  <si>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</si>
  <si>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</si>
  <si>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</si>
  <si>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</si>
  <si>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</si>
  <si>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</si>
  <si>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</si>
  <si>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</si>
  <si>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</si>
  <si>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</si>
  <si>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</si>
  <si>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</si>
  <si>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</si>
  <si>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</si>
  <si>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</si>
  <si>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</si>
  <si>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</si>
  <si>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</si>
  <si>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</si>
  <si>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</si>
  <si>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</si>
  <si>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</si>
  <si>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</si>
  <si>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</si>
  <si>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</si>
  <si>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</si>
  <si>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</si>
  <si>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</si>
  <si>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</si>
  <si>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</si>
  <si>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</si>
  <si>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</si>
  <si>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</si>
  <si>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</si>
  <si>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</si>
  <si>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</si>
  <si>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</si>
  <si>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</si>
  <si>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</si>
  <si>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</si>
  <si>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</si>
  <si>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</si>
  <si>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</si>
  <si>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</si>
  <si>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</si>
  <si>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</si>
  <si>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</si>
  <si>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</si>
  <si>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</si>
  <si>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</si>
  <si>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</si>
  <si>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</si>
  <si>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</si>
  <si>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</si>
  <si>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</si>
  <si>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</si>
  <si>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</si>
  <si>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</si>
  <si>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</si>
  <si>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</si>
  <si>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</si>
  <si>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</si>
  <si>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</si>
  <si>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</si>
  <si>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</si>
  <si>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</si>
  <si>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</si>
  <si>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</si>
  <si>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</si>
  <si>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</si>
  <si>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</si>
  <si>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</si>
  <si>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</si>
  <si>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</si>
  <si>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</si>
  <si>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</si>
  <si>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</si>
  <si>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</si>
  <si>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</si>
  <si>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</si>
  <si>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</si>
  <si>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</si>
  <si>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</si>
  <si>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</si>
  <si>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</si>
  <si>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</si>
  <si>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</si>
  <si>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</si>
  <si>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</si>
  <si>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</si>
  <si>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</si>
  <si>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</si>
  <si>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</si>
  <si>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</si>
  <si>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</si>
  <si>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</si>
  <si>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</si>
  <si>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</si>
  <si>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</si>
  <si>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</si>
  <si>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</si>
  <si>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</si>
  <si>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</si>
  <si>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</si>
  <si>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</si>
  <si>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</si>
  <si>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</si>
  <si>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</si>
  <si>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</si>
  <si>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</si>
  <si>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</si>
  <si>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</si>
  <si>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</si>
  <si>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</si>
  <si>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</si>
  <si>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</si>
  <si>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</si>
  <si>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</si>
  <si>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</si>
  <si>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</si>
  <si>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</si>
  <si>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</si>
  <si>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</si>
  <si>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</si>
  <si>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</si>
  <si>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</si>
  <si>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</si>
  <si>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</si>
  <si>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</si>
  <si>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</si>
  <si>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</si>
  <si>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</si>
  <si>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</si>
  <si>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</si>
  <si>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</si>
  <si>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</si>
  <si>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</si>
  <si>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</si>
  <si>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</si>
  <si>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</si>
  <si>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</si>
  <si>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</si>
  <si>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</si>
  <si>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</si>
  <si>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</si>
  <si>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</si>
  <si>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</si>
  <si>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</si>
  <si>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</si>
  <si>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</si>
  <si>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</si>
  <si>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</si>
  <si>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</si>
  <si>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</si>
  <si>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</si>
  <si>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</si>
  <si>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</si>
  <si>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</si>
  <si>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</si>
  <si>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</si>
  <si>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</si>
  <si>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</si>
  <si>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</si>
  <si>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</si>
  <si>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</si>
  <si>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</si>
  <si>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</si>
  <si>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</si>
  <si>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</si>
  <si>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</si>
  <si>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</si>
  <si>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</si>
  <si>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</si>
  <si>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</si>
  <si>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</si>
  <si>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</si>
  <si>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</si>
  <si>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</si>
  <si>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</si>
  <si>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</si>
  <si>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</si>
  <si>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</si>
  <si>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</si>
  <si>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</si>
  <si>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</si>
  <si>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</si>
  <si>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</si>
  <si>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</si>
  <si>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</si>
  <si>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</si>
  <si>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</si>
  <si>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</si>
  <si>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</si>
  <si>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</si>
  <si>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</si>
  <si>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</si>
  <si>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</si>
  <si>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</si>
  <si>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</si>
  <si>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</si>
  <si>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</si>
  <si>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</si>
  <si>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</si>
  <si>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</si>
  <si>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</si>
  <si>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</si>
  <si>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</si>
  <si>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</si>
  <si>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</si>
  <si>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</si>
  <si>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</si>
  <si>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</si>
  <si>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</si>
  <si>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</si>
  <si>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</si>
  <si>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</si>
  <si>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</si>
  <si>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</si>
  <si>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</si>
  <si>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</si>
  <si>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</si>
  <si>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</si>
  <si>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</si>
  <si>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</si>
  <si>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</si>
  <si>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</si>
  <si>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</si>
  <si>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</si>
  <si>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</si>
  <si>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</si>
  <si>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</si>
  <si>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</si>
  <si>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</si>
  <si>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</si>
  <si>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</si>
  <si>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</si>
  <si>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</si>
  <si>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</si>
  <si>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</si>
  <si>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</si>
  <si>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</si>
  <si>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</si>
  <si>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</si>
  <si>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</si>
  <si>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</si>
  <si>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</si>
  <si>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</si>
  <si>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</si>
  <si>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</si>
  <si>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</si>
  <si>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</si>
  <si>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</si>
  <si>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</si>
  <si>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</si>
  <si>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</si>
  <si>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</si>
  <si>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</si>
  <si>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</si>
  <si>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</si>
  <si>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</si>
  <si>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</si>
  <si>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</si>
  <si>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</si>
  <si>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</si>
  <si>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</si>
  <si>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</si>
  <si>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</si>
  <si>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</si>
  <si>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</si>
  <si>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</si>
  <si>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</si>
  <si>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</si>
  <si>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</si>
  <si>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</si>
  <si>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</si>
  <si>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</si>
  <si>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</si>
  <si>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</si>
  <si>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</si>
  <si>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</si>
  <si>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</si>
  <si>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</si>
  <si>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</si>
  <si>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</si>
  <si>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</si>
  <si>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</si>
  <si>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</si>
  <si>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</si>
  <si>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</si>
  <si>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</si>
  <si>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</si>
  <si>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</si>
  <si>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</si>
  <si>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</si>
  <si>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</si>
  <si>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</si>
  <si>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</si>
  <si>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</si>
  <si>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</si>
  <si>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</si>
  <si>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</si>
  <si>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</si>
  <si>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</si>
  <si>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</si>
  <si>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</si>
  <si>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</si>
  <si>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</si>
  <si>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</si>
  <si>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</si>
  <si>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</si>
  <si>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</si>
  <si>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</si>
  <si>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</si>
  <si>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</si>
  <si>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</si>
  <si>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</si>
  <si>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</si>
  <si>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</si>
  <si>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</si>
  <si>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</si>
  <si>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</si>
  <si>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</si>
  <si>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</si>
  <si>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</si>
  <si>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</si>
  <si>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</si>
  <si>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</si>
  <si>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</si>
  <si>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</si>
  <si>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</si>
  <si>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</si>
  <si>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</si>
  <si>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</si>
  <si>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</si>
  <si>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</si>
  <si>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</si>
  <si>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</si>
  <si>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</si>
  <si>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</si>
  <si>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</si>
  <si>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</si>
  <si>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</si>
  <si>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</si>
  <si>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</si>
  <si>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</si>
  <si>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</si>
  <si>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</si>
  <si>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</si>
  <si>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</si>
  <si>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</si>
  <si>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</si>
  <si>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</si>
  <si>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</si>
  <si>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</si>
  <si>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</si>
  <si>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</si>
  <si>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</si>
  <si>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</si>
  <si>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</si>
  <si>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</si>
  <si>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</si>
  <si>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</si>
  <si>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</si>
  <si>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</si>
  <si>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</si>
  <si>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</si>
  <si>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</si>
  <si>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</si>
  <si>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</si>
  <si>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</si>
  <si>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</si>
  <si>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</si>
  <si>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</si>
  <si>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</si>
  <si>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</si>
  <si>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</si>
  <si>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</si>
  <si>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</si>
  <si>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</si>
  <si>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</si>
  <si>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</si>
  <si>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</si>
  <si>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</si>
  <si>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</si>
  <si>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</si>
  <si>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</si>
  <si>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</si>
  <si>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</si>
  <si>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</si>
  <si>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</si>
  <si>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</si>
  <si>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</si>
  <si>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</si>
  <si>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</si>
  <si>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</si>
  <si>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</si>
  <si>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</si>
  <si>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</si>
  <si>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</si>
  <si>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</si>
  <si>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</si>
  <si>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</si>
  <si>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</si>
  <si>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</si>
  <si>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</si>
  <si>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</si>
  <si>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</si>
  <si>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</si>
  <si>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</si>
  <si>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</si>
  <si>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</si>
  <si>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</si>
  <si>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</si>
  <si>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</si>
  <si>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</si>
  <si>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</si>
  <si>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</si>
  <si>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</si>
  <si>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</si>
  <si>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</si>
  <si>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</si>
  <si>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</si>
  <si>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</si>
  <si>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</si>
  <si>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</si>
  <si>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</si>
  <si>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</si>
  <si>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</si>
  <si>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</si>
  <si>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</si>
  <si>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</si>
  <si>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</si>
  <si>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</si>
  <si>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</si>
  <si>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</si>
  <si>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</si>
  <si>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</si>
  <si>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</si>
  <si>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</si>
  <si>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</si>
  <si>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</si>
  <si>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</si>
  <si>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</si>
  <si>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</si>
  <si>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</si>
  <si>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</si>
  <si>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</si>
  <si>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</si>
  <si>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</si>
  <si>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</si>
  <si>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</si>
  <si>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</si>
  <si>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</si>
  <si>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</si>
  <si>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</si>
  <si>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</si>
  <si>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</si>
  <si>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</si>
  <si>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</si>
  <si>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</si>
  <si>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</si>
  <si>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</si>
  <si>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</si>
  <si>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</si>
  <si>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</si>
  <si>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</si>
  <si>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</si>
  <si>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</si>
  <si>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</si>
  <si>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</si>
  <si>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</si>
  <si>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</si>
  <si>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</si>
  <si>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</si>
  <si>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</si>
  <si>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</si>
  <si>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</si>
  <si>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</si>
  <si>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</si>
  <si>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</si>
  <si>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</si>
  <si>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</si>
  <si>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</si>
  <si>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</si>
  <si>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</si>
  <si>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</si>
  <si>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</si>
  <si>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</si>
  <si>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</si>
  <si>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</si>
  <si>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</si>
  <si>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</si>
  <si>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</si>
  <si>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</si>
  <si>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</si>
  <si>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</si>
  <si>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</si>
  <si>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</si>
  <si>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</si>
  <si>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</si>
  <si>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</si>
  <si>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</si>
  <si>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</si>
  <si>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</si>
  <si>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</si>
  <si>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</si>
  <si>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</si>
  <si>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</si>
  <si>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</si>
  <si>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</si>
  <si>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</si>
  <si>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</si>
  <si>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</si>
  <si>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</si>
  <si>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</si>
  <si>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</si>
  <si>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</si>
  <si>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</si>
  <si>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</si>
  <si>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</si>
  <si>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</si>
  <si>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</si>
  <si>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</si>
  <si>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</si>
  <si>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</si>
  <si>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</si>
  <si>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</si>
  <si>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</si>
  <si>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</si>
  <si>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</si>
  <si>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</si>
  <si>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</si>
  <si>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</si>
  <si>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</si>
  <si>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</si>
  <si>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</si>
  <si>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</si>
  <si>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</si>
  <si>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</si>
  <si>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</si>
  <si>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</si>
  <si>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</si>
  <si>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</si>
  <si>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</si>
  <si>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</si>
  <si>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</si>
  <si>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</si>
  <si>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</si>
  <si>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</si>
  <si>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</si>
  <si>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</si>
  <si>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</si>
  <si>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</si>
  <si>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</si>
  <si>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</si>
  <si>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</si>
  <si>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</si>
  <si>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</si>
  <si>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</si>
  <si>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</si>
  <si>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</si>
  <si>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</si>
  <si>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</si>
  <si>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</si>
  <si>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</si>
  <si>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</si>
  <si>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</si>
  <si>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</si>
  <si>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</si>
  <si>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</si>
  <si>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</si>
  <si>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</si>
  <si>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</si>
  <si>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</si>
  <si>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</si>
  <si>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</si>
  <si>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</si>
  <si>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</si>
  <si>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</si>
  <si>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</si>
  <si>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</si>
  <si>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</si>
  <si>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</si>
  <si>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</si>
  <si>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</si>
  <si>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</si>
  <si>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</si>
  <si>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</si>
  <si>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</si>
  <si>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</si>
  <si>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</si>
  <si>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</si>
  <si>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</si>
  <si>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</si>
  <si>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</si>
  <si>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</si>
  <si>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</si>
  <si>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</si>
  <si>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</si>
  <si>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</si>
  <si>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</si>
  <si>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</si>
  <si>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</si>
  <si>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</si>
  <si>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</si>
  <si>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</si>
  <si>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</si>
  <si>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</si>
  <si>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</si>
  <si>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</si>
  <si>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</si>
  <si>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</si>
  <si>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</si>
  <si>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</si>
  <si>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</si>
  <si>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</si>
  <si>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</si>
  <si>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</si>
  <si>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</si>
  <si>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</si>
  <si>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</si>
  <si>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</si>
  <si>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</si>
  <si>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</si>
  <si>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</si>
  <si>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</si>
  <si>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</si>
  <si>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</si>
  <si>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</si>
  <si>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</si>
  <si>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</si>
  <si>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</si>
  <si>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</si>
  <si>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</si>
  <si>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</si>
  <si>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</si>
  <si>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</si>
  <si>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</si>
  <si>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</si>
  <si>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</si>
  <si>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</si>
  <si>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</si>
  <si>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</si>
  <si>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</si>
  <si>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</si>
  <si>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</si>
  <si>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</si>
  <si>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</si>
  <si>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</si>
  <si>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</si>
  <si>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</si>
  <si>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</si>
  <si>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</si>
  <si>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</si>
  <si>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</si>
  <si>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</si>
  <si>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</si>
  <si>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</si>
  <si>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</si>
  <si>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</si>
  <si>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</si>
  <si>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</si>
  <si>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</si>
  <si>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</si>
  <si>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</si>
  <si>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</si>
  <si>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</si>
  <si>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</si>
  <si>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</si>
  <si>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</si>
  <si>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</si>
  <si>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</si>
  <si>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</si>
  <si>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</si>
  <si>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</si>
  <si>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</si>
  <si>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</si>
  <si>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</si>
  <si>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</si>
  <si>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</si>
  <si>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</si>
  <si>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</si>
  <si>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</si>
  <si>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</si>
  <si>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</si>
  <si>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</si>
  <si>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</si>
  <si>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</si>
  <si>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</si>
  <si>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</si>
  <si>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</si>
  <si>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</si>
  <si>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</si>
  <si>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</si>
  <si>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</si>
  <si>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</si>
  <si>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</si>
  <si>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</si>
  <si>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</si>
  <si>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</si>
  <si>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</si>
  <si>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</si>
  <si>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</si>
  <si>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</si>
  <si>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</si>
  <si>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</si>
  <si>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</si>
  <si>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</si>
  <si>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</si>
  <si>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</si>
  <si>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</si>
  <si>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</si>
  <si>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</si>
  <si>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</si>
  <si>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</si>
  <si>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</si>
  <si>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</si>
  <si>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</si>
  <si>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</si>
  <si>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</si>
  <si>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</si>
  <si>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</si>
  <si>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</si>
  <si>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</si>
  <si>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</si>
  <si>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</si>
  <si>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</si>
  <si>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</si>
  <si>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</si>
  <si>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</si>
  <si>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</si>
  <si>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</si>
  <si>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</si>
  <si>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</si>
  <si>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</si>
  <si>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</si>
  <si>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</si>
  <si>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</si>
  <si>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</si>
  <si>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</si>
  <si>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</si>
  <si>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</si>
  <si>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</si>
  <si>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</si>
  <si>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</si>
  <si>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</si>
  <si>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</si>
  <si>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</si>
  <si>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</si>
  <si>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</si>
  <si>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</si>
  <si>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</si>
  <si>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</si>
  <si>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</si>
  <si>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</si>
  <si>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</si>
  <si>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</si>
  <si>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</si>
  <si>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</si>
  <si>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</si>
  <si>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</si>
  <si>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</si>
  <si>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</si>
  <si>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</si>
  <si>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</si>
  <si>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</si>
  <si>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</si>
  <si>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</si>
  <si>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</si>
  <si>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</si>
  <si>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</si>
  <si>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</si>
  <si>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</si>
  <si>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</si>
  <si>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</si>
  <si>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</si>
  <si>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</si>
  <si>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</si>
  <si>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</si>
  <si>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</si>
  <si>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</si>
  <si>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</si>
  <si>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</si>
  <si>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</si>
  <si>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</si>
  <si>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</si>
  <si>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</si>
  <si>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</si>
  <si>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</si>
  <si>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</si>
  <si>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</si>
  <si>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</si>
  <si>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</si>
  <si>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</si>
  <si>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</si>
  <si>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</si>
  <si>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</si>
  <si>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</si>
  <si>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</si>
  <si>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</si>
  <si>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</si>
  <si>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</si>
  <si>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</si>
  <si>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</si>
  <si>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</si>
  <si>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</si>
  <si>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</si>
  <si>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</si>
  <si>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</si>
  <si>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</si>
  <si>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</si>
  <si>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</si>
  <si>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</si>
  <si>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</si>
  <si>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</si>
  <si>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</si>
  <si>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</si>
  <si>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</si>
  <si>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</si>
  <si>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</si>
  <si>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</si>
  <si>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</si>
  <si>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</si>
  <si>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</si>
  <si>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</si>
  <si>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</si>
  <si>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</si>
  <si>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</si>
  <si>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</si>
  <si>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</si>
  <si>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</si>
  <si>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</si>
  <si>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</si>
  <si>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</si>
  <si>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</si>
  <si>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</si>
  <si>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</si>
  <si>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</si>
  <si>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</si>
  <si>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</si>
  <si>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</si>
  <si>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</si>
  <si>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</si>
  <si>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</si>
  <si>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</si>
  <si>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</si>
  <si>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</si>
  <si>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</si>
  <si>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</si>
  <si>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</si>
  <si>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</si>
  <si>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</si>
  <si>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</si>
  <si>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</si>
  <si>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</si>
  <si>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</si>
  <si>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</si>
  <si>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</si>
  <si>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</si>
  <si>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</si>
  <si>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</si>
  <si>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</si>
  <si>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</si>
  <si>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</si>
  <si>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</si>
  <si>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</si>
  <si>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</si>
  <si>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</si>
  <si>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</si>
  <si>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</si>
  <si>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</si>
  <si>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</si>
  <si>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</si>
  <si>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</si>
  <si>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</si>
  <si>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</si>
  <si>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</si>
  <si>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</si>
  <si>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</si>
  <si>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</si>
  <si>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</si>
  <si>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</si>
  <si>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</si>
  <si>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</si>
  <si>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</si>
  <si>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</si>
  <si>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</si>
  <si>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</si>
  <si>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</si>
  <si>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</si>
  <si>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</si>
  <si>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</si>
  <si>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</si>
  <si>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</si>
  <si>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</si>
  <si>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</si>
  <si>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</si>
  <si>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</si>
  <si>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</si>
  <si>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</si>
  <si>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</si>
  <si>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</si>
  <si>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</si>
  <si>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</si>
  <si>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</si>
  <si>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</si>
  <si>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</si>
  <si>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</si>
  <si>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</si>
  <si>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</si>
  <si>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</si>
  <si>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</si>
  <si>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</si>
  <si>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</si>
  <si>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</si>
  <si>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</si>
  <si>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</si>
  <si>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</si>
  <si>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</si>
  <si>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</si>
  <si>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</si>
  <si>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</si>
  <si>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</si>
  <si>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</si>
  <si>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</si>
  <si>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</si>
  <si>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</si>
  <si>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</si>
  <si>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</si>
  <si>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</si>
  <si>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</si>
  <si>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</si>
  <si>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</si>
  <si>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</si>
  <si>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</si>
  <si>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</si>
  <si>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</si>
  <si>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</si>
  <si>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</si>
  <si>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</si>
  <si>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</si>
  <si>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</si>
  <si>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</si>
  <si>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</si>
  <si>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</si>
  <si>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</si>
  <si>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</si>
  <si>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</si>
  <si>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</si>
  <si>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</si>
  <si>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</si>
  <si>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</si>
  <si>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</si>
  <si>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</si>
  <si>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</si>
  <si>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</si>
  <si>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</si>
  <si>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</si>
  <si>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</si>
  <si>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</si>
  <si>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</si>
  <si>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</si>
  <si>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</si>
  <si>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</si>
  <si>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</si>
  <si>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</si>
  <si>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</si>
  <si>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</si>
  <si>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</si>
  <si>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</si>
  <si>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</si>
  <si>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</si>
  <si>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</si>
  <si>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</si>
  <si>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</si>
  <si>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</si>
  <si>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</si>
  <si>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</si>
  <si>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</si>
  <si>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</si>
  <si>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</si>
  <si>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</si>
  <si>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</si>
  <si>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</si>
  <si>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</si>
  <si>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</si>
  <si>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</si>
  <si>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</si>
  <si>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</si>
  <si>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</si>
  <si>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</si>
  <si>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</si>
  <si>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</si>
  <si>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</si>
  <si>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</si>
  <si>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</si>
  <si>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</si>
  <si>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</si>
  <si>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</si>
  <si>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</si>
  <si>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</si>
  <si>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</si>
  <si>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</si>
  <si>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</si>
  <si>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</si>
  <si>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</si>
  <si>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</si>
  <si>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</si>
  <si>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</si>
  <si>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</si>
  <si>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</si>
  <si>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</si>
  <si>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</si>
  <si>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</si>
  <si>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</si>
  <si>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</si>
  <si>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</si>
  <si>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</si>
  <si>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</si>
  <si>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</si>
  <si>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</si>
  <si>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</si>
  <si>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</si>
  <si>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</si>
  <si>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</si>
  <si>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</si>
  <si>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</si>
  <si>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</si>
  <si>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</si>
  <si>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</si>
  <si>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</si>
  <si>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</si>
  <si>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</si>
  <si>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</si>
  <si>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</si>
  <si>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</si>
  <si>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</si>
  <si>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</si>
  <si>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</si>
  <si>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</si>
  <si>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</si>
  <si>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</si>
  <si>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</si>
  <si>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</si>
  <si>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</si>
  <si>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</si>
  <si>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</si>
  <si>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</si>
  <si>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</si>
  <si>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</si>
  <si>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</si>
  <si>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</si>
  <si>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</si>
  <si>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</si>
  <si>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</si>
  <si>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</si>
  <si>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</si>
  <si>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</si>
  <si>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</si>
  <si>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</si>
  <si>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</si>
  <si>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</si>
  <si>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</si>
  <si>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</si>
  <si>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</si>
  <si>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</si>
  <si>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</si>
  <si>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</si>
  <si>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</si>
  <si>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</si>
  <si>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</si>
  <si>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</si>
  <si>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</si>
  <si>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</si>
  <si>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</si>
  <si>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</si>
  <si>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</si>
  <si>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</si>
  <si>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</si>
  <si>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</si>
  <si>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</si>
  <si>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</si>
  <si>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</si>
  <si>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</si>
  <si>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</si>
  <si>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</si>
  <si>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</si>
  <si>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</si>
  <si>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</si>
  <si>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</si>
  <si>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</si>
  <si>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</si>
  <si>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</si>
  <si>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</si>
  <si>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</si>
  <si>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</si>
  <si>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</si>
  <si>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</si>
  <si>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</si>
  <si>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</si>
  <si>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</si>
  <si>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</si>
  <si>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</si>
  <si>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</si>
  <si>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</si>
  <si>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</si>
  <si>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</si>
  <si>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</si>
  <si>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</si>
  <si>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</si>
  <si>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</si>
  <si>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</si>
  <si>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</si>
  <si>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</si>
  <si>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</si>
  <si>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</si>
  <si>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</si>
  <si>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</si>
  <si>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</si>
  <si>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</si>
  <si>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</si>
  <si>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</si>
  <si>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</si>
  <si>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</si>
  <si>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</si>
  <si>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</si>
  <si>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</si>
  <si>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</si>
  <si>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</si>
  <si>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</si>
  <si>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</si>
  <si>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</si>
  <si>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</si>
  <si>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</si>
  <si>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</si>
  <si>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</si>
  <si>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</si>
  <si>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</si>
  <si>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</si>
  <si>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</si>
  <si>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</si>
  <si>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</si>
  <si>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</si>
  <si>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</si>
  <si>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</si>
  <si>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</si>
  <si>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</si>
  <si>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</si>
  <si>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</si>
  <si>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</si>
  <si>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</si>
  <si>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</si>
  <si>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</si>
  <si>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</si>
  <si>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</si>
  <si>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</si>
  <si>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</si>
  <si>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</si>
  <si>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</si>
  <si>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</si>
  <si>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</si>
  <si>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</si>
  <si>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</si>
  <si>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</si>
  <si>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</si>
  <si>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</si>
  <si>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</si>
  <si>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</si>
  <si>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</si>
  <si>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</si>
  <si>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</si>
  <si>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</si>
  <si>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</si>
  <si>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</si>
  <si>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</si>
  <si>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</si>
  <si>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</si>
  <si>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</si>
  <si>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</si>
  <si>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</si>
  <si>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</si>
  <si>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</si>
  <si>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</si>
  <si>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</si>
  <si>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</si>
  <si>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</si>
  <si>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</si>
  <si>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</si>
  <si>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</si>
  <si>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</si>
  <si>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</si>
  <si>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</si>
  <si>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</si>
  <si>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</si>
  <si>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</si>
  <si>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</si>
  <si>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</si>
  <si>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</si>
  <si>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</si>
  <si>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</si>
  <si>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</si>
  <si>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</si>
  <si>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</si>
  <si>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</si>
  <si>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</si>
  <si>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</si>
  <si>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</si>
  <si>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</si>
  <si>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</si>
  <si>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</si>
  <si>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</si>
  <si>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</si>
  <si>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</si>
  <si>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</si>
  <si>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</si>
  <si>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</si>
  <si>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</si>
  <si>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</si>
  <si>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</si>
  <si>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</si>
  <si>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</si>
  <si>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</si>
  <si>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</si>
  <si>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</si>
  <si>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</si>
  <si>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</si>
  <si>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</si>
  <si>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</si>
  <si>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</si>
  <si>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</si>
  <si>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</si>
  <si>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</si>
  <si>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</si>
  <si>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</si>
  <si>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</si>
  <si>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</si>
  <si>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</si>
  <si>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</si>
  <si>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</si>
  <si>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</si>
  <si>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</si>
  <si>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</si>
  <si>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</si>
  <si>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</si>
  <si>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</si>
  <si>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</si>
  <si>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</si>
  <si>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</si>
  <si>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</si>
  <si>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</si>
  <si>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</si>
  <si>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</si>
  <si>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</si>
  <si>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</si>
  <si>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</si>
  <si>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</si>
  <si>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</si>
  <si>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</si>
  <si>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</si>
  <si>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</si>
  <si>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</si>
  <si>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</si>
  <si>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</si>
  <si>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</si>
  <si>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</si>
  <si>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</si>
  <si>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</si>
  <si>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</si>
  <si>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</si>
  <si>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</si>
  <si>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</si>
  <si>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</si>
  <si>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</si>
  <si>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</si>
  <si>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</si>
  <si>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</si>
  <si>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</si>
  <si>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</si>
  <si>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</si>
  <si>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</si>
  <si>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</si>
  <si>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</si>
  <si>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</si>
  <si>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</si>
  <si>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</si>
  <si>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</si>
  <si>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</si>
  <si>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</si>
  <si>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</si>
  <si>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</si>
  <si>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</si>
  <si>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</si>
  <si>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</si>
  <si>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</si>
  <si>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</si>
  <si>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</si>
  <si>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</si>
  <si>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</si>
  <si>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</si>
  <si>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</si>
  <si>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</si>
  <si>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</si>
  <si>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</si>
  <si>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</si>
  <si>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</si>
  <si>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</si>
  <si>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</si>
  <si>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</si>
  <si>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</si>
  <si>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</si>
  <si>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</si>
  <si>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</si>
  <si>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</si>
  <si>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</si>
  <si>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</si>
  <si>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</si>
  <si>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</si>
  <si>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</si>
  <si>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</si>
  <si>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</si>
  <si>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</si>
  <si>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</si>
  <si>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</si>
  <si>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</si>
  <si>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</si>
  <si>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</si>
  <si>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</si>
  <si>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</si>
  <si>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</si>
  <si>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</si>
  <si>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</si>
  <si>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</si>
  <si>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</si>
  <si>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</si>
  <si>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</si>
  <si>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</si>
  <si>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</si>
  <si>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</si>
  <si>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</si>
  <si>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</si>
  <si>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</si>
  <si>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</si>
  <si>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</si>
  <si>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</si>
  <si>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</si>
  <si>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</si>
  <si>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</si>
  <si>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</si>
  <si>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</si>
  <si>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</si>
  <si>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</si>
  <si>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</si>
  <si>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</si>
  <si>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</si>
  <si>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</si>
  <si>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</si>
  <si>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</si>
  <si>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</si>
  <si>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</si>
  <si>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</si>
  <si>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</si>
  <si>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</si>
  <si>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</si>
  <si>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</si>
  <si>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</si>
  <si>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</si>
  <si>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</si>
  <si>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</si>
  <si>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</si>
  <si>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</si>
  <si>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</si>
  <si>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</si>
  <si>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</si>
  <si>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</si>
  <si>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</si>
  <si>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</si>
  <si>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</si>
  <si>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</si>
  <si>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</si>
  <si>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</si>
  <si>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</si>
  <si>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</si>
  <si>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</si>
  <si>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</si>
  <si>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</si>
  <si>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</si>
  <si>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</si>
  <si>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</si>
  <si>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</si>
  <si>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</si>
  <si>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</si>
  <si>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</si>
  <si>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</si>
  <si>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</si>
  <si>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</si>
  <si>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</si>
  <si>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</si>
  <si>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</si>
  <si>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</si>
  <si>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</si>
  <si>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</si>
  <si>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</si>
  <si>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</si>
  <si>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</si>
  <si>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</si>
  <si>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</si>
  <si>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</si>
  <si>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</si>
  <si>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</si>
  <si>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</si>
  <si>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</si>
  <si>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</si>
  <si>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</si>
  <si>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</si>
  <si>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</si>
  <si>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</si>
  <si>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</si>
  <si>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</si>
  <si>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</si>
  <si>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</si>
  <si>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</si>
  <si>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</si>
  <si>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</si>
  <si>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</si>
  <si>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</si>
  <si>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</si>
  <si>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</si>
  <si>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</si>
  <si>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</si>
  <si>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</si>
  <si>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</si>
  <si>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</si>
  <si>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</si>
  <si>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</si>
  <si>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</si>
  <si>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</si>
  <si>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</si>
  <si>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</si>
  <si>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</si>
  <si>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</si>
  <si>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</si>
  <si>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</si>
  <si>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</si>
  <si>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</si>
  <si>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</si>
  <si>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</si>
  <si>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</si>
  <si>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</si>
  <si>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</si>
  <si>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</si>
  <si>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</si>
  <si>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</si>
  <si>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</si>
  <si>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</si>
  <si>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</si>
  <si>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</si>
  <si>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</si>
  <si>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</si>
  <si>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</si>
  <si>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</si>
  <si>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</si>
  <si>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</si>
  <si>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</si>
  <si>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</si>
  <si>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</si>
  <si>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</si>
  <si>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</si>
  <si>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</si>
  <si>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</si>
  <si>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</si>
  <si>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</si>
  <si>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</si>
  <si>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</si>
  <si>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</si>
  <si>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</si>
  <si>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</si>
  <si>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</si>
  <si>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</si>
  <si>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</si>
  <si>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</si>
  <si>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</si>
  <si>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</si>
  <si>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</si>
  <si>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</si>
  <si>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</si>
  <si>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</si>
  <si>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</si>
  <si>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</si>
  <si>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</si>
  <si>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</si>
  <si>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</si>
  <si>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</si>
  <si>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</si>
  <si>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</si>
  <si>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</si>
  <si>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</si>
  <si>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</si>
  <si>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</si>
  <si>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</si>
  <si>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</si>
  <si>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</si>
  <si>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</si>
  <si>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</si>
  <si>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</si>
  <si>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</si>
  <si>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</si>
  <si>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</si>
  <si>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</si>
  <si>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</si>
  <si>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</si>
  <si>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</si>
  <si>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</si>
  <si>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</si>
  <si>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</si>
  <si>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</si>
  <si>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</si>
  <si>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</si>
  <si>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</si>
  <si>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</si>
  <si>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</si>
  <si>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</si>
  <si>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</si>
  <si>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</si>
  <si>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</si>
  <si>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</si>
  <si>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</si>
  <si>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</si>
  <si>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</si>
  <si>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</si>
  <si>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</si>
  <si>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</si>
  <si>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</si>
  <si>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</si>
  <si>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</si>
  <si>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</si>
  <si>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</si>
  <si>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</si>
  <si>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</si>
  <si>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</si>
  <si>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</si>
  <si>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</si>
  <si>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</si>
  <si>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</si>
  <si>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</si>
  <si>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</si>
  <si>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</si>
  <si>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</si>
  <si>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</si>
  <si>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</si>
  <si>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</si>
  <si>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</si>
  <si>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</si>
  <si>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</si>
  <si>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</si>
  <si>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</si>
  <si>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</si>
  <si>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</si>
  <si>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</si>
  <si>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</si>
  <si>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</si>
  <si>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</si>
  <si>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</si>
  <si>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</si>
  <si>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</si>
  <si>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</si>
  <si>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</si>
  <si>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</si>
  <si>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</si>
  <si>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</si>
  <si>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</si>
  <si>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</si>
  <si>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</si>
  <si>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</si>
  <si>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</si>
  <si>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</si>
  <si>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</si>
  <si>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</si>
  <si>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</si>
  <si>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</si>
  <si>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</si>
  <si>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</si>
  <si>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</si>
  <si>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</si>
  <si>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</si>
  <si>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</si>
  <si>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</si>
  <si>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</si>
  <si>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</si>
  <si>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</si>
  <si>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</si>
  <si>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</si>
  <si>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</si>
  <si>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</si>
  <si>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</si>
  <si>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</si>
  <si>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</si>
  <si>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</si>
  <si>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</si>
  <si>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</si>
  <si>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</si>
  <si>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</si>
  <si>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</si>
  <si>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</si>
  <si>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</si>
  <si>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</si>
  <si>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</si>
  <si>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</si>
  <si>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</si>
  <si>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</si>
  <si>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</si>
  <si>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</si>
  <si>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</si>
  <si>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</si>
  <si>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</si>
  <si>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</si>
  <si>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</si>
  <si>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</si>
  <si>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</si>
  <si>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</si>
  <si>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</si>
  <si>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</si>
  <si>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</si>
  <si>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</si>
  <si>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</si>
  <si>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</si>
  <si>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</si>
  <si>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</si>
  <si>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</si>
  <si>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</si>
  <si>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</si>
  <si>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</si>
  <si>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</si>
  <si>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</si>
  <si>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</si>
  <si>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</si>
  <si>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</si>
  <si>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</si>
  <si>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</si>
  <si>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</si>
  <si>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</si>
  <si>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</si>
  <si>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</si>
  <si>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</si>
  <si>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</si>
  <si>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</si>
  <si>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</si>
  <si>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</si>
  <si>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</si>
  <si>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</si>
  <si>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</si>
  <si>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</si>
  <si>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</si>
  <si>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</si>
  <si>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</si>
  <si>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</si>
  <si>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</si>
  <si>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</si>
  <si>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</si>
  <si>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</si>
  <si>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</si>
  <si>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</si>
  <si>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</si>
  <si>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</si>
  <si>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</si>
  <si>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</si>
  <si>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</si>
  <si>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</si>
  <si>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</si>
  <si>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</si>
  <si>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</si>
  <si>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</si>
  <si>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</si>
  <si>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</si>
  <si>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</si>
  <si>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</si>
  <si>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</si>
  <si>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</si>
  <si>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</si>
  <si>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</si>
  <si>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</si>
  <si>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</si>
  <si>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</si>
  <si>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</si>
  <si>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</si>
  <si>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</si>
  <si>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</si>
  <si>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</si>
  <si>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</si>
  <si>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</si>
  <si>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</si>
  <si>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</si>
  <si>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</si>
  <si>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</si>
  <si>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</si>
  <si>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</si>
  <si>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</si>
  <si>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</si>
  <si>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</si>
  <si>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</si>
  <si>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</si>
  <si>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</si>
  <si>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</si>
  <si>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</si>
  <si>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</si>
  <si>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</si>
  <si>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</si>
  <si>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</si>
  <si>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</si>
  <si>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</si>
  <si>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</si>
  <si>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</si>
  <si>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</si>
  <si>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</si>
  <si>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</si>
  <si>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</si>
  <si>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</si>
  <si>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</si>
  <si>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</si>
  <si>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</si>
  <si>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</si>
  <si>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</si>
  <si>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</si>
  <si>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</si>
  <si>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</si>
  <si>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</si>
  <si>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</si>
  <si>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</si>
  <si>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</si>
  <si>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</si>
  <si>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</si>
  <si>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</si>
  <si>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</si>
  <si>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</si>
  <si>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</si>
  <si>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</si>
  <si>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</si>
  <si>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</si>
  <si>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</si>
  <si>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</si>
  <si>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</si>
  <si>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</si>
  <si>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</si>
  <si>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</si>
  <si>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</si>
  <si>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</si>
  <si>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</si>
  <si>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</si>
  <si>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</si>
  <si>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</si>
  <si>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</si>
  <si>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</si>
  <si>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</si>
  <si>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</si>
  <si>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</si>
  <si>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</si>
  <si>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</si>
  <si>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</si>
  <si>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</si>
  <si>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</si>
  <si>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</si>
  <si>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</si>
  <si>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</si>
  <si>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</si>
  <si>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</si>
  <si>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</si>
  <si>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</si>
  <si>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</si>
  <si>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</si>
  <si>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</si>
  <si>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</si>
  <si>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</si>
  <si>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</si>
  <si>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</si>
  <si>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</si>
  <si>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</si>
  <si>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</si>
  <si>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</si>
  <si>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</si>
  <si>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</si>
  <si>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</si>
  <si>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</si>
  <si>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</si>
  <si>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</si>
  <si>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</si>
  <si>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</si>
  <si>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</si>
  <si>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</si>
  <si>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</si>
  <si>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</si>
  <si>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</si>
  <si>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</si>
  <si>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</si>
  <si>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</si>
  <si>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</si>
  <si>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</si>
  <si>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</si>
  <si>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</si>
  <si>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</si>
  <si>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</si>
  <si>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</si>
  <si>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</si>
  <si>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</si>
  <si>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</si>
  <si>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</si>
  <si>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</si>
  <si>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</si>
  <si>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</si>
  <si>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</si>
  <si>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</si>
  <si>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</si>
  <si>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</si>
  <si>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</si>
  <si>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</si>
  <si>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</si>
  <si>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</si>
  <si>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</si>
  <si>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</si>
  <si>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</si>
  <si>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</si>
  <si>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</si>
  <si>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</si>
  <si>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</si>
  <si>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</si>
  <si>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</si>
  <si>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</si>
  <si>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</si>
  <si>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</si>
  <si>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</si>
  <si>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</si>
  <si>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</si>
  <si>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</si>
  <si>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</si>
  <si>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</si>
  <si>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</si>
  <si>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</si>
  <si>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</si>
  <si>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</si>
  <si>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</si>
  <si>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</si>
  <si>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</si>
  <si>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</si>
  <si>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</si>
  <si>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</si>
  <si>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</si>
  <si>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</si>
  <si>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</si>
  <si>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</si>
  <si>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</si>
  <si>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</si>
  <si>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</si>
  <si>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</si>
  <si>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</si>
  <si>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</si>
  <si>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</si>
  <si>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</si>
  <si>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</si>
  <si>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</si>
  <si>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</si>
  <si>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</si>
  <si>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</si>
  <si>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</si>
  <si>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</si>
  <si>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</si>
  <si>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</si>
  <si>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</si>
  <si>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</si>
  <si>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</si>
  <si>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</si>
  <si>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</si>
  <si>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</si>
  <si>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</si>
  <si>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</si>
  <si>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</si>
  <si>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</si>
  <si>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</si>
  <si>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</si>
  <si>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</si>
  <si>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</si>
  <si>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</si>
  <si>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</si>
  <si>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</si>
  <si>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</si>
  <si>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</si>
  <si>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</si>
  <si>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</si>
  <si>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</si>
  <si>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</si>
  <si>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</si>
  <si>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</si>
  <si>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</si>
  <si>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</si>
  <si>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</si>
  <si>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</si>
  <si>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</si>
  <si>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</si>
  <si>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</si>
  <si>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</si>
  <si>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</si>
  <si>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</si>
  <si>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</si>
  <si>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</si>
  <si>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</si>
  <si>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</si>
  <si>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</si>
  <si>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</si>
  <si>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</si>
  <si>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</si>
  <si>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</si>
  <si>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</si>
  <si>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</si>
  <si>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</si>
  <si>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</si>
  <si>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</si>
  <si>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</si>
  <si>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</si>
  <si>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</si>
  <si>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</si>
  <si>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</si>
  <si>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</si>
  <si>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</si>
  <si>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</si>
  <si>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</si>
  <si>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</si>
  <si>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</si>
  <si>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</si>
  <si>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</si>
  <si>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</si>
  <si>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</si>
  <si>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</si>
  <si>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</si>
  <si>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</si>
  <si>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</si>
  <si>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</si>
  <si>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</si>
  <si>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</si>
  <si>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</si>
  <si>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</si>
  <si>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</si>
  <si>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</si>
  <si>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</si>
  <si>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</si>
  <si>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</si>
  <si>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</si>
  <si>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</si>
  <si>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</si>
  <si>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</si>
  <si>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</si>
  <si>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</si>
  <si>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</si>
  <si>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</si>
  <si>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</si>
  <si>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</si>
  <si>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</si>
  <si>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</si>
  <si>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</si>
  <si>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</si>
  <si>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</si>
  <si>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</si>
  <si>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</si>
  <si>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</si>
  <si>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</si>
  <si>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</si>
  <si>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</si>
  <si>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</si>
  <si>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</si>
  <si>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</si>
  <si>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</si>
  <si>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</si>
  <si>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</si>
  <si>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</si>
  <si>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</si>
  <si>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</si>
  <si>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</si>
  <si>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</si>
  <si>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</si>
  <si>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</si>
  <si>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</si>
  <si>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</si>
  <si>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</si>
  <si>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</si>
  <si>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</si>
  <si>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</si>
  <si>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</si>
  <si>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</si>
  <si>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</si>
  <si>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</si>
  <si>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</si>
  <si>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</si>
  <si>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</si>
  <si>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</si>
  <si>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</si>
  <si>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</si>
  <si>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</si>
  <si>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</si>
  <si>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</si>
  <si>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</si>
  <si>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</si>
  <si>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</si>
  <si>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</si>
  <si>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</si>
  <si>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</si>
  <si>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</si>
  <si>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</si>
  <si>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</si>
  <si>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</si>
  <si>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</si>
  <si>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</si>
  <si>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</si>
  <si>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</si>
  <si>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</si>
  <si>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</si>
  <si>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</si>
  <si>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</si>
  <si>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</si>
  <si>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</si>
  <si>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</si>
  <si>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</si>
  <si>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</si>
  <si>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</si>
  <si>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</si>
  <si>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</si>
  <si>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</si>
  <si>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</si>
  <si>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</si>
  <si>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</si>
  <si>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</si>
  <si>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</si>
  <si>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</si>
  <si>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</si>
  <si>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</si>
  <si>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</si>
  <si>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</si>
  <si>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</si>
  <si>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</si>
  <si>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</si>
  <si>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</si>
  <si>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</si>
  <si>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</si>
  <si>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</si>
  <si>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</si>
  <si>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</si>
  <si>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</si>
  <si>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</si>
  <si>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</si>
  <si>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</si>
  <si>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</si>
  <si>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</si>
  <si>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</si>
  <si>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</si>
  <si>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</si>
  <si>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</si>
  <si>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</si>
  <si>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</si>
  <si>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</si>
  <si>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</si>
  <si>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</si>
  <si>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</si>
  <si>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</si>
  <si>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</si>
  <si>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</si>
  <si>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</si>
  <si>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</si>
  <si>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</si>
  <si>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</si>
  <si>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</si>
  <si>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</si>
  <si>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</si>
  <si>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</si>
  <si>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</si>
  <si>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</si>
  <si>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</si>
  <si>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</si>
  <si>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</si>
  <si>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</si>
  <si>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</si>
  <si>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</si>
  <si>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</si>
  <si>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</si>
  <si>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</si>
  <si>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</si>
  <si>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</si>
  <si>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</si>
  <si>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</si>
  <si>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</si>
  <si>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</si>
  <si>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</si>
  <si>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</si>
  <si>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</si>
  <si>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</si>
  <si>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</si>
  <si>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</si>
  <si>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</si>
  <si>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</si>
  <si>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</si>
  <si>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</si>
  <si>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</si>
  <si>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</si>
  <si>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</si>
  <si>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</si>
  <si>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</si>
  <si>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</si>
  <si>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</si>
  <si>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</si>
  <si>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</si>
  <si>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</si>
  <si>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</si>
  <si>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</si>
  <si>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</si>
  <si>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</si>
  <si>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</si>
  <si>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</si>
  <si>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</si>
  <si>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</si>
  <si>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</si>
  <si>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</si>
  <si>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</si>
  <si>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</si>
  <si>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</si>
  <si>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</si>
  <si>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</si>
  <si>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</si>
  <si>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</si>
  <si>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</si>
  <si>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</si>
  <si>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</si>
  <si>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</si>
  <si>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</si>
  <si>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</si>
  <si>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</si>
  <si>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</si>
  <si>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</si>
  <si>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</si>
  <si>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</si>
  <si>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</si>
  <si>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</si>
  <si>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</si>
  <si>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</si>
  <si>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</si>
  <si>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</si>
  <si>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</si>
  <si>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</si>
  <si>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</si>
  <si>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</si>
  <si>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</si>
  <si>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</si>
  <si>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</si>
  <si>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</si>
  <si>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</si>
  <si>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</si>
  <si>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</si>
  <si>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</si>
  <si>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</si>
  <si>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</si>
  <si>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</si>
  <si>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</si>
  <si>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</si>
  <si>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</si>
  <si>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</si>
  <si>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</si>
  <si>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</si>
  <si>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</si>
  <si>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</si>
  <si>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</si>
  <si>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</si>
  <si>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</si>
  <si>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</si>
  <si>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</si>
  <si>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</si>
  <si>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</si>
  <si>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</si>
  <si>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</si>
  <si>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</si>
  <si>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</si>
  <si>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</si>
  <si>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</si>
  <si>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</si>
  <si>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</si>
  <si>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</si>
  <si>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</si>
  <si>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</si>
  <si>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</si>
  <si>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</si>
  <si>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</si>
  <si>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</si>
  <si>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</si>
  <si>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</si>
  <si>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</si>
  <si>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</si>
  <si>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</si>
  <si>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</si>
  <si>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</si>
  <si>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</si>
  <si>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</si>
  <si>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</si>
  <si>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</si>
  <si>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</si>
  <si>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</si>
  <si>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</si>
  <si>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</si>
  <si>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</si>
  <si>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</si>
  <si>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</si>
  <si>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</si>
  <si>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</si>
  <si>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</si>
  <si>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</si>
  <si>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</si>
  <si>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</si>
  <si>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</si>
  <si>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</si>
  <si>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</si>
  <si>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</si>
  <si>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</si>
  <si>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</si>
  <si>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</si>
  <si>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</si>
  <si>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</si>
  <si>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</si>
  <si>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</si>
  <si>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</si>
  <si>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</si>
  <si>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</si>
  <si>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</si>
  <si>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</si>
  <si>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</si>
  <si>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</si>
  <si>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</si>
  <si>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</si>
  <si>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</si>
  <si>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</si>
  <si>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</si>
  <si>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</si>
  <si>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</si>
  <si>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</si>
  <si>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</si>
  <si>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</si>
  <si>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</si>
  <si>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</si>
  <si>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</si>
  <si>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</si>
  <si>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</si>
  <si>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</si>
  <si>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</si>
  <si>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</si>
  <si>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</si>
  <si>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</si>
  <si>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</si>
  <si>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</si>
  <si>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</si>
  <si>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</si>
  <si>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</si>
  <si>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</si>
  <si>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</si>
  <si>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</si>
  <si>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</si>
  <si>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</si>
  <si>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</si>
  <si>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</si>
  <si>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</si>
  <si>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</si>
  <si>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</si>
  <si>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</si>
  <si>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</si>
  <si>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</si>
  <si>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</si>
  <si>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</si>
  <si>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</si>
  <si>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</si>
  <si>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</si>
  <si>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</si>
  <si>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</si>
  <si>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</si>
  <si>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</si>
  <si>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</si>
  <si>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</si>
  <si>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</si>
  <si>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</si>
  <si>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</si>
  <si>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</si>
  <si>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</si>
  <si>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</si>
  <si>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</si>
  <si>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</si>
  <si>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</si>
  <si>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</si>
  <si>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</si>
  <si>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</si>
  <si>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</si>
  <si>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</si>
  <si>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</si>
  <si>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</si>
  <si>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</si>
  <si>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</si>
  <si>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</si>
  <si>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</si>
  <si>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</si>
  <si>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</si>
  <si>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</si>
  <si>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</si>
  <si>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</si>
  <si>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</si>
  <si>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</si>
  <si>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</si>
  <si>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</si>
  <si>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</si>
  <si>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</si>
  <si>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</si>
  <si>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</si>
  <si>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</si>
  <si>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</si>
  <si>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</si>
  <si>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</si>
  <si>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</si>
  <si>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</si>
  <si>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</si>
  <si>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</si>
  <si>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</si>
  <si>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</si>
  <si>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</si>
  <si>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</si>
  <si>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</si>
  <si>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</si>
  <si>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</si>
  <si>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</si>
  <si>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</si>
  <si>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</si>
  <si>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</si>
  <si>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</si>
  <si>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</si>
  <si>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</si>
  <si>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N/A - Public Entity</t>
  </si>
  <si>
    <t>Sensory impaired pursuant to CBC Chapter 11B</t>
  </si>
  <si>
    <t>Multifamily Residential</t>
  </si>
  <si>
    <t>Fixed</t>
  </si>
  <si>
    <t>Interest Only</t>
  </si>
  <si>
    <t>Pacific West Communities, Inc. - DDF</t>
  </si>
  <si>
    <t>None</t>
  </si>
  <si>
    <t>Boston Financial - LIHTC Equity</t>
  </si>
  <si>
    <t>Construction Loan (T.E. Bonds)</t>
  </si>
  <si>
    <t>Construction Loan (Taxable Bonds)</t>
  </si>
  <si>
    <t>Deferred Costs</t>
  </si>
  <si>
    <t>LIHTC Equity</t>
  </si>
  <si>
    <t>Varies</t>
  </si>
  <si>
    <t>Sacramento, CA 95833</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</si>
  <si>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</si>
  <si>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</si>
  <si>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</si>
  <si>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</si>
  <si>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</si>
  <si>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</si>
  <si>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</si>
  <si>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</si>
  <si>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</si>
  <si>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</si>
  <si>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</si>
  <si>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</si>
  <si>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</si>
  <si>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</si>
  <si>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Licenses &amp; State Tax</t>
  </si>
  <si>
    <t>Above residual receipts line for cash flow</t>
  </si>
  <si>
    <t>Issuer / Trustee Fees:</t>
  </si>
  <si>
    <t>Issuer / Trustee Fees</t>
  </si>
  <si>
    <t>The Parcel Phase I</t>
  </si>
  <si>
    <t>Town of Mammoth Lakes</t>
  </si>
  <si>
    <t>Daniel C. Holler</t>
  </si>
  <si>
    <t>Town Manager</t>
  </si>
  <si>
    <t>437 Old Mammoth Road, Suite 230</t>
  </si>
  <si>
    <t>Mammoth Lakes</t>
  </si>
  <si>
    <t>760.965.3601</t>
  </si>
  <si>
    <t>760.934.7493</t>
  </si>
  <si>
    <t>dholler@townofmammothlakes.ca.gov</t>
  </si>
  <si>
    <t>Tavern Road &amp; Center Street</t>
  </si>
  <si>
    <t>035-010-020 (a portion of)</t>
  </si>
  <si>
    <t>High Resource</t>
  </si>
  <si>
    <t>40%/60% Average Income</t>
  </si>
  <si>
    <t>JK Architecture Engineering</t>
  </si>
  <si>
    <t>165 River Road, Suite 1</t>
  </si>
  <si>
    <t>Tahoe City, CA 96145</t>
  </si>
  <si>
    <t>Chris Vicencio</t>
  </si>
  <si>
    <t>530.320.7049</t>
  </si>
  <si>
    <t>chris@jkaedesign.com</t>
  </si>
  <si>
    <t>DuctTesters, Inc.</t>
  </si>
  <si>
    <t>336 W. Main Street</t>
  </si>
  <si>
    <t>Ripon, CA 95366</t>
  </si>
  <si>
    <t>Dave Hegarty</t>
  </si>
  <si>
    <t>209.579.5000</t>
  </si>
  <si>
    <t>209.522.5001</t>
  </si>
  <si>
    <t>davehegarty@ducttesters.com</t>
  </si>
  <si>
    <t>437 Old Mammoth Road, Ste. 230</t>
  </si>
  <si>
    <t>Mammoth Lakes, CA 93546</t>
  </si>
  <si>
    <t>Other (Specify below)</t>
  </si>
  <si>
    <t>Community space / common areas and amenities included within each residential building.</t>
  </si>
  <si>
    <t>8 units will be set-aside for NPLH units for tenants qualifying under the three</t>
  </si>
  <si>
    <t>categories selected above. An additional 5 units will provide a preference in</t>
  </si>
  <si>
    <t>housing MHSA-eligible households.</t>
  </si>
  <si>
    <t>Adopted 2021 Parcel Master Plan with Aff. Hsg. Overlay; 580 units max.</t>
  </si>
  <si>
    <t>4 Stories maximum</t>
  </si>
  <si>
    <t>Town of Mammoth Lakes - Land Loan</t>
  </si>
  <si>
    <t>Town of Mammoth Lakes - Fee Deferral</t>
  </si>
  <si>
    <t>Mono County - MHSA &amp; NPLH Loan</t>
  </si>
  <si>
    <t>HCD - Infill Infrastructure</t>
  </si>
  <si>
    <t>Citibank - Tax-Exempt Bonds (Series A)</t>
  </si>
  <si>
    <t>Citibank - Taxable Bonds</t>
  </si>
  <si>
    <t>Town of Mammoth Lakes - Fee Deferral Loan</t>
  </si>
  <si>
    <t>HCD - IIG Loan</t>
  </si>
  <si>
    <t>Mammoth Lakes Pacific Assoc - Def. Costs</t>
  </si>
  <si>
    <t>325 E. Hillcrest Drive, Suite 160</t>
  </si>
  <si>
    <t>Thousand Oaks, CA 91360</t>
  </si>
  <si>
    <t>Mike Hemmens</t>
  </si>
  <si>
    <t>Land Loan</t>
  </si>
  <si>
    <t>Fee Deferral Loan</t>
  </si>
  <si>
    <t>2020 W. El Camino Avenue, Ste. 670</t>
  </si>
  <si>
    <t>John Nunn</t>
  </si>
  <si>
    <t>916.274.0575</t>
  </si>
  <si>
    <t>Infill Infrastructure Grant / Loan</t>
  </si>
  <si>
    <t>Mono County - MHSA / NPLH Loan</t>
  </si>
  <si>
    <t>P.O. Box 696</t>
  </si>
  <si>
    <t>Bridgeport, CA 93517</t>
  </si>
  <si>
    <t>Robert C. Lawton</t>
  </si>
  <si>
    <t>760.932.5410</t>
  </si>
  <si>
    <t>MHSA / NPLH Loan</t>
  </si>
  <si>
    <t>Air Conditioning &amp; Electric Charge</t>
  </si>
  <si>
    <t>Housing Authority of the County of Stanislaus</t>
  </si>
  <si>
    <t>HCD - IIG</t>
  </si>
  <si>
    <t>County of Mono - NPLH (Non-Competitive)</t>
  </si>
  <si>
    <t>HCD - Infill Infrastructure Grant</t>
  </si>
  <si>
    <t>County of Mono - MHSA / NPLH Loan</t>
  </si>
  <si>
    <t>HCD - Infill Infrastructure Grant / Loan</t>
  </si>
  <si>
    <t>71 parking spaces required for Phase I</t>
  </si>
  <si>
    <t>79 hours / year</t>
  </si>
  <si>
    <t>.5 FTE (1,040 hrs)</t>
  </si>
  <si>
    <t>In Kind</t>
  </si>
  <si>
    <t>County of Mono Funds</t>
  </si>
  <si>
    <t>Mono County Behavioral Health</t>
  </si>
  <si>
    <t>.1 FTE (208 hrs)</t>
  </si>
  <si>
    <t>Substance Abuse Disorder Counseling</t>
  </si>
  <si>
    <t>.25 FTE (520 hrs)</t>
  </si>
  <si>
    <t>Psychiatry &amp; Therapy</t>
  </si>
  <si>
    <t>Fringe Benefits &amp; Other Expenses</t>
  </si>
  <si>
    <t>.35 FTE (728 hrs)</t>
  </si>
  <si>
    <t>3 residential stories over 1 level of podium parking.</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</si>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</sst>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5" borderId="3" xfId="0" applyFont="1" applyFill="1" applyBorder="1" applyAlignment="1" applyProtection="1">
      <alignment horizontal="center"/>
      <protection locked="0"/>
    </xf>
    <xf numFmtId="0" fontId="19"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1388</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1393</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2408</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2409</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689</v>
      </c>
      <c r="F42" s="1862" t="s">
        <v>1358</v>
      </c>
    </row>
    <row r="43" spans="1:38" s="1862"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1472</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4" t="s">
        <v>1394</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72" t="s">
        <v>1474</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1366</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1369</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ht="13.45">
      <c r="F120" s="153" t="s">
        <v>1386</v>
      </c>
      <c r="G120" s="153"/>
    </row>
    <row r="121" spans="1:38" ht="13.45">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2" customHeight="1">
      <c r="B343" s="5"/>
      <c r="E343" s="1864" t="s">
        <v>1448</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1439</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1488</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1877</v>
      </c>
      <c r="B1" s="3257"/>
      <c r="C1" s="3257"/>
      <c r="D1" s="3257"/>
      <c r="E1" s="3257"/>
      <c r="F1" s="3257"/>
      <c r="G1" s="3257"/>
      <c r="H1" s="3257"/>
      <c r="I1" s="3257"/>
    </row>
    <row r="2" spans="1:11" ht="14">
      <c r="A2" s="1336"/>
      <c r="B2" s="1336"/>
      <c r="E2" s="1337"/>
      <c r="I2" s="1339"/>
      <c r="K2" s="1340"/>
    </row>
    <row r="3" spans="1:11">
      <c r="A3" s="1341" t="s">
        <v>1584</v>
      </c>
      <c r="B3" s="1341"/>
      <c r="C3" s="1334" t="s">
        <v>2180</v>
      </c>
      <c r="E3" s="1826">
        <f>ROUND(Application!AM564+'Basis &amp; Credits'!AB77,0)</f>
        <v>40370000</v>
      </c>
      <c r="F3" s="1342"/>
      <c r="K3" s="1413"/>
    </row>
    <row r="4" spans="1:11" s="1343" customFormat="1" ht="15.05" customHeight="1">
      <c r="C4" s="1343" t="s">
        <v>1878</v>
      </c>
      <c r="E4" s="1419">
        <f>Application!AD1037</f>
        <v>0</v>
      </c>
      <c r="F4" s="1344"/>
      <c r="H4" s="1345"/>
      <c r="K4" s="1632"/>
    </row>
    <row r="5" spans="1:11" s="1346" customFormat="1" ht="15.05" customHeight="1">
      <c r="A5" s="3258"/>
      <c r="B5" s="3258"/>
      <c r="D5" s="1346" t="s">
        <v>2181</v>
      </c>
      <c r="E5" s="1347">
        <f>IF('CDLAC Points System'!C274="Yes",0.2,0)</f>
        <v>0.2</v>
      </c>
      <c r="F5" s="1344"/>
      <c r="H5" s="1345"/>
      <c r="K5" s="1633"/>
    </row>
    <row r="6" spans="1:11" s="1346" customFormat="1" ht="15.05" customHeight="1">
      <c r="A6" s="1496"/>
      <c r="B6" s="1496"/>
      <c r="D6" s="1346" t="s">
        <v>2182</v>
      </c>
      <c r="E6" s="1347" t="str">
        <f>IF(AND((Application!W464&gt;=(0.5*Application!G753)),Application!D210="Special Needs",(OR(Application!M354="Yes",Application!M355="Yes"))),0.2," ")</f>
        <v xml:space="preserve"> </v>
      </c>
      <c r="F6" s="1344"/>
      <c r="H6" s="1345"/>
      <c r="K6" s="1633"/>
    </row>
    <row r="7" spans="1:11" ht="14">
      <c r="A7" s="1336"/>
      <c r="B7" s="1336"/>
      <c r="C7" s="1334" t="s">
        <v>2184</v>
      </c>
      <c r="E7" s="1417">
        <f>E3-(E3*(E4+(MAX(E5,E6))))</f>
        <v>32296000</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21</v>
      </c>
      <c r="G11" s="1361">
        <v>0.9</v>
      </c>
      <c r="H11" s="1362"/>
      <c r="I11" s="1363">
        <f>E11*G11</f>
        <v>18.900000000000002</v>
      </c>
      <c r="J11" s="1354"/>
      <c r="K11" s="1358"/>
    </row>
    <row r="12" spans="1:11" ht="14">
      <c r="A12" s="1336"/>
      <c r="B12" s="1336"/>
      <c r="C12" s="1354" t="s">
        <v>1886</v>
      </c>
      <c r="D12" s="1354"/>
      <c r="E12" s="1414">
        <f>Application!BS635+Application!BS644+Application!CX658</f>
        <v>18</v>
      </c>
      <c r="G12" s="1361">
        <v>1</v>
      </c>
      <c r="H12" s="1362"/>
      <c r="I12" s="1363">
        <f>E12*G12</f>
        <v>18</v>
      </c>
      <c r="J12" s="1354"/>
    </row>
    <row r="13" spans="1:11" ht="14">
      <c r="A13" s="1336"/>
      <c r="B13" s="1336"/>
      <c r="C13" s="1354" t="s">
        <v>1887</v>
      </c>
      <c r="D13" s="1354"/>
      <c r="E13" s="1414">
        <f>Application!BX635+Application!BX644+Application!DC658</f>
        <v>21</v>
      </c>
      <c r="G13" s="1361">
        <v>1.25</v>
      </c>
      <c r="H13" s="1362"/>
      <c r="I13" s="1363">
        <f>E13*G13</f>
        <v>26.25</v>
      </c>
      <c r="J13" s="1354"/>
    </row>
    <row r="14" spans="1:11" ht="14">
      <c r="A14" s="1336"/>
      <c r="B14" s="1336"/>
      <c r="C14" s="1354" t="s">
        <v>1888</v>
      </c>
      <c r="D14" s="1354"/>
      <c r="E14" s="1414">
        <f>Application!CC635+Application!CC644+Application!DH658</f>
        <v>21</v>
      </c>
      <c r="G14" s="1361">
        <f>1.5+0.25*0</f>
        <v>1.5</v>
      </c>
      <c r="H14" s="1362"/>
      <c r="I14" s="1363">
        <f>IF(E14/E16&lt;=30%,E14*G14,TRUNC(0.3*E16)*G14+(E14-TRUNC(0.3*E16))*G13)</f>
        <v>31.5</v>
      </c>
      <c r="J14" s="1354"/>
    </row>
    <row r="15" spans="1:11" ht="14">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81</v>
      </c>
      <c r="G16" s="1337"/>
      <c r="I16" s="1418">
        <f>SUM(I11:I15)</f>
        <v>94.65</v>
      </c>
    </row>
    <row r="17" spans="1:9" ht="14">
      <c r="A17" s="1336"/>
      <c r="B17" s="1336"/>
      <c r="E17" s="1337"/>
      <c r="I17" s="1365"/>
    </row>
    <row r="18" spans="1:9" ht="14">
      <c r="A18" s="1341" t="s">
        <v>1589</v>
      </c>
      <c r="B18" s="1341"/>
      <c r="C18" s="1366" t="s">
        <v>1890</v>
      </c>
      <c r="D18" s="1338"/>
      <c r="E18" s="1367">
        <f>E7/I16</f>
        <v>341215.00264131004</v>
      </c>
      <c r="F18" s="1368"/>
      <c r="G18" s="1369"/>
      <c r="H18" s="1370"/>
      <c r="I18" s="1365"/>
    </row>
    <row r="21" spans="1:9" ht="14.25" customHeight="1">
      <c r="A21" s="3259" t="s">
        <v>2179</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6" t="s">
        <v>1521</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48604845</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2" t="s">
        <v>529</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5" t="s">
        <v>530</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5" t="s">
        <v>531</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5" t="s">
        <v>532</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5" t="s">
        <v>863</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5" t="s">
        <v>533</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0" t="s">
        <v>1038</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0" t="s">
        <v>1038</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534</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1493</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535</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9" t="s">
        <v>536</v>
      </c>
      <c r="C23" s="3330"/>
      <c r="D23" s="3330"/>
      <c r="E23" s="3330"/>
      <c r="F23" s="3330"/>
      <c r="G23" s="3330"/>
      <c r="H23" s="3330"/>
      <c r="I23" s="3330"/>
      <c r="J23" s="3330"/>
      <c r="K23" s="3330"/>
      <c r="L23" s="3330"/>
      <c r="M23" s="3330"/>
      <c r="N23" s="3330"/>
      <c r="O23" s="3330"/>
      <c r="P23" s="3330"/>
      <c r="Q23" s="3330"/>
      <c r="R23" s="3330"/>
      <c r="S23" s="3331"/>
      <c r="T23" s="3290">
        <f>T11+T22</f>
        <v>48604845</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1039</v>
      </c>
      <c r="C24" s="3274"/>
      <c r="D24" s="3274"/>
      <c r="E24" s="3274"/>
      <c r="F24" s="3274"/>
      <c r="G24" s="3274"/>
      <c r="H24" s="3274"/>
      <c r="I24" s="3274"/>
      <c r="J24" s="3274"/>
      <c r="K24" s="3274"/>
      <c r="L24" s="3274"/>
      <c r="M24" s="3274"/>
      <c r="N24" s="3274"/>
      <c r="O24" s="3274"/>
      <c r="P24" s="3274"/>
      <c r="Q24" s="3274"/>
      <c r="R24" s="3274"/>
      <c r="S24" s="3275"/>
      <c r="T24" s="3288">
        <f>Application!AJ1032</f>
        <v>52334985.100000001</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2" t="s">
        <v>1494</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537</v>
      </c>
      <c r="C26" s="3274"/>
      <c r="D26" s="3274"/>
      <c r="E26" s="3274"/>
      <c r="F26" s="3274"/>
      <c r="G26" s="3274"/>
      <c r="H26" s="3274"/>
      <c r="I26" s="3274"/>
      <c r="J26" s="3274"/>
      <c r="K26" s="3274"/>
      <c r="L26" s="3274"/>
      <c r="M26" s="3274"/>
      <c r="N26" s="3274"/>
      <c r="O26" s="3274"/>
      <c r="P26" s="3274"/>
      <c r="Q26" s="3274"/>
      <c r="R26" s="3274"/>
      <c r="S26" s="3275"/>
      <c r="T26" s="3309">
        <f>T23*T25</f>
        <v>63186298.5</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302">
        <f>IF(ISERROR((T26*T27)),0,(T26*T27))</f>
        <v>63186298.5</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555</v>
      </c>
      <c r="C29" s="3274"/>
      <c r="D29" s="3274"/>
      <c r="E29" s="3274"/>
      <c r="F29" s="3274"/>
      <c r="G29" s="3274"/>
      <c r="H29" s="3274"/>
      <c r="I29" s="3274"/>
      <c r="J29" s="3274"/>
      <c r="K29" s="3274"/>
      <c r="L29" s="3274"/>
      <c r="M29" s="3274"/>
      <c r="N29" s="3274"/>
      <c r="O29" s="3274"/>
      <c r="P29" s="3274"/>
      <c r="Q29" s="3274"/>
      <c r="R29" s="3274"/>
      <c r="S29" s="3275"/>
      <c r="T29" s="3288">
        <f>T28+Y28+AD28+AI28</f>
        <v>63186298.5</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5" t="s">
        <v>1496</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5" t="s">
        <v>1495</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1344</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63186298.5</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2178</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2527452</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2527452</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7" t="s">
        <v>1510</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50004295</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16993600</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33010695</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f>0.9999*0.84</f>
        <v>0.839916</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0" t="s">
        <v>2374</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39302377</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3930237.7</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2527452</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21228474</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11782221</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6" t="s">
        <v>1066</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48604845</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7">
        <f>ROUND(Y64*Y67,0)</f>
        <v>14581454</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f>0.9999*0.81999998</f>
        <v>0.819917980002</v>
      </c>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2" t="s">
        <v>1481</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14370000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14370000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11782221.372628739</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-0.37262874096632004</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45" thickTop="1"/>
    <row r="85" spans="1:98" ht="12.9">
      <c r="A85" s="794"/>
      <c r="C85" s="334"/>
      <c r="Z85" s="619"/>
      <c r="AA85" s="619"/>
      <c r="AB85" s="619"/>
      <c r="AC85" s="619"/>
      <c r="AD85" s="619"/>
      <c r="AE85" s="619"/>
      <c r="AF85" s="619"/>
      <c r="AG85" s="619"/>
      <c r="AH85" s="619"/>
    </row>
    <row r="86" spans="1:98" ht="12.9">
      <c r="D86" s="334"/>
      <c r="Z86" s="619"/>
      <c r="AA86" s="619"/>
      <c r="AB86" s="3328"/>
      <c r="AC86" s="3328"/>
      <c r="AD86" s="3328"/>
      <c r="AE86" s="3328"/>
      <c r="AF86" s="3328"/>
      <c r="AG86" s="619"/>
      <c r="AH86" s="619"/>
    </row>
    <row r="87" spans="1:98" ht="13.45"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A33" sqref="A33"/>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1934</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1935</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1936</v>
      </c>
      <c r="D7" s="1426"/>
      <c r="E7" s="3345" t="str">
        <f>Application!H16</f>
        <v>Central Valley Coalition for Affordable Housing, a California Nonprofit Public Benefit Corporation</v>
      </c>
      <c r="F7" s="3345"/>
      <c r="G7" s="3345"/>
      <c r="H7" s="1426"/>
      <c r="I7" s="1427" t="s">
        <v>1937</v>
      </c>
      <c r="J7" s="1428">
        <f>Application!AG437+Application!AG439</f>
        <v>80</v>
      </c>
    </row>
    <row r="8" spans="1:33">
      <c r="C8" s="1427" t="s">
        <v>1938</v>
      </c>
      <c r="D8" s="1426"/>
      <c r="E8" s="3345" t="str">
        <f>Application!H18</f>
        <v>The Parcel Phase I</v>
      </c>
      <c r="F8" s="3345"/>
      <c r="G8" s="3345"/>
      <c r="H8" s="1426"/>
      <c r="I8" s="1427" t="s">
        <v>1939</v>
      </c>
      <c r="J8" s="1429">
        <f>Application!CS663</f>
        <v>142</v>
      </c>
    </row>
    <row r="9" spans="1:33" ht="14.25" customHeight="1">
      <c r="C9" s="1427" t="s">
        <v>1940</v>
      </c>
      <c r="D9" s="1426"/>
      <c r="E9" s="3346" t="str">
        <f>Application!D210</f>
        <v>Large Family</v>
      </c>
      <c r="F9" s="3346"/>
      <c r="G9" s="3346"/>
      <c r="H9" s="1426"/>
      <c r="I9" s="1427" t="s">
        <v>1941</v>
      </c>
      <c r="J9" s="1430">
        <v>11</v>
      </c>
      <c r="N9" s="1431"/>
    </row>
    <row r="10" spans="1:33" ht="26.9" customHeight="1">
      <c r="C10" s="3344" t="s">
        <v>1942</v>
      </c>
      <c r="D10" s="3344"/>
      <c r="E10" s="3347" t="str">
        <f>Application!D213</f>
        <v>Large Family</v>
      </c>
      <c r="F10" s="3347"/>
      <c r="G10" s="3347"/>
      <c r="H10" s="1426"/>
      <c r="I10" s="1432" t="s">
        <v>1943</v>
      </c>
      <c r="J10" s="1433">
        <f>IF(J9&gt;0,J8-J9,J8)</f>
        <v>131</v>
      </c>
      <c r="N10" s="1431"/>
    </row>
    <row r="11" spans="1:33">
      <c r="C11" s="1434"/>
      <c r="N11" s="1431"/>
    </row>
    <row r="12" spans="1:33" ht="15.05" customHeight="1">
      <c r="C12" s="3348" t="s">
        <v>1944</v>
      </c>
      <c r="D12" s="3349"/>
      <c r="E12" s="3350"/>
      <c r="F12" s="3341" t="s">
        <v>1945</v>
      </c>
      <c r="G12" s="3341" t="s">
        <v>1946</v>
      </c>
      <c r="H12" s="3354" t="s">
        <v>2160</v>
      </c>
      <c r="I12" s="3341" t="s">
        <v>2159</v>
      </c>
      <c r="J12" s="3341" t="s">
        <v>1947</v>
      </c>
      <c r="N12" s="1431"/>
    </row>
    <row r="13" spans="1:33" ht="68.25" customHeight="1">
      <c r="C13" s="3351"/>
      <c r="D13" s="3352"/>
      <c r="E13" s="3353"/>
      <c r="F13" s="3342"/>
      <c r="G13" s="3342"/>
      <c r="H13" s="3355"/>
      <c r="I13" s="3342"/>
      <c r="J13" s="3342"/>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2614</v>
      </c>
      <c r="G17" s="1443">
        <v>6000</v>
      </c>
      <c r="H17" s="1442" t="s">
        <v>2615</v>
      </c>
      <c r="I17" s="1442" t="s">
        <v>2616</v>
      </c>
      <c r="J17" s="1442" t="s">
        <v>2617</v>
      </c>
    </row>
    <row r="18" spans="3:10">
      <c r="C18" s="1439" t="s">
        <v>1954</v>
      </c>
      <c r="D18" s="1425" t="s">
        <v>1955</v>
      </c>
      <c r="E18" s="1425"/>
      <c r="F18" s="1440" t="s">
        <v>2689</v>
      </c>
      <c r="G18" s="1443">
        <v>6000</v>
      </c>
      <c r="H18" s="1442" t="s">
        <v>2615</v>
      </c>
      <c r="I18" s="1442" t="s">
        <v>2616</v>
      </c>
      <c r="J18" s="1442" t="s">
        <v>2617</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t="s">
        <v>2690</v>
      </c>
      <c r="G23" s="1443">
        <v>31071</v>
      </c>
      <c r="H23" s="1442" t="s">
        <v>2691</v>
      </c>
      <c r="I23" s="1442" t="s">
        <v>2692</v>
      </c>
      <c r="J23" s="1442" t="s">
        <v>2693</v>
      </c>
    </row>
    <row r="24" spans="3:10">
      <c r="C24" s="1439" t="s">
        <v>1963</v>
      </c>
      <c r="D24" s="1425" t="s">
        <v>1964</v>
      </c>
      <c r="E24" s="1425"/>
      <c r="F24" s="1440" t="s">
        <v>2694</v>
      </c>
      <c r="G24" s="1443">
        <v>8357</v>
      </c>
      <c r="H24" s="1442" t="s">
        <v>2691</v>
      </c>
      <c r="I24" s="1442" t="s">
        <v>2692</v>
      </c>
      <c r="J24" s="1442" t="s">
        <v>2693</v>
      </c>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2695</v>
      </c>
      <c r="E31" s="1459"/>
      <c r="F31" s="1440" t="s">
        <v>2696</v>
      </c>
      <c r="G31" s="1443">
        <v>15536</v>
      </c>
      <c r="H31" s="1442" t="s">
        <v>2691</v>
      </c>
      <c r="I31" s="1442" t="s">
        <v>2692</v>
      </c>
      <c r="J31" s="1442" t="s">
        <v>2693</v>
      </c>
    </row>
    <row r="32" spans="3:10">
      <c r="C32" s="1439"/>
      <c r="D32" s="1459" t="s">
        <v>2697</v>
      </c>
      <c r="E32" s="1459"/>
      <c r="F32" s="1440" t="s">
        <v>2699</v>
      </c>
      <c r="G32" s="1443">
        <v>71696</v>
      </c>
      <c r="H32" s="1442" t="s">
        <v>2691</v>
      </c>
      <c r="I32" s="1442" t="s">
        <v>2692</v>
      </c>
      <c r="J32" s="1442" t="s">
        <v>2693</v>
      </c>
    </row>
    <row r="33" spans="3:10">
      <c r="C33" s="1439"/>
      <c r="D33" s="1460" t="s">
        <v>2698</v>
      </c>
      <c r="E33" s="1459"/>
      <c r="F33" s="1440"/>
      <c r="G33" s="1443">
        <v>49799</v>
      </c>
      <c r="H33" s="1442" t="s">
        <v>2691</v>
      </c>
      <c r="I33" s="1442" t="s">
        <v>2692</v>
      </c>
      <c r="J33" s="1442" t="s">
        <v>2693</v>
      </c>
    </row>
    <row r="34" spans="3:10">
      <c r="C34" s="1439"/>
      <c r="F34" s="1461"/>
      <c r="G34" s="1461"/>
      <c r="H34" s="1461"/>
      <c r="I34" s="1461"/>
      <c r="J34" s="1461"/>
    </row>
    <row r="35" spans="3:10" ht="14">
      <c r="C35" s="1462" t="s">
        <v>967</v>
      </c>
      <c r="D35" s="1463"/>
      <c r="E35" s="1463"/>
      <c r="F35" s="1464"/>
      <c r="G35" s="1465">
        <f>SUM(G15:G33)</f>
        <v>188459</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30" sqref="AE30"/>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880296</v>
      </c>
      <c r="G4" s="354">
        <f>E4*$C$4</f>
        <v>902303.39999999991</v>
      </c>
      <c r="I4" s="354">
        <f>G4*$C$4</f>
        <v>924860.98499999987</v>
      </c>
      <c r="K4" s="354">
        <f>I4*$C$4</f>
        <v>947982.50962499983</v>
      </c>
      <c r="M4" s="354">
        <f>K4*$C$4</f>
        <v>971682.07236562471</v>
      </c>
      <c r="O4" s="354">
        <f>M4*$C$4</f>
        <v>995974.12417476519</v>
      </c>
      <c r="Q4" s="354">
        <f>O4*$C$4</f>
        <v>1020873.4772791342</v>
      </c>
      <c r="S4" s="354">
        <f>Q4*$C$4</f>
        <v>1046395.3142111124</v>
      </c>
      <c r="U4" s="354">
        <f>S4*$C$4</f>
        <v>1072555.1970663902</v>
      </c>
      <c r="W4" s="354">
        <f>U4*$C$4</f>
        <v>1099369.0769930498</v>
      </c>
      <c r="Y4" s="354">
        <f>W4*$C$4</f>
        <v>1126853.303917876</v>
      </c>
      <c r="AA4" s="354">
        <f>Y4*$C$4</f>
        <v>1155024.6365158227</v>
      </c>
      <c r="AC4" s="354">
        <f>AA4*$C$4</f>
        <v>1183900.2524287181</v>
      </c>
      <c r="AE4" s="354">
        <f>AC4*$C$4</f>
        <v>1213497.758739436</v>
      </c>
      <c r="AG4" s="354">
        <f>AE4*$C$4</f>
        <v>1243835.2027079219</v>
      </c>
    </row>
    <row r="5" spans="1:34" s="339" customFormat="1" ht="13.45">
      <c r="B5" s="339" t="s">
        <v>900</v>
      </c>
      <c r="C5" s="375">
        <f>IF(Application!$D$210="Special Needs",0.1,0.05)</f>
        <v>0.05</v>
      </c>
      <c r="E5" s="356">
        <f>-E4*$C$5</f>
        <v>-44014.8</v>
      </c>
      <c r="F5" s="356"/>
      <c r="G5" s="356">
        <f>-G4*$C$5</f>
        <v>-45115.17</v>
      </c>
      <c r="H5" s="356"/>
      <c r="I5" s="356">
        <f>-I4*$C$5</f>
        <v>-46243.049249999996</v>
      </c>
      <c r="J5" s="356"/>
      <c r="K5" s="356">
        <f>-K4*$C$5</f>
        <v>-47399.125481249997</v>
      </c>
      <c r="L5" s="356"/>
      <c r="M5" s="356">
        <f>-M4*$C$5</f>
        <v>-48584.103618281239</v>
      </c>
      <c r="N5" s="356"/>
      <c r="O5" s="356">
        <f>-O4*$C$5</f>
        <v>-49798.706208738266</v>
      </c>
      <c r="P5" s="356"/>
      <c r="Q5" s="356">
        <f>-Q4*$C$5</f>
        <v>-51043.673863956712</v>
      </c>
      <c r="R5" s="356"/>
      <c r="S5" s="356">
        <f>-S4*$C$5</f>
        <v>-52319.765710555628</v>
      </c>
      <c r="T5" s="356"/>
      <c r="U5" s="356">
        <f>-U4*$C$5</f>
        <v>-53627.759853319512</v>
      </c>
      <c r="V5" s="356"/>
      <c r="W5" s="356">
        <f>-W4*$C$5</f>
        <v>-54968.453849652491</v>
      </c>
      <c r="X5" s="356"/>
      <c r="Y5" s="356">
        <f>-Y4*$C$5</f>
        <v>-56342.665195893802</v>
      </c>
      <c r="Z5" s="356"/>
      <c r="AA5" s="356">
        <f>-AA4*$C$5</f>
        <v>-57751.231825791139</v>
      </c>
      <c r="AB5" s="356"/>
      <c r="AC5" s="356">
        <f>-AC4*$C$5</f>
        <v>-59195.012621435912</v>
      </c>
      <c r="AD5" s="356"/>
      <c r="AE5" s="356">
        <f>-AE4*$C$5</f>
        <v>-60674.887936971805</v>
      </c>
      <c r="AF5" s="356"/>
      <c r="AG5" s="356">
        <f>-AG4*$C$5</f>
        <v>-62191.760135396093</v>
      </c>
    </row>
    <row r="6" spans="1:34" s="339" customFormat="1" ht="13.4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12150</v>
      </c>
      <c r="F8" s="357"/>
      <c r="G8" s="357">
        <f>E8*$C$8</f>
        <v>12453.749999999998</v>
      </c>
      <c r="H8" s="357"/>
      <c r="I8" s="357">
        <f>G8*$C$8</f>
        <v>12765.093749999996</v>
      </c>
      <c r="J8" s="357"/>
      <c r="K8" s="357">
        <f>I8*$C$8</f>
        <v>13084.221093749995</v>
      </c>
      <c r="L8" s="357"/>
      <c r="M8" s="357">
        <f>K8*$C$8</f>
        <v>13411.326621093744</v>
      </c>
      <c r="N8" s="357"/>
      <c r="O8" s="357">
        <f>M8*$C$8</f>
        <v>13746.609786621086</v>
      </c>
      <c r="P8" s="357"/>
      <c r="Q8" s="357">
        <f>O8*$C$8</f>
        <v>14090.275031286612</v>
      </c>
      <c r="R8" s="357"/>
      <c r="S8" s="357">
        <f>Q8*$C$8</f>
        <v>14442.531907068776</v>
      </c>
      <c r="T8" s="357"/>
      <c r="U8" s="357">
        <f>S8*$C$8</f>
        <v>14803.595204745494</v>
      </c>
      <c r="V8" s="357"/>
      <c r="W8" s="357">
        <f>U8*$C$8</f>
        <v>15173.68508486413</v>
      </c>
      <c r="X8" s="357"/>
      <c r="Y8" s="357">
        <f>W8*$C$8</f>
        <v>15553.027211985731</v>
      </c>
      <c r="Z8" s="357"/>
      <c r="AA8" s="357">
        <f>Y8*$C$8</f>
        <v>15941.852892285373</v>
      </c>
      <c r="AB8" s="357"/>
      <c r="AC8" s="357">
        <f>AA8*$C$8</f>
        <v>16340.399214592506</v>
      </c>
      <c r="AD8" s="357"/>
      <c r="AE8" s="357">
        <f>AC8*$C$8</f>
        <v>16748.909194957316</v>
      </c>
      <c r="AF8" s="357"/>
      <c r="AG8" s="357">
        <f>AE8*$C$8</f>
        <v>17167.631924831247</v>
      </c>
    </row>
    <row r="9" spans="1:34" s="339" customFormat="1" ht="13.45">
      <c r="B9" s="339" t="s">
        <v>900</v>
      </c>
      <c r="C9" s="375">
        <f>IF(Application!$D$210="Special Needs",0.1,0.05)</f>
        <v>0.05</v>
      </c>
      <c r="E9" s="373">
        <f>-E8*$C$9</f>
        <v>-607.5</v>
      </c>
      <c r="F9" s="356"/>
      <c r="G9" s="373">
        <f>-G8*$C$9</f>
        <v>-622.6875</v>
      </c>
      <c r="H9" s="356"/>
      <c r="I9" s="373">
        <f>-I8*$C$9</f>
        <v>-638.25468749999982</v>
      </c>
      <c r="J9" s="356"/>
      <c r="K9" s="373">
        <f>-K8*$C$9</f>
        <v>-654.21105468749977</v>
      </c>
      <c r="L9" s="356"/>
      <c r="M9" s="373">
        <f>-M8*$C$9</f>
        <v>-670.56633105468723</v>
      </c>
      <c r="N9" s="356"/>
      <c r="O9" s="373">
        <f>-O8*$C$9</f>
        <v>-687.33048933105431</v>
      </c>
      <c r="P9" s="356"/>
      <c r="Q9" s="373">
        <f>-Q8*$C$9</f>
        <v>-704.51375156433062</v>
      </c>
      <c r="R9" s="356"/>
      <c r="S9" s="373">
        <f>-S8*$C$9</f>
        <v>-722.12659535343892</v>
      </c>
      <c r="T9" s="356"/>
      <c r="U9" s="373">
        <f>-U8*$C$9</f>
        <v>-740.17976023727476</v>
      </c>
      <c r="V9" s="356"/>
      <c r="W9" s="373">
        <f>-W8*$C$9</f>
        <v>-758.68425424320651</v>
      </c>
      <c r="X9" s="356"/>
      <c r="Y9" s="373">
        <f>-Y8*$C$9</f>
        <v>-777.65136059928659</v>
      </c>
      <c r="Z9" s="356"/>
      <c r="AA9" s="373">
        <f>-AA8*$C$9</f>
        <v>-797.09264461426869</v>
      </c>
      <c r="AB9" s="356"/>
      <c r="AC9" s="373">
        <f>-AC8*$C$9</f>
        <v>-817.01996072962538</v>
      </c>
      <c r="AD9" s="356"/>
      <c r="AE9" s="373">
        <f>-AE8*$C$9</f>
        <v>-837.44545974786581</v>
      </c>
      <c r="AF9" s="356"/>
      <c r="AG9" s="373">
        <f>-AG8*$C$9</f>
        <v>-858.38159624156242</v>
      </c>
    </row>
    <row r="10" spans="1:34" s="358" customFormat="1" ht="14">
      <c r="A10" s="358" t="s">
        <v>921</v>
      </c>
      <c r="C10" s="349"/>
      <c r="E10" s="358">
        <f>SUM(E4:E9)</f>
        <v>847823.7</v>
      </c>
      <c r="G10" s="358">
        <f>SUM(G4:G9)</f>
        <v>869019.29249999986</v>
      </c>
      <c r="I10" s="358">
        <f>SUM(I4:I9)</f>
        <v>890744.77481249988</v>
      </c>
      <c r="K10" s="358">
        <f>SUM(K4:K9)</f>
        <v>913013.39418281231</v>
      </c>
      <c r="M10" s="358">
        <f>SUM(M4:M9)</f>
        <v>935838.72903738264</v>
      </c>
      <c r="O10" s="358">
        <f>SUM(O4:O9)</f>
        <v>959234.69726331695</v>
      </c>
      <c r="Q10" s="358">
        <f>SUM(Q4:Q9)</f>
        <v>983215.56469489983</v>
      </c>
      <c r="S10" s="358">
        <f>SUM(S4:S9)</f>
        <v>1007795.9538122722</v>
      </c>
      <c r="U10" s="358">
        <f>SUM(U4:U9)</f>
        <v>1032990.852657579</v>
      </c>
      <c r="W10" s="358">
        <f>SUM(W4:W9)</f>
        <v>1058815.623974018</v>
      </c>
      <c r="Y10" s="358">
        <f>SUM(Y4:Y9)</f>
        <v>1085286.0145733687</v>
      </c>
      <c r="AA10" s="358">
        <f>SUM(AA4:AA9)</f>
        <v>1112418.1649377029</v>
      </c>
      <c r="AC10" s="358">
        <f>SUM(AC4:AC9)</f>
        <v>1140228.6190611452</v>
      </c>
      <c r="AE10" s="358">
        <f>SUM(AE4:AE9)</f>
        <v>1168734.3345376735</v>
      </c>
      <c r="AG10" s="358">
        <f>SUM(AG4:AG9)</f>
        <v>1197952.6929011154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27000</v>
      </c>
      <c r="G14" s="354">
        <f>E14*$C$13</f>
        <v>27944.999999999996</v>
      </c>
      <c r="I14" s="354">
        <f>G14*$C$13</f>
        <v>28923.074999999993</v>
      </c>
      <c r="K14" s="354">
        <f>I14*$C$13</f>
        <v>29935.382624999991</v>
      </c>
      <c r="M14" s="354">
        <f>K14*$C$13</f>
        <v>30983.121016874989</v>
      </c>
      <c r="O14" s="354">
        <f>M14*$C$13</f>
        <v>32067.530252465611</v>
      </c>
      <c r="Q14" s="354">
        <f>O14*$C$13</f>
        <v>33189.893811301903</v>
      </c>
      <c r="S14" s="354">
        <f>Q14*$C$13</f>
        <v>34351.54009469747</v>
      </c>
      <c r="U14" s="354">
        <f>S14*$C$13</f>
        <v>35553.843998011878</v>
      </c>
      <c r="W14" s="354">
        <f>U14*$C$13</f>
        <v>36798.22853794229</v>
      </c>
      <c r="Y14" s="354">
        <f>W14*$C$13</f>
        <v>38086.166536770266</v>
      </c>
      <c r="AA14" s="354">
        <f>Y14*$C$13</f>
        <v>39419.182365557223</v>
      </c>
      <c r="AC14" s="354">
        <f>AA14*$C$13</f>
        <v>40798.853748351721</v>
      </c>
      <c r="AE14" s="354">
        <f>AC14*$C$13</f>
        <v>42226.813629544027</v>
      </c>
      <c r="AG14" s="354">
        <f>AE14*$C$13</f>
        <v>43704.752106578067</v>
      </c>
    </row>
    <row r="15" spans="1:34" s="339" customFormat="1" ht="13.45">
      <c r="A15" s="339" t="s">
        <v>354</v>
      </c>
      <c r="C15" s="368"/>
      <c r="E15" s="357">
        <f>Application!W847</f>
        <v>41800</v>
      </c>
      <c r="F15" s="357"/>
      <c r="G15" s="357">
        <f t="shared" ref="G15:AG20" si="0">E15*$C$13</f>
        <v>43263</v>
      </c>
      <c r="H15" s="357"/>
      <c r="I15" s="357">
        <f t="shared" si="0"/>
        <v>44777.204999999994</v>
      </c>
      <c r="J15" s="357"/>
      <c r="K15" s="357">
        <f t="shared" si="0"/>
        <v>46344.407174999993</v>
      </c>
      <c r="L15" s="357"/>
      <c r="M15" s="357">
        <f t="shared" si="0"/>
        <v>47966.461426124988</v>
      </c>
      <c r="N15" s="357"/>
      <c r="O15" s="357">
        <f t="shared" si="0"/>
        <v>49645.287576039358</v>
      </c>
      <c r="P15" s="357"/>
      <c r="Q15" s="357">
        <f t="shared" si="0"/>
        <v>51382.872641200731</v>
      </c>
      <c r="R15" s="357"/>
      <c r="S15" s="357">
        <f t="shared" si="0"/>
        <v>53181.273183642756</v>
      </c>
      <c r="T15" s="357"/>
      <c r="U15" s="357">
        <f t="shared" si="0"/>
        <v>55042.617745070245</v>
      </c>
      <c r="V15" s="357"/>
      <c r="W15" s="357">
        <f t="shared" si="0"/>
        <v>56969.109366147699</v>
      </c>
      <c r="X15" s="357"/>
      <c r="Y15" s="357">
        <f t="shared" si="0"/>
        <v>58963.028193962862</v>
      </c>
      <c r="Z15" s="357"/>
      <c r="AA15" s="357">
        <f t="shared" si="0"/>
        <v>61026.734180751555</v>
      </c>
      <c r="AB15" s="357"/>
      <c r="AC15" s="357">
        <f t="shared" si="0"/>
        <v>63162.669877077853</v>
      </c>
      <c r="AD15" s="357"/>
      <c r="AE15" s="357">
        <f t="shared" si="0"/>
        <v>65373.363322775571</v>
      </c>
      <c r="AF15" s="357"/>
      <c r="AG15" s="357">
        <f t="shared" si="0"/>
        <v>67661.431039072704</v>
      </c>
    </row>
    <row r="16" spans="1:34" s="339" customFormat="1" ht="13.45">
      <c r="A16" s="339" t="s">
        <v>593</v>
      </c>
      <c r="C16" s="368"/>
      <c r="E16" s="357">
        <f>Application!W853</f>
        <v>82400</v>
      </c>
      <c r="F16" s="357"/>
      <c r="G16" s="357">
        <f t="shared" si="0"/>
        <v>85284</v>
      </c>
      <c r="H16" s="357"/>
      <c r="I16" s="357">
        <f t="shared" si="0"/>
        <v>88268.939999999988</v>
      </c>
      <c r="J16" s="357"/>
      <c r="K16" s="357">
        <f t="shared" si="0"/>
        <v>91358.352899999983</v>
      </c>
      <c r="L16" s="357"/>
      <c r="M16" s="357">
        <f t="shared" si="0"/>
        <v>94555.895251499969</v>
      </c>
      <c r="N16" s="357"/>
      <c r="O16" s="357">
        <f t="shared" si="0"/>
        <v>97865.351585302458</v>
      </c>
      <c r="P16" s="357"/>
      <c r="Q16" s="357">
        <f t="shared" si="0"/>
        <v>101290.63889078803</v>
      </c>
      <c r="R16" s="357"/>
      <c r="S16" s="357">
        <f t="shared" si="0"/>
        <v>104835.8112519656</v>
      </c>
      <c r="T16" s="357"/>
      <c r="U16" s="357">
        <f t="shared" si="0"/>
        <v>108505.06464578438</v>
      </c>
      <c r="V16" s="357"/>
      <c r="W16" s="357">
        <f t="shared" si="0"/>
        <v>112302.74190838683</v>
      </c>
      <c r="X16" s="357"/>
      <c r="Y16" s="357">
        <f t="shared" si="0"/>
        <v>116233.33787518035</v>
      </c>
      <c r="Z16" s="357"/>
      <c r="AA16" s="357">
        <f t="shared" si="0"/>
        <v>120301.50470081165</v>
      </c>
      <c r="AB16" s="357"/>
      <c r="AC16" s="357">
        <f t="shared" si="0"/>
        <v>124512.05736534005</v>
      </c>
      <c r="AD16" s="357"/>
      <c r="AE16" s="357">
        <f t="shared" si="0"/>
        <v>128869.97937312695</v>
      </c>
      <c r="AF16" s="357"/>
      <c r="AG16" s="357">
        <f t="shared" si="0"/>
        <v>133380.42865118638</v>
      </c>
    </row>
    <row r="17" spans="1:33" s="339" customFormat="1" ht="13.45">
      <c r="A17" s="339" t="s">
        <v>904</v>
      </c>
      <c r="C17" s="368"/>
      <c r="E17" s="357">
        <f>Application!W860</f>
        <v>66880</v>
      </c>
      <c r="F17" s="357"/>
      <c r="G17" s="357">
        <f t="shared" si="0"/>
        <v>69220.799999999988</v>
      </c>
      <c r="H17" s="357"/>
      <c r="I17" s="357">
        <f t="shared" si="0"/>
        <v>71643.527999999977</v>
      </c>
      <c r="J17" s="357"/>
      <c r="K17" s="357">
        <f t="shared" si="0"/>
        <v>74151.051479999966</v>
      </c>
      <c r="L17" s="357"/>
      <c r="M17" s="357">
        <f t="shared" si="0"/>
        <v>76746.338281799952</v>
      </c>
      <c r="N17" s="357"/>
      <c r="O17" s="357">
        <f t="shared" si="0"/>
        <v>79432.460121662938</v>
      </c>
      <c r="P17" s="357"/>
      <c r="Q17" s="357">
        <f t="shared" si="0"/>
        <v>82212.596225921137</v>
      </c>
      <c r="R17" s="357"/>
      <c r="S17" s="357">
        <f t="shared" si="0"/>
        <v>85090.037093828374</v>
      </c>
      <c r="T17" s="357"/>
      <c r="U17" s="357">
        <f t="shared" si="0"/>
        <v>88068.188392112366</v>
      </c>
      <c r="V17" s="357"/>
      <c r="W17" s="357">
        <f t="shared" si="0"/>
        <v>91150.574985836298</v>
      </c>
      <c r="X17" s="357"/>
      <c r="Y17" s="357">
        <f t="shared" si="0"/>
        <v>94340.845110340568</v>
      </c>
      <c r="Z17" s="357"/>
      <c r="AA17" s="357">
        <f t="shared" si="0"/>
        <v>97642.774689202473</v>
      </c>
      <c r="AB17" s="357"/>
      <c r="AC17" s="357">
        <f t="shared" si="0"/>
        <v>101060.27180332455</v>
      </c>
      <c r="AD17" s="357"/>
      <c r="AE17" s="357">
        <f t="shared" si="0"/>
        <v>104597.38131644089</v>
      </c>
      <c r="AF17" s="357"/>
      <c r="AG17" s="357">
        <f t="shared" si="0"/>
        <v>108258.28966251631</v>
      </c>
    </row>
    <row r="18" spans="1:33" s="339" customFormat="1" ht="13.45">
      <c r="A18" s="339" t="s">
        <v>160</v>
      </c>
      <c r="C18" s="368"/>
      <c r="E18" s="357">
        <f>Application!W861</f>
        <v>36450</v>
      </c>
      <c r="F18" s="357"/>
      <c r="G18" s="357">
        <f t="shared" si="0"/>
        <v>37725.75</v>
      </c>
      <c r="H18" s="357"/>
      <c r="I18" s="357">
        <f t="shared" si="0"/>
        <v>39046.151249999995</v>
      </c>
      <c r="J18" s="357"/>
      <c r="K18" s="357">
        <f t="shared" si="0"/>
        <v>40412.766543749989</v>
      </c>
      <c r="L18" s="357"/>
      <c r="M18" s="357">
        <f t="shared" si="0"/>
        <v>41827.213372781232</v>
      </c>
      <c r="N18" s="357"/>
      <c r="O18" s="357">
        <f t="shared" si="0"/>
        <v>43291.165840828573</v>
      </c>
      <c r="P18" s="357"/>
      <c r="Q18" s="357">
        <f t="shared" si="0"/>
        <v>44806.356645257569</v>
      </c>
      <c r="R18" s="357"/>
      <c r="S18" s="357">
        <f t="shared" si="0"/>
        <v>46374.579127841578</v>
      </c>
      <c r="T18" s="357"/>
      <c r="U18" s="357">
        <f t="shared" si="0"/>
        <v>47997.689397316033</v>
      </c>
      <c r="V18" s="357"/>
      <c r="W18" s="357">
        <f t="shared" si="0"/>
        <v>49677.608526222088</v>
      </c>
      <c r="X18" s="357"/>
      <c r="Y18" s="357">
        <f t="shared" si="0"/>
        <v>51416.324824639858</v>
      </c>
      <c r="Z18" s="357"/>
      <c r="AA18" s="357">
        <f t="shared" si="0"/>
        <v>53215.896193502245</v>
      </c>
      <c r="AB18" s="357"/>
      <c r="AC18" s="357">
        <f t="shared" si="0"/>
        <v>55078.452560274818</v>
      </c>
      <c r="AD18" s="357"/>
      <c r="AE18" s="357">
        <f t="shared" si="0"/>
        <v>57006.19839988443</v>
      </c>
      <c r="AF18" s="357"/>
      <c r="AG18" s="357">
        <f t="shared" si="0"/>
        <v>59001.415343880377</v>
      </c>
    </row>
    <row r="19" spans="1:33" s="339" customFormat="1" ht="13.45">
      <c r="A19" s="339" t="s">
        <v>409</v>
      </c>
      <c r="C19" s="368"/>
      <c r="E19" s="357">
        <f>Application!W870</f>
        <v>159100</v>
      </c>
      <c r="F19" s="357"/>
      <c r="G19" s="357">
        <f t="shared" si="0"/>
        <v>164668.5</v>
      </c>
      <c r="H19" s="357"/>
      <c r="I19" s="357">
        <f t="shared" si="0"/>
        <v>170431.89749999999</v>
      </c>
      <c r="J19" s="357"/>
      <c r="K19" s="357">
        <f t="shared" si="0"/>
        <v>176397.01391249997</v>
      </c>
      <c r="L19" s="357"/>
      <c r="M19" s="357">
        <f t="shared" si="0"/>
        <v>182570.90939943746</v>
      </c>
      <c r="N19" s="357"/>
      <c r="O19" s="357">
        <f t="shared" si="0"/>
        <v>188960.89122841775</v>
      </c>
      <c r="P19" s="357"/>
      <c r="Q19" s="357">
        <f t="shared" si="0"/>
        <v>195574.52242141234</v>
      </c>
      <c r="R19" s="357"/>
      <c r="S19" s="357">
        <f t="shared" si="0"/>
        <v>202419.63070616176</v>
      </c>
      <c r="T19" s="357"/>
      <c r="U19" s="357">
        <f t="shared" si="0"/>
        <v>209504.31778087741</v>
      </c>
      <c r="V19" s="357"/>
      <c r="W19" s="357">
        <f t="shared" si="0"/>
        <v>216836.96890320809</v>
      </c>
      <c r="X19" s="357"/>
      <c r="Y19" s="357">
        <f t="shared" si="0"/>
        <v>224426.26281482037</v>
      </c>
      <c r="Z19" s="357"/>
      <c r="AA19" s="357">
        <f t="shared" si="0"/>
        <v>232281.18201333907</v>
      </c>
      <c r="AB19" s="357"/>
      <c r="AC19" s="357">
        <f t="shared" si="0"/>
        <v>240411.02338380591</v>
      </c>
      <c r="AD19" s="357"/>
      <c r="AE19" s="357">
        <f t="shared" si="0"/>
        <v>248825.4092022391</v>
      </c>
      <c r="AF19" s="357"/>
      <c r="AG19" s="357">
        <f t="shared" si="0"/>
        <v>257534.29852431745</v>
      </c>
    </row>
    <row r="20" spans="1:33" s="339" customFormat="1" ht="13.45">
      <c r="A20" s="361" t="s">
        <v>2618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414780</v>
      </c>
      <c r="G21" s="358">
        <f>SUM(G14:G20)</f>
        <v>429297.3</v>
      </c>
      <c r="I21" s="358">
        <f>SUM(I14:I20)</f>
        <v>444322.70549999998</v>
      </c>
      <c r="K21" s="358">
        <f>SUM(K14:K20)</f>
        <v>459874.00019249995</v>
      </c>
      <c r="M21" s="358">
        <f>SUM(M14:M20)</f>
        <v>475969.59019923734</v>
      </c>
      <c r="O21" s="358">
        <f>SUM(O14:O20)</f>
        <v>492628.52585621062</v>
      </c>
      <c r="Q21" s="358">
        <f>SUM(Q14:Q20)</f>
        <v>509870.52426117787</v>
      </c>
      <c r="S21" s="358">
        <f>SUM(S14:S20)</f>
        <v>527715.99261031905</v>
      </c>
      <c r="U21" s="358">
        <f>SUM(U14:U20)</f>
        <v>546186.05235168024</v>
      </c>
      <c r="W21" s="358">
        <f>SUM(W14:W20)</f>
        <v>565302.56418398907</v>
      </c>
      <c r="Y21" s="358">
        <f>SUM(Y14:Y20)</f>
        <v>585088.15393042855</v>
      </c>
      <c r="AA21" s="358">
        <f>SUM(AA14:AA20)</f>
        <v>605566.23931799352</v>
      </c>
      <c r="AC21" s="358">
        <f>SUM(AC14:AC20)</f>
        <v>626761.05769412313</v>
      </c>
      <c r="AE21" s="358">
        <f>SUM(AE14:AE20)</f>
        <v>648697.69471341744</v>
      </c>
      <c r="AG21" s="358">
        <f>SUM(AG14:AG20)</f>
        <v>671402.114028387</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3.45">
      <c r="A27" s="339" t="s">
        <v>908</v>
      </c>
      <c r="C27" s="376"/>
      <c r="E27" s="357">
        <f>Application!AC887</f>
        <v>20250</v>
      </c>
      <c r="F27" s="357"/>
      <c r="G27" s="357">
        <f>$E$27</f>
        <v>20250</v>
      </c>
      <c r="H27" s="357"/>
      <c r="I27" s="357">
        <f>$E$27</f>
        <v>20250</v>
      </c>
      <c r="J27" s="357"/>
      <c r="K27" s="357">
        <f>$E$27</f>
        <v>20250</v>
      </c>
      <c r="L27" s="357"/>
      <c r="M27" s="357">
        <f>$E$27</f>
        <v>20250</v>
      </c>
      <c r="N27" s="357"/>
      <c r="O27" s="357">
        <f>$E$27</f>
        <v>20250</v>
      </c>
      <c r="P27" s="357"/>
      <c r="Q27" s="357">
        <f>$E$27</f>
        <v>20250</v>
      </c>
      <c r="R27" s="357"/>
      <c r="S27" s="357">
        <f>$E$27</f>
        <v>20250</v>
      </c>
      <c r="T27" s="357"/>
      <c r="U27" s="357">
        <f>$E$27</f>
        <v>20250</v>
      </c>
      <c r="V27" s="357"/>
      <c r="W27" s="357">
        <f>$E$27</f>
        <v>20250</v>
      </c>
      <c r="X27" s="357"/>
      <c r="Y27" s="357">
        <f>$E$27</f>
        <v>20250</v>
      </c>
      <c r="Z27" s="357"/>
      <c r="AA27" s="357">
        <f>$E$27</f>
        <v>20250</v>
      </c>
      <c r="AB27" s="357"/>
      <c r="AC27" s="357">
        <f>$E$27</f>
        <v>20250</v>
      </c>
      <c r="AD27" s="357"/>
      <c r="AE27" s="357">
        <f>$E$27</f>
        <v>20250</v>
      </c>
      <c r="AF27" s="357"/>
      <c r="AG27" s="357">
        <f>$E$27</f>
        <v>20250</v>
      </c>
    </row>
    <row r="28" spans="1:33" s="339" customFormat="1" ht="13.4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906</v>
      </c>
      <c r="C29" s="374">
        <v>1.02</v>
      </c>
      <c r="E29" s="357">
        <f>Application!AC889</f>
        <v>12100</v>
      </c>
      <c r="F29" s="357"/>
      <c r="G29" s="357">
        <f>E29*$C$29</f>
        <v>12342</v>
      </c>
      <c r="H29" s="357"/>
      <c r="I29" s="357">
        <f>G29*$C$29</f>
        <v>12588.84</v>
      </c>
      <c r="J29" s="357"/>
      <c r="K29" s="357">
        <f>I29*$C$29</f>
        <v>12840.6168</v>
      </c>
      <c r="L29" s="357"/>
      <c r="M29" s="357">
        <f>K29*$C$29</f>
        <v>13097.429136000001</v>
      </c>
      <c r="N29" s="357"/>
      <c r="O29" s="357">
        <f>M29*$C$29</f>
        <v>13359.377718720001</v>
      </c>
      <c r="P29" s="357"/>
      <c r="Q29" s="357">
        <f>O29*$C$29</f>
        <v>13626.565273094402</v>
      </c>
      <c r="R29" s="357"/>
      <c r="S29" s="357">
        <f>Q29*$C$29</f>
        <v>13899.096578556291</v>
      </c>
      <c r="T29" s="357"/>
      <c r="U29" s="357">
        <f>S29*$C$29</f>
        <v>14177.078510127418</v>
      </c>
      <c r="V29" s="357"/>
      <c r="W29" s="357">
        <f>U29*$C$29</f>
        <v>14460.620080329967</v>
      </c>
      <c r="X29" s="357"/>
      <c r="Y29" s="357">
        <f>W29*$C$29</f>
        <v>14749.832481936566</v>
      </c>
      <c r="Z29" s="357"/>
      <c r="AA29" s="357">
        <f>Y29*$C$29</f>
        <v>15044.829131575298</v>
      </c>
      <c r="AB29" s="357"/>
      <c r="AC29" s="357">
        <f>AA29*$C$29</f>
        <v>15345.725714206805</v>
      </c>
      <c r="AD29" s="357"/>
      <c r="AE29" s="357">
        <f>AC29*$C$29</f>
        <v>15652.640228490942</v>
      </c>
      <c r="AF29" s="357"/>
      <c r="AG29" s="357">
        <f>AE29*$C$29</f>
        <v>15965.693033060761</v>
      </c>
    </row>
    <row r="30" spans="1:33" s="339" customFormat="1" ht="13.4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2621</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464130</v>
      </c>
      <c r="G34" s="358">
        <f>SUM(G21:G32)</f>
        <v>479484.3</v>
      </c>
      <c r="I34" s="358">
        <f>SUM(I21:I32)</f>
        <v>495372.37050000002</v>
      </c>
      <c r="K34" s="358">
        <f>SUM(K21:K32)</f>
        <v>511812.82086749998</v>
      </c>
      <c r="M34" s="358">
        <f>SUM(M21:M32)</f>
        <v>528824.91034586239</v>
      </c>
      <c r="O34" s="358">
        <f>SUM(O21:O32)</f>
        <v>546428.57077092759</v>
      </c>
      <c r="Q34" s="358">
        <f>SUM(Q21:Q32)</f>
        <v>564644.43008212908</v>
      </c>
      <c r="S34" s="358">
        <f>SUM(S21:S32)</f>
        <v>583493.8366559071</v>
      </c>
      <c r="U34" s="358">
        <f>SUM(U21:U32)</f>
        <v>602998.88449018553</v>
      </c>
      <c r="W34" s="358">
        <f>SUM(W21:W32)</f>
        <v>623182.43926969008</v>
      </c>
      <c r="Y34" s="358">
        <f>SUM(Y21:Y32)</f>
        <v>644068.16534292407</v>
      </c>
      <c r="AA34" s="358">
        <f>SUM(AA21:AA32)</f>
        <v>665680.55364269752</v>
      </c>
      <c r="AC34" s="358">
        <f>SUM(AC21:AC32)</f>
        <v>688044.95058321801</v>
      </c>
      <c r="AE34" s="358">
        <f>SUM(AE21:AE32)</f>
        <v>711187.58796791756</v>
      </c>
      <c r="AG34" s="358">
        <f>SUM(AG21:AG32)</f>
        <v>735135.61394336727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383693.69999999995</v>
      </c>
      <c r="G36" s="358">
        <f>G10-G34</f>
        <v>389534.99249999988</v>
      </c>
      <c r="I36" s="358">
        <f>I10-I34</f>
        <v>395372.40431249986</v>
      </c>
      <c r="K36" s="358">
        <f>K10-K34</f>
        <v>401200.57331531233</v>
      </c>
      <c r="M36" s="358">
        <f>M10-M34</f>
        <v>407013.81869152025</v>
      </c>
      <c r="O36" s="358">
        <f>O10-O34</f>
        <v>412806.12649238936</v>
      </c>
      <c r="Q36" s="358">
        <f>Q10-Q34</f>
        <v>418571.13461277075</v>
      </c>
      <c r="S36" s="358">
        <f>S10-S34</f>
        <v>424302.11715636507</v>
      </c>
      <c r="U36" s="358">
        <f>U10-U34</f>
        <v>429991.96816739347</v>
      </c>
      <c r="W36" s="358">
        <f>W10-W34</f>
        <v>435633.18470432796</v>
      </c>
      <c r="Y36" s="358">
        <f>Y10-Y34</f>
        <v>441217.84923044464</v>
      </c>
      <c r="AA36" s="358">
        <f>AA10-AA34</f>
        <v>446737.61129500542</v>
      </c>
      <c r="AC36" s="358">
        <f>AC10-AC34</f>
        <v>452183.66847792722</v>
      </c>
      <c r="AE36" s="358">
        <f>AE10-AE34</f>
        <v>457546.74656975595</v>
      </c>
      <c r="AG36" s="358">
        <f>AG10-AG34</f>
        <v>462817.07895774813</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Tax-Exempt Bonds (Series A)</v>
      </c>
      <c r="B39" s="361"/>
      <c r="C39" s="355"/>
      <c r="E39" s="357">
        <f>Application!AF637</f>
        <v>323688</v>
      </c>
      <c r="F39" s="357"/>
      <c r="G39" s="357">
        <f>$E$39</f>
        <v>323688</v>
      </c>
      <c r="H39" s="357"/>
      <c r="I39" s="357">
        <f>$E$39</f>
        <v>323688</v>
      </c>
      <c r="J39" s="357"/>
      <c r="K39" s="357">
        <f>$E$39</f>
        <v>323688</v>
      </c>
      <c r="L39" s="357"/>
      <c r="M39" s="357">
        <f>$E$39</f>
        <v>323688</v>
      </c>
      <c r="N39" s="357"/>
      <c r="O39" s="357">
        <f>$E$39</f>
        <v>323688</v>
      </c>
      <c r="P39" s="357"/>
      <c r="Q39" s="357">
        <f>$E$39</f>
        <v>323688</v>
      </c>
      <c r="R39" s="357"/>
      <c r="S39" s="357">
        <f>$E$39</f>
        <v>323688</v>
      </c>
      <c r="T39" s="357"/>
      <c r="U39" s="357">
        <f>$E$39</f>
        <v>323688</v>
      </c>
      <c r="V39" s="357"/>
      <c r="W39" s="357">
        <f>$E$39</f>
        <v>323688</v>
      </c>
      <c r="X39" s="357"/>
      <c r="Y39" s="357">
        <f>$E$39</f>
        <v>323688</v>
      </c>
      <c r="Z39" s="357"/>
      <c r="AA39" s="357">
        <f>$E$39</f>
        <v>323688</v>
      </c>
      <c r="AB39" s="357"/>
      <c r="AC39" s="357">
        <f>$E$39</f>
        <v>323688</v>
      </c>
      <c r="AD39" s="357"/>
      <c r="AE39" s="357">
        <f>$E$39</f>
        <v>323688</v>
      </c>
      <c r="AF39" s="357"/>
      <c r="AG39" s="357">
        <f>$E$39</f>
        <v>323688</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323688</v>
      </c>
      <c r="G42" s="358">
        <f>SUM(G39:G41)</f>
        <v>323688</v>
      </c>
      <c r="I42" s="358">
        <f>SUM(I39:I41)</f>
        <v>323688</v>
      </c>
      <c r="K42" s="358">
        <f>SUM(K39:K41)</f>
        <v>323688</v>
      </c>
      <c r="M42" s="358">
        <f>SUM(M39:M41)</f>
        <v>323688</v>
      </c>
      <c r="O42" s="358">
        <f>SUM(O39:O41)</f>
        <v>323688</v>
      </c>
      <c r="Q42" s="358">
        <f>SUM(Q39:Q41)</f>
        <v>323688</v>
      </c>
      <c r="S42" s="358">
        <f>SUM(S39:S41)</f>
        <v>323688</v>
      </c>
      <c r="U42" s="358">
        <f>SUM(U39:U41)</f>
        <v>323688</v>
      </c>
      <c r="W42" s="358">
        <f>SUM(W39:W41)</f>
        <v>323688</v>
      </c>
      <c r="Y42" s="358">
        <f>SUM(Y39:Y41)</f>
        <v>323688</v>
      </c>
      <c r="AA42" s="358">
        <f>SUM(AA39:AA41)</f>
        <v>323688</v>
      </c>
      <c r="AC42" s="358">
        <f>SUM(AC39:AC41)</f>
        <v>323688</v>
      </c>
      <c r="AE42" s="358">
        <f>SUM(AE39:AE41)</f>
        <v>323688</v>
      </c>
      <c r="AG42" s="358">
        <f>SUM(AG39:AG41)</f>
        <v>323688</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60005.699999999953</v>
      </c>
      <c r="G44" s="358">
        <f>G36-G42</f>
        <v>65846.992499999877</v>
      </c>
      <c r="I44" s="358">
        <f>I36-I42</f>
        <v>71684.404312499857</v>
      </c>
      <c r="K44" s="358">
        <f>K36-K42</f>
        <v>77512.573315312329</v>
      </c>
      <c r="M44" s="358">
        <f>M36-M42</f>
        <v>83325.818691520253</v>
      </c>
      <c r="O44" s="358">
        <f>O36-O42</f>
        <v>89118.126492389361</v>
      </c>
      <c r="Q44" s="358">
        <f>Q36-Q42</f>
        <v>94883.134612770751</v>
      </c>
      <c r="S44" s="358">
        <f>S36-S42</f>
        <v>100614.11715636507</v>
      </c>
      <c r="U44" s="358">
        <f>U36-U42</f>
        <v>106303.96816739347</v>
      </c>
      <c r="W44" s="358">
        <f>W36-W42</f>
        <v>111945.18470432796</v>
      </c>
      <c r="Y44" s="358">
        <f>Y36-Y42</f>
        <v>117529.84923044464</v>
      </c>
      <c r="AA44" s="358">
        <f>AA36-AA42</f>
        <v>123049.61129500542</v>
      </c>
      <c r="AC44" s="358">
        <f>AC36-AC42</f>
        <v>128495.66847792722</v>
      </c>
      <c r="AE44" s="358">
        <f>AE36-AE42</f>
        <v>133858.74656975595</v>
      </c>
      <c r="AG44" s="358">
        <f>AG36-AG42</f>
        <v>139129.07895774813</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6.7237345452834066E-2</v>
      </c>
      <c r="G46" s="362">
        <f>G44/(G4+G6+G8)</f>
        <v>7.1983031234027398E-2</v>
      </c>
      <c r="I46" s="362">
        <f>I44/(I4+I6+I8)</f>
        <v>7.6453082883601337E-2</v>
      </c>
      <c r="K46" s="362">
        <f>K44/(K4+K6+K8)</f>
        <v>8.0652644439521137E-2</v>
      </c>
      <c r="M46" s="362">
        <f>M44/(M4+M6+M8)</f>
        <v>8.458671916513745E-2</v>
      </c>
      <c r="O46" s="362">
        <f>O44/(O4+O6+O8)</f>
        <v>8.826017283289482E-2</v>
      </c>
      <c r="Q46" s="362">
        <f>Q44/(Q4+Q6+Q8)</f>
        <v>9.1677736926492934E-2</v>
      </c>
      <c r="S46" s="362">
        <f>S44/(S4+S6+S8)</f>
        <v>9.4844011763468225E-2</v>
      </c>
      <c r="U46" s="362">
        <f>U44/(U4+U6+U8)</f>
        <v>9.7763469540131612E-2</v>
      </c>
      <c r="W46" s="362">
        <f>W44/(W4+W6+W8)</f>
        <v>0.10044045730073321</v>
      </c>
      <c r="Y46" s="362">
        <f>Y44/(Y4+Y6+Y8)</f>
        <v>0.1028791998326947</v>
      </c>
      <c r="AA46" s="362">
        <f>AA44/(AA4+AA6+AA8)</f>
        <v>0.10508380248968838</v>
      </c>
      <c r="AC46" s="362">
        <f>AC44/(AC4+AC6+AC8)</f>
        <v>0.10705825394432129</v>
      </c>
      <c r="AE46" s="362">
        <f>AE44/(AE4+AE6+AE8)</f>
        <v>0.10880642887211167</v>
      </c>
      <c r="AG46" s="362">
        <f>AG44/(AG4+AG6+AG8)</f>
        <v>0.1103320905684302</v>
      </c>
    </row>
    <row r="47" spans="1:33" s="362" customFormat="1" ht="13.45">
      <c r="A47" s="362" t="s">
        <v>914</v>
      </c>
      <c r="C47" s="355"/>
      <c r="E47" s="362">
        <f>E44/E42</f>
        <v>0.18538129309705628</v>
      </c>
      <c r="G47" s="362">
        <f>G44/G42</f>
        <v>0.2034273513383254</v>
      </c>
      <c r="I47" s="362">
        <f>I44/I42</f>
        <v>0.22146142060409979</v>
      </c>
      <c r="K47" s="362">
        <f>K44/K42</f>
        <v>0.23946693518237416</v>
      </c>
      <c r="M47" s="362">
        <f>M44/M42</f>
        <v>0.25742634478732684</v>
      </c>
      <c r="O47" s="362">
        <f>O44/O42</f>
        <v>0.27532106995745709</v>
      </c>
      <c r="Q47" s="362">
        <f>Q44/Q42</f>
        <v>0.29313145563867288</v>
      </c>
      <c r="S47" s="362">
        <f>S44/S42</f>
        <v>0.31083672288242092</v>
      </c>
      <c r="U47" s="362">
        <f>U44/U42</f>
        <v>0.32841491858639638</v>
      </c>
      <c r="W47" s="362">
        <f>W44/W42</f>
        <v>0.3458428632026147</v>
      </c>
      <c r="Y47" s="362">
        <f>Y44/Y42</f>
        <v>0.36309609633487999</v>
      </c>
      <c r="AA47" s="362">
        <f>AA44/AA42</f>
        <v>0.38014882014472401</v>
      </c>
      <c r="AC47" s="362">
        <f>AC44/AC42</f>
        <v>0.39697384048196788</v>
      </c>
      <c r="AE47" s="362">
        <f>AE44/AE42</f>
        <v>0.4135425056528384</v>
      </c>
      <c r="AG47" s="362">
        <f>AG44/AG42</f>
        <v>0.42982464273543702</v>
      </c>
    </row>
    <row r="48" spans="1:33" s="363" customFormat="1" ht="13.45">
      <c r="A48" s="363" t="s">
        <v>912</v>
      </c>
      <c r="C48" s="364"/>
      <c r="E48" s="363">
        <f>E36/E42</f>
        <v>1.1853812930970562</v>
      </c>
      <c r="G48" s="363">
        <f>G36/G42</f>
        <v>1.2034273513383253</v>
      </c>
      <c r="I48" s="363">
        <f>I36/I42</f>
        <v>1.2214614206040999</v>
      </c>
      <c r="K48" s="363">
        <f>K36/K42</f>
        <v>1.2394669351823742</v>
      </c>
      <c r="M48" s="363">
        <f>M36/M42</f>
        <v>1.2574263447873268</v>
      </c>
      <c r="O48" s="363">
        <f>O36/O42</f>
        <v>1.2753210699574571</v>
      </c>
      <c r="Q48" s="363">
        <f>Q36/Q42</f>
        <v>1.2931314556386728</v>
      </c>
      <c r="S48" s="363">
        <f>S36/S42</f>
        <v>1.3108367228824209</v>
      </c>
      <c r="U48" s="363">
        <f>U36/U42</f>
        <v>1.3284149185863963</v>
      </c>
      <c r="W48" s="363">
        <f>W36/W42</f>
        <v>1.3458428632026147</v>
      </c>
      <c r="Y48" s="363">
        <f>Y36/Y42</f>
        <v>1.3630960963348799</v>
      </c>
      <c r="AA48" s="363">
        <f>AA36/AA42</f>
        <v>1.3801488201447241</v>
      </c>
      <c r="AC48" s="363">
        <f>AC36/AC42</f>
        <v>1.3969738404819678</v>
      </c>
      <c r="AE48" s="363">
        <f>AE36/AE42</f>
        <v>1.4135425056528383</v>
      </c>
      <c r="AG48" s="363">
        <f>AG36/AG42</f>
        <v>1.4298246427354371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2619</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8100</v>
      </c>
      <c r="G52" s="1674">
        <f>E52*$C$52</f>
        <v>8100</v>
      </c>
      <c r="I52" s="1674">
        <f>G52*$C$52</f>
        <v>8100</v>
      </c>
      <c r="K52" s="1674">
        <f>I52*$C$52</f>
        <v>8100</v>
      </c>
      <c r="M52" s="1674">
        <f>K52*$C$52</f>
        <v>8100</v>
      </c>
      <c r="O52" s="1674">
        <f>M52*$C$52</f>
        <v>8100</v>
      </c>
      <c r="Q52" s="1674">
        <f>O52*$C$52</f>
        <v>8100</v>
      </c>
      <c r="S52" s="1674">
        <f>Q52*$C$52</f>
        <v>8100</v>
      </c>
      <c r="U52" s="1674">
        <f>S52*$C$52</f>
        <v>8100</v>
      </c>
      <c r="W52" s="1674">
        <f>U52*$C$52</f>
        <v>8100</v>
      </c>
      <c r="Y52" s="1674">
        <f>W52*$C$52</f>
        <v>8100</v>
      </c>
      <c r="AA52" s="1674">
        <f>Y52*$C$52</f>
        <v>8100</v>
      </c>
      <c r="AC52" s="1674">
        <f>AA52*$C$52</f>
        <v>8100</v>
      </c>
      <c r="AE52" s="1674">
        <f>AC52*$C$52</f>
        <v>8100</v>
      </c>
      <c r="AG52" s="1674">
        <f>AE52*$C$52</f>
        <v>8100</v>
      </c>
    </row>
    <row r="53" spans="1:35" s="6" customFormat="1">
      <c r="A53" s="6" t="s">
        <v>917</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13100</v>
      </c>
      <c r="F57" s="1674"/>
      <c r="G57" s="1674">
        <f>SUM(G52:G56)</f>
        <v>13100</v>
      </c>
      <c r="H57" s="1674"/>
      <c r="I57" s="1674">
        <f>SUM(I52:I56)</f>
        <v>13100</v>
      </c>
      <c r="J57" s="1674"/>
      <c r="K57" s="1674">
        <f>SUM(K52:K56)</f>
        <v>13100</v>
      </c>
      <c r="L57" s="1674"/>
      <c r="M57" s="1674">
        <f>SUM(M52:M56)</f>
        <v>13100</v>
      </c>
      <c r="N57" s="1674"/>
      <c r="O57" s="1674">
        <f>SUM(O52:O56)</f>
        <v>13100</v>
      </c>
      <c r="P57" s="1674"/>
      <c r="Q57" s="1674">
        <f>SUM(Q52:Q56)</f>
        <v>13100</v>
      </c>
      <c r="R57" s="1674"/>
      <c r="S57" s="1674">
        <f>SUM(S52:S56)</f>
        <v>13100</v>
      </c>
      <c r="T57" s="1674"/>
      <c r="U57" s="1674">
        <f>SUM(U52:U56)</f>
        <v>13100</v>
      </c>
      <c r="V57" s="1674"/>
      <c r="W57" s="1674">
        <f>SUM(W52:W56)</f>
        <v>13100</v>
      </c>
      <c r="X57" s="1674"/>
      <c r="Y57" s="1674">
        <f>SUM(Y52:Y56)</f>
        <v>13100</v>
      </c>
      <c r="Z57" s="1674"/>
      <c r="AA57" s="1674">
        <f>SUM(AA52:AA56)</f>
        <v>13100</v>
      </c>
      <c r="AB57" s="1674"/>
      <c r="AC57" s="1674">
        <f>SUM(AC52:AC56)</f>
        <v>13100</v>
      </c>
      <c r="AD57" s="1674"/>
      <c r="AE57" s="1674">
        <f>SUM(AE52:AE56)</f>
        <v>13100</v>
      </c>
      <c r="AF57" s="1674"/>
      <c r="AG57" s="1674">
        <f>SUM(AG52:AG56)</f>
        <v>13100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46905.699999999953</v>
      </c>
      <c r="G59" s="1676">
        <f>G44-G57</f>
        <v>52746.992499999877</v>
      </c>
      <c r="I59" s="1676">
        <f>I44-I57</f>
        <v>58584.404312499857</v>
      </c>
      <c r="K59" s="1676">
        <f>K44-K57</f>
        <v>64412.573315312329</v>
      </c>
      <c r="M59" s="1676">
        <f>M44-M57</f>
        <v>70225.818691520253</v>
      </c>
      <c r="O59" s="1676">
        <f>O44-O57</f>
        <v>76018.126492389361</v>
      </c>
      <c r="Q59" s="1676">
        <f>Q44-Q57</f>
        <v>81783.134612770751</v>
      </c>
      <c r="S59" s="1676">
        <f>S44-S57</f>
        <v>87514.117156365071</v>
      </c>
      <c r="U59" s="1676">
        <f>U44-U57</f>
        <v>93203.968167393468</v>
      </c>
      <c r="W59" s="1676">
        <f>W44-W57</f>
        <v>98845.184704327956</v>
      </c>
      <c r="Y59" s="1676">
        <f>Y44-Y57</f>
        <v>104429.84923044464</v>
      </c>
      <c r="AA59" s="1676">
        <f>AA44-AA57</f>
        <v>109949.61129500542</v>
      </c>
      <c r="AC59" s="1676">
        <f>AC44-AC57</f>
        <v>115395.66847792722</v>
      </c>
      <c r="AE59" s="1676">
        <f>AE44-AE57</f>
        <v>120758.74656975595</v>
      </c>
      <c r="AG59" s="1676">
        <f>AG44-AG57</f>
        <v>126029.07895774813</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46905.699999999953</v>
      </c>
      <c r="G61" s="1684">
        <f>G59*$C$61</f>
        <v>52746.992499999877</v>
      </c>
      <c r="H61" s="1684"/>
      <c r="I61" s="1684">
        <f>I59*$C$61</f>
        <v>58584.404312499857</v>
      </c>
      <c r="J61" s="1684"/>
      <c r="K61" s="1684">
        <f>K59*$C$61</f>
        <v>64412.573315312329</v>
      </c>
      <c r="L61" s="1684"/>
      <c r="M61" s="1684">
        <f>M59*$C$61</f>
        <v>70225.818691520253</v>
      </c>
      <c r="N61" s="1684"/>
      <c r="O61" s="1684">
        <f>O59*$C$61</f>
        <v>76018.126492389361</v>
      </c>
      <c r="P61" s="1684"/>
      <c r="Q61" s="1684">
        <f>Q59*$C$61</f>
        <v>81783.134612770751</v>
      </c>
      <c r="R61" s="1684"/>
      <c r="S61" s="1684">
        <f>S59*$C$61</f>
        <v>87514.117156365071</v>
      </c>
      <c r="T61" s="1684"/>
      <c r="U61" s="1684">
        <f>U59*$C$61</f>
        <v>93203.968167393468</v>
      </c>
      <c r="V61" s="1684"/>
      <c r="W61" s="1684">
        <f>W59*$C$61</f>
        <v>98845.184704327956</v>
      </c>
      <c r="Y61" s="1684">
        <f>Y59*$C$61</f>
        <v>104429.84923044464</v>
      </c>
      <c r="AA61" s="1684">
        <f>AA59*$C$61</f>
        <v>109949.61129500542</v>
      </c>
      <c r="AC61" s="1684">
        <v>55381</v>
      </c>
      <c r="AE61" s="1684"/>
      <c r="AG61" s="1684"/>
    </row>
    <row r="62" spans="1:35" s="1684" customFormat="1">
      <c r="A62" s="3358" t="s">
        <v>2619</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2686</v>
      </c>
      <c r="B65" s="1678"/>
      <c r="C65" s="1677"/>
      <c r="E65" s="1678"/>
      <c r="G65" s="1674"/>
      <c r="I65" s="1674"/>
      <c r="K65" s="1674"/>
      <c r="M65" s="1674"/>
      <c r="O65" s="1674"/>
      <c r="Q65" s="1674"/>
      <c r="S65" s="1674"/>
      <c r="U65" s="1674"/>
      <c r="W65" s="1674"/>
      <c r="Y65" s="1674"/>
      <c r="AA65" s="1674"/>
      <c r="AC65" s="1674">
        <f xml:space="preserve"> (AC59-AC61) * (0.5) * (0.2301472)</f>
        <v>6906.1039545616059</v>
      </c>
      <c r="AE65" s="1674">
        <f xml:space="preserve"> (AE59*0.5) * (0.2301472)</f>
        <v>13896.143699269469</v>
      </c>
      <c r="AG65" s="1674">
        <f xml:space="preserve"> (AG59*0.5) * (0.2301472)</f>
        <v>14502.619820352325</v>
      </c>
    </row>
    <row r="66" spans="1:33" s="1674" customFormat="1">
      <c r="A66" s="1679" t="s">
        <v>2657</v>
      </c>
      <c r="B66" s="1679"/>
      <c r="C66" s="1685"/>
      <c r="E66" s="1678"/>
      <c r="AC66" s="1674">
        <f xml:space="preserve"> (AC59-AC61) * (0.5) * (0.06504162)</f>
        <v>1951.7256307836601</v>
      </c>
      <c r="AE66" s="1674">
        <f xml:space="preserve"> (AE59*0.5) * (0.06504162)</f>
        <v>3927.1722530331849</v>
      </c>
      <c r="AG66" s="1674">
        <f xml:space="preserve"> (AG59*0.5) * (0.06504162)</f>
        <v>4098.5677312599246</v>
      </c>
    </row>
    <row r="67" spans="1:33" s="1674" customFormat="1">
      <c r="A67" s="1679" t="s">
        <v>2663</v>
      </c>
      <c r="B67" s="1679"/>
      <c r="C67" s="1685"/>
      <c r="E67" s="1679"/>
      <c r="AC67" s="1674">
        <f xml:space="preserve"> (AC59-AC61) * (0.5) * (0.029378802)</f>
        <v>881.57953115433247</v>
      </c>
      <c r="AE67" s="1674">
        <f xml:space="preserve"> (AE59*0.5) * (0.029378802)</f>
        <v>1773.8736526205196</v>
      </c>
      <c r="AG67" s="1674">
        <f xml:space="preserve"> (AG59*0.5) * (0.029378802)</f>
        <v>1851.2916784710244</v>
      </c>
    </row>
    <row r="68" spans="1:33" s="1674" customFormat="1">
      <c r="A68" s="1679" t="s">
        <v>2683</v>
      </c>
      <c r="B68" s="1679"/>
      <c r="C68" s="1685"/>
      <c r="E68" s="1681"/>
      <c r="G68" s="1682"/>
      <c r="I68" s="1682"/>
      <c r="K68" s="1682"/>
      <c r="M68" s="1682"/>
      <c r="O68" s="1682"/>
      <c r="Q68" s="1682"/>
      <c r="S68" s="1682"/>
      <c r="U68" s="1682"/>
      <c r="W68" s="1682"/>
      <c r="Y68" s="1682"/>
      <c r="AA68" s="1682"/>
      <c r="AC68" s="1682">
        <f xml:space="preserve"> (AC59-AC61) * (0.5) * (0.67543227)</f>
        <v>20267.921881671911</v>
      </c>
      <c r="AE68" s="1682">
        <f xml:space="preserve"> (AE59*0.5) * (0.67543227)</f>
        <v>40782.177158982486</v>
      </c>
      <c r="AG68" s="1682">
        <f xml:space="preserve"> (AG59*0.5) * (0.67543227)</f>
        <v>42562.053443220524</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30007.33099817151</v>
      </c>
      <c r="AE69" s="1686">
        <f>SUM(AE65:AE68)</f>
        <v>60379.366763905666</v>
      </c>
      <c r="AG69" s="1686">
        <f>SUM(AG65:AG68)</f>
        <v>63014.532673303795</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30007.337479755708</v>
      </c>
      <c r="AE71" s="1676">
        <f>AE59-AE61-AE69</f>
        <v>60379.379805850287</v>
      </c>
      <c r="AG71" s="1676">
        <f>AG59-AG61-AG69</f>
        <v>63014.546284444339</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29.95" customHeight="1">
      <c r="A76" s="3356" t="s">
        <v>2218</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4</v>
      </c>
      <c r="C4" s="658">
        <f>Application!O728</f>
        <v>348</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625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12</v>
      </c>
      <c r="C6" s="658">
        <f>Application!O730</f>
        <v>763</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4</v>
      </c>
      <c r="C7" s="658">
        <f>Application!O731</f>
        <v>1040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v>
      </c>
      <c r="C8" s="658">
        <f>Application!O732</f>
        <v>366</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2</v>
      </c>
      <c r="C9" s="658">
        <f>Application!O733</f>
        <v>662</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12</v>
      </c>
      <c r="C10" s="658">
        <f>Application!O734</f>
        <v>810</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2</v>
      </c>
      <c r="C11" s="658">
        <f>Application!O735</f>
        <v>1107</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v>
      </c>
      <c r="C12" s="658">
        <f>Application!O736</f>
        <v>428</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2</v>
      </c>
      <c r="C13" s="658">
        <f>Application!O737</f>
        <v>783</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12</v>
      </c>
      <c r="C14" s="658">
        <f>Application!O738</f>
        <v>961</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5</v>
      </c>
      <c r="C15" s="658">
        <f>Application!O739</f>
        <v>1317</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1</v>
      </c>
      <c r="C16" s="658">
        <f>Application!O740</f>
        <v>484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3</v>
      </c>
      <c r="C17" s="658">
        <f>Application!O741</f>
        <v>895</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12</v>
      </c>
      <c r="C18" s="658">
        <f>Application!O742</f>
        <v>1100</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5</v>
      </c>
      <c r="C19" s="658">
        <f>Application!O743</f>
        <v>1511</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73358</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25"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650000</v>
      </c>
      <c r="C5" s="421">
        <f>'Sources and Uses Budget'!$C4</f>
        <v>650000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650000</v>
      </c>
      <c r="C9" s="425">
        <f>SUM(C5:C8)</f>
        <v>650000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3200000</v>
      </c>
      <c r="C11" s="421">
        <f>'Sources and Uses Budget'!$C10</f>
        <v>3200000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3200000</v>
      </c>
      <c r="C12" s="425">
        <f>SUM(C10:C11)</f>
        <v>3200000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3850000</v>
      </c>
      <c r="C13" s="425">
        <f>SUM(C9+C12)</f>
        <v>3850000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2025000</v>
      </c>
      <c r="C30" s="421">
        <f>'Sources and Uses Budget'!$C29</f>
        <v>2025000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27606900</v>
      </c>
      <c r="C31" s="421">
        <f>'Sources and Uses Budget'!$C30</f>
        <v>27606900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1969914</v>
      </c>
      <c r="C32" s="421">
        <f>'Sources and Uses Budget'!$C31</f>
        <v>1969914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696036</v>
      </c>
      <c r="C33" s="421">
        <f>'Sources and Uses Budget'!$C32</f>
        <v>696036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2088109</v>
      </c>
      <c r="C34" s="421">
        <f>'Sources and Uses Budget'!$C33</f>
        <v>2088109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325000</v>
      </c>
      <c r="C36" s="421">
        <f>'Sources and Uses Budget'!$C35</f>
        <v>325000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34710959</v>
      </c>
      <c r="C39" s="425">
        <f>SUM(C30:C38)</f>
        <v>34710959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500000</v>
      </c>
      <c r="C41" s="421">
        <f>'Sources and Uses Budget'!$C40</f>
        <v>500000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100000</v>
      </c>
      <c r="C42" s="421">
        <f>'Sources and Uses Budget'!$C41</f>
        <v>100000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195000</v>
      </c>
      <c r="C44" s="421">
        <f>'Sources and Uses Budget'!$C43</f>
        <v>195000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1140000</v>
      </c>
      <c r="C46" s="421">
        <f>'Sources and Uses Budget'!$C45</f>
        <v>1140000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260000</v>
      </c>
      <c r="C47" s="421">
        <f>'Sources and Uses Budget'!$C46</f>
        <v>260000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271800</v>
      </c>
      <c r="C53" s="421">
        <f>'Sources and Uses Budget'!$C52</f>
        <v>271800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2121800</v>
      </c>
      <c r="C55" s="428">
        <f>SUM(C46:C54)</f>
        <v>2121800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30000</v>
      </c>
      <c r="C57" s="421">
        <f>'Sources and Uses Budget'!$C56</f>
        <v>30000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80000</v>
      </c>
      <c r="C62" s="421">
        <f>'Sources and Uses Budget'!$C61</f>
        <v>80000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160000</v>
      </c>
      <c r="C63" s="425">
        <f>SUM(C57:C62)</f>
        <v>160000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41637759</v>
      </c>
      <c r="C64" s="425">
        <f>SUM(C9+C12+C14+C15+C17+C26+C28+C39+C43+C44+C55+C63)</f>
        <v>41637759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196955</v>
      </c>
      <c r="C76" s="421">
        <f>'Sources and Uses Budget'!$C75</f>
        <v>196955</v>
      </c>
      <c r="D76" s="425">
        <f t="shared" si="0"/>
        <v>0</v>
      </c>
      <c r="E76" s="423"/>
      <c r="F76" s="422"/>
      <c r="G76" s="553"/>
    </row>
    <row r="77" spans="1:253" s="547" customFormat="1">
      <c r="A77" s="427" t="s">
        <v>35</v>
      </c>
      <c r="B77" s="421">
        <f>'Sources and Uses Budget'!$C76</f>
        <v>200000</v>
      </c>
      <c r="C77" s="421">
        <f>'Sources and Uses Budget'!$C76</f>
        <v>200000</v>
      </c>
      <c r="D77" s="425">
        <f t="shared" si="0"/>
        <v>0</v>
      </c>
      <c r="E77" s="423"/>
      <c r="F77" s="422"/>
      <c r="G77" s="553"/>
    </row>
    <row r="78" spans="1:253" s="547" customFormat="1">
      <c r="A78" s="426" t="s">
        <v>640</v>
      </c>
      <c r="B78" s="425">
        <f>SUM(B73:B77)</f>
        <v>396955</v>
      </c>
      <c r="C78" s="425">
        <f>SUM(C73:C77)</f>
        <v>396955</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2200000</v>
      </c>
      <c r="C80" s="421">
        <f>'Sources and Uses Budget'!$C79</f>
        <v>2200000</v>
      </c>
      <c r="D80" s="425">
        <f t="shared" si="1"/>
        <v>0</v>
      </c>
      <c r="E80" s="423"/>
      <c r="F80" s="422"/>
      <c r="G80" s="553"/>
    </row>
    <row r="81" spans="1:7" s="547" customFormat="1">
      <c r="A81" s="861" t="s">
        <v>61</v>
      </c>
      <c r="B81" s="421">
        <f>'Sources and Uses Budget'!$C80</f>
        <v>400000</v>
      </c>
      <c r="C81" s="421">
        <f>'Sources and Uses Budget'!$C80</f>
        <v>400000</v>
      </c>
      <c r="D81" s="425">
        <f>C81-B81</f>
        <v>0</v>
      </c>
      <c r="E81" s="423"/>
      <c r="F81" s="422"/>
      <c r="G81" s="553"/>
    </row>
    <row r="82" spans="1:7" s="547" customFormat="1">
      <c r="A82" s="426" t="s">
        <v>1417</v>
      </c>
      <c r="B82" s="425">
        <f>SUM(B80:B81)</f>
        <v>2600000</v>
      </c>
      <c r="C82" s="425">
        <f>SUM(C80:C81)</f>
        <v>2600000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60075</v>
      </c>
      <c r="C84" s="421">
        <f>'Sources and Uses Budget'!$C83</f>
        <v>60075</v>
      </c>
      <c r="D84" s="425">
        <f t="shared" si="1"/>
        <v>0</v>
      </c>
      <c r="E84" s="423"/>
      <c r="F84" s="422"/>
      <c r="G84" s="553"/>
    </row>
    <row r="85" spans="1:7" s="547" customFormat="1">
      <c r="A85" s="424" t="s">
        <v>824</v>
      </c>
      <c r="B85" s="421">
        <f>'Sources and Uses Budget'!$C84</f>
        <v>5000</v>
      </c>
      <c r="C85" s="421">
        <f>'Sources and Uses Budget'!$C84</f>
        <v>5000</v>
      </c>
      <c r="D85" s="425">
        <f t="shared" si="1"/>
        <v>0</v>
      </c>
      <c r="E85" s="423"/>
      <c r="F85" s="422"/>
      <c r="G85" s="553"/>
    </row>
    <row r="86" spans="1:7" s="547" customFormat="1">
      <c r="A86" s="424" t="s">
        <v>825</v>
      </c>
      <c r="B86" s="421">
        <f>'Sources and Uses Budget'!$C85</f>
        <v>1182086</v>
      </c>
      <c r="C86" s="421">
        <f>'Sources and Uses Budget'!$C85</f>
        <v>1182086</v>
      </c>
      <c r="D86" s="425">
        <f t="shared" si="1"/>
        <v>0</v>
      </c>
      <c r="E86" s="423"/>
      <c r="F86" s="422"/>
      <c r="G86" s="553"/>
    </row>
    <row r="87" spans="1:7" s="547" customFormat="1">
      <c r="A87" s="424" t="s">
        <v>826</v>
      </c>
      <c r="B87" s="421">
        <f>'Sources and Uses Budget'!$C86</f>
        <v>300000</v>
      </c>
      <c r="C87" s="421">
        <f>'Sources and Uses Budget'!$C86</f>
        <v>300000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132420</v>
      </c>
      <c r="C89" s="421">
        <f>'Sources and Uses Budget'!$C88</f>
        <v>132420</v>
      </c>
      <c r="D89" s="425">
        <f t="shared" si="1"/>
        <v>0</v>
      </c>
      <c r="E89" s="423"/>
      <c r="F89" s="422"/>
      <c r="G89" s="553"/>
    </row>
    <row r="90" spans="1:7" s="547" customFormat="1">
      <c r="A90" s="424" t="s">
        <v>829</v>
      </c>
      <c r="B90" s="421">
        <f>'Sources and Uses Budget'!$C89</f>
        <v>50000</v>
      </c>
      <c r="C90" s="421">
        <f>'Sources and Uses Budget'!$C89</f>
        <v>50000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1769581</v>
      </c>
      <c r="C97" s="425">
        <f>SUM(C84:C96)</f>
        <v>1769581</v>
      </c>
      <c r="D97" s="425">
        <f t="shared" si="1"/>
        <v>0</v>
      </c>
      <c r="E97" s="423"/>
      <c r="F97" s="422"/>
      <c r="G97" s="553"/>
    </row>
    <row r="98" spans="1:7" s="547" customFormat="1">
      <c r="A98" s="426" t="s">
        <v>832</v>
      </c>
      <c r="B98" s="425">
        <f>SUM(B64+B71+B78+B82+B97)</f>
        <v>46504295</v>
      </c>
      <c r="C98" s="425">
        <f>SUM(C64+C71+C78+C82+C97)</f>
        <v>46504295</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50004295</v>
      </c>
      <c r="C106" s="428">
        <f>SUM(C98+C105)</f>
        <v>50004295</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1156</v>
      </c>
      <c r="B2" s="1912"/>
      <c r="C2" s="1913"/>
      <c r="D2" s="1913"/>
      <c r="E2" s="1913"/>
      <c r="F2" s="1913"/>
      <c r="G2" s="1913"/>
    </row>
    <row r="3" spans="1:9" s="256" customFormat="1">
      <c r="A3" s="1912" t="s">
        <v>1086</v>
      </c>
      <c r="B3" s="1912"/>
      <c r="C3" s="1913"/>
      <c r="D3" s="1913"/>
      <c r="E3" s="1913"/>
      <c r="F3" s="1913"/>
      <c r="G3" s="1913"/>
      <c r="I3" s="677" t="s">
        <v>316</v>
      </c>
    </row>
    <row r="4" spans="1:9">
      <c r="I4" s="678" t="s">
        <v>1157</v>
      </c>
    </row>
    <row r="5" spans="1:9" s="39" customFormat="1">
      <c r="A5" s="1916" t="s">
        <v>1087</v>
      </c>
      <c r="B5" s="1916"/>
      <c r="C5" s="1917"/>
      <c r="D5" s="1917"/>
      <c r="E5" s="1917"/>
      <c r="F5" s="1917"/>
      <c r="G5" s="1917"/>
      <c r="I5" s="678" t="s">
        <v>1158</v>
      </c>
    </row>
    <row r="6" spans="1:9" s="39" customFormat="1">
      <c r="A6" s="1916" t="s">
        <v>879</v>
      </c>
      <c r="B6" s="1916"/>
      <c r="C6" s="1917"/>
      <c r="D6" s="1917"/>
      <c r="E6" s="1917"/>
      <c r="F6" s="1917"/>
      <c r="G6" s="1917"/>
      <c r="I6" s="677" t="s">
        <v>625</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8"/>
      <c r="B10" s="258"/>
      <c r="C10" s="255"/>
      <c r="D10" s="255"/>
      <c r="E10" s="255"/>
      <c r="F10" s="255"/>
    </row>
    <row r="11" spans="1:9">
      <c r="A11" s="1918" t="s">
        <v>1256</v>
      </c>
      <c r="B11" s="1918"/>
      <c r="C11" s="1918"/>
      <c r="D11" s="1918"/>
      <c r="E11" s="1918"/>
      <c r="F11" s="1918"/>
      <c r="G11" s="1918"/>
    </row>
    <row r="12" spans="1:9">
      <c r="A12" s="255"/>
      <c r="B12" s="673"/>
      <c r="E12" s="50"/>
    </row>
    <row r="13" spans="1:9" ht="13.2" customHeight="1">
      <c r="C13" s="255"/>
      <c r="D13" s="1936" t="s">
        <v>1255</v>
      </c>
      <c r="E13" s="1936"/>
      <c r="F13" s="1936"/>
    </row>
    <row r="14" spans="1:9">
      <c r="C14" s="255"/>
      <c r="D14" s="1936"/>
      <c r="E14" s="1936"/>
      <c r="F14" s="1936"/>
    </row>
    <row r="15" spans="1:9">
      <c r="A15" s="260"/>
      <c r="B15" s="260"/>
      <c r="C15" s="260"/>
      <c r="D15" s="1875" t="s">
        <v>1238</v>
      </c>
      <c r="E15" s="1875"/>
      <c r="F15" s="1875"/>
    </row>
    <row r="16" spans="1:9">
      <c r="A16" s="260"/>
      <c r="B16" s="260"/>
      <c r="C16" s="260"/>
      <c r="D16" s="327"/>
    </row>
    <row r="17" spans="1:7" ht="14">
      <c r="A17" s="261"/>
      <c r="B17" s="679" t="s">
        <v>316</v>
      </c>
      <c r="C17" s="313"/>
      <c r="D17" s="1862" t="s">
        <v>1239</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1240</v>
      </c>
      <c r="E21" s="1928"/>
      <c r="F21" s="1928"/>
    </row>
    <row r="22" spans="1:7" ht="14">
      <c r="A22" s="261"/>
      <c r="B22" s="261"/>
      <c r="D22" s="135"/>
    </row>
    <row r="23" spans="1:7" ht="14">
      <c r="A23" s="261"/>
      <c r="B23" s="679" t="s">
        <v>316</v>
      </c>
      <c r="D23" s="1862" t="s">
        <v>1241</v>
      </c>
      <c r="E23" s="1862"/>
      <c r="F23" s="1862"/>
    </row>
    <row r="24" spans="1:7" ht="14">
      <c r="A24" s="261"/>
      <c r="B24" s="261"/>
      <c r="D24" s="1862"/>
      <c r="E24" s="1862"/>
      <c r="F24" s="1862"/>
    </row>
    <row r="25" spans="1:7"/>
    <row r="26" spans="1:7" ht="14">
      <c r="A26" s="261"/>
      <c r="B26" s="679" t="s">
        <v>316</v>
      </c>
      <c r="D26" s="1897" t="s">
        <v>1242</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1243</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1244</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1245</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1246</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1247</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1248</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1249</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1250</v>
      </c>
      <c r="E61" s="1863"/>
      <c r="F61" s="1863"/>
    </row>
    <row r="62" spans="1:7">
      <c r="D62" s="1863"/>
      <c r="E62" s="1863"/>
      <c r="F62" s="1863"/>
    </row>
    <row r="63" spans="1:7"/>
    <row r="64" spans="1:7" ht="14">
      <c r="A64" s="261"/>
      <c r="B64" s="679" t="s">
        <v>316</v>
      </c>
      <c r="D64" s="1863" t="s">
        <v>1251</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1252</v>
      </c>
      <c r="E68" s="1862"/>
      <c r="F68" s="1862"/>
    </row>
    <row r="69" spans="1:7">
      <c r="D69" s="1862"/>
      <c r="E69" s="1862"/>
      <c r="F69" s="1862"/>
    </row>
    <row r="70" spans="1:7" ht="14">
      <c r="A70" s="261"/>
      <c r="B70" s="261"/>
      <c r="D70" s="135"/>
    </row>
    <row r="71" spans="1:7">
      <c r="A71" s="1882" t="s">
        <v>1159</v>
      </c>
      <c r="B71" s="1882"/>
      <c r="C71" s="1882"/>
      <c r="D71" s="1882"/>
      <c r="E71" s="1882"/>
      <c r="F71" s="1882"/>
      <c r="G71" s="1882"/>
    </row>
    <row r="72" spans="1:7"/>
    <row r="73" spans="1:7">
      <c r="C73" s="262"/>
      <c r="D73" s="1911" t="s">
        <v>1257</v>
      </c>
      <c r="E73" s="1911"/>
      <c r="F73" s="1911"/>
    </row>
    <row r="74" spans="1:7">
      <c r="A74" s="135"/>
      <c r="B74" s="135"/>
      <c r="D74" s="1862" t="s">
        <v>1284</v>
      </c>
      <c r="E74" s="1862"/>
      <c r="F74" s="1862"/>
    </row>
    <row r="75" spans="1:7">
      <c r="A75" s="135"/>
      <c r="B75" s="135"/>
    </row>
    <row r="76" spans="1:7" ht="14">
      <c r="A76" s="261"/>
      <c r="B76" s="679" t="s">
        <v>316</v>
      </c>
      <c r="D76" s="1862" t="s">
        <v>1258</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1357</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1259</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1260</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1261</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1263</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1371</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1264</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1265</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1266</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1160</v>
      </c>
      <c r="B168" s="1882"/>
      <c r="C168" s="1882"/>
      <c r="D168" s="1882"/>
      <c r="E168" s="1882"/>
      <c r="F168" s="1882"/>
      <c r="G168" s="1882"/>
    </row>
    <row r="169" spans="1:7" ht="11.95" customHeight="1">
      <c r="D169" s="135"/>
      <c r="E169" s="135"/>
      <c r="F169" s="135"/>
    </row>
    <row r="170" spans="1:7">
      <c r="B170" s="1910" t="s">
        <v>469</v>
      </c>
      <c r="C170" s="1910"/>
      <c r="D170" s="1910"/>
      <c r="E170" s="1910"/>
      <c r="F170" s="1910"/>
    </row>
    <row r="171" spans="1:7" ht="11.95" customHeight="1">
      <c r="A171" s="255"/>
      <c r="B171" s="673"/>
      <c r="C171" s="255"/>
    </row>
    <row r="172" spans="1:7">
      <c r="A172" s="1882" t="s">
        <v>1161</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1269</v>
      </c>
      <c r="E174" s="1906"/>
      <c r="F174" s="1906"/>
      <c r="G174" s="57"/>
    </row>
    <row r="175" spans="1:7">
      <c r="A175" s="264"/>
      <c r="B175" s="264"/>
      <c r="C175" s="265"/>
      <c r="D175" s="1906"/>
      <c r="E175" s="1906"/>
      <c r="F175" s="1906"/>
      <c r="G175" s="57"/>
    </row>
    <row r="176" spans="1:7" s="719" customFormat="1">
      <c r="A176" s="721"/>
      <c r="B176" s="721"/>
      <c r="C176" s="265"/>
      <c r="D176" s="1907" t="s">
        <v>1270</v>
      </c>
      <c r="E176" s="1907"/>
      <c r="F176" s="1907"/>
      <c r="G176" s="57"/>
    </row>
    <row r="177" spans="1:7" ht="11.95" customHeight="1">
      <c r="A177" s="264"/>
      <c r="B177" s="264"/>
      <c r="C177" s="265"/>
      <c r="D177" s="57"/>
      <c r="E177" s="49"/>
      <c r="F177" s="57"/>
      <c r="G177" s="57"/>
    </row>
    <row r="178" spans="1:7" ht="14">
      <c r="A178" s="261"/>
      <c r="B178" s="679" t="s">
        <v>316</v>
      </c>
      <c r="C178" s="265"/>
      <c r="D178" s="1900" t="s">
        <v>1268</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1177</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1267</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1162</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1291</v>
      </c>
      <c r="E194" s="1887"/>
      <c r="F194" s="1887"/>
    </row>
    <row r="195" spans="1:6" ht="11.95" customHeight="1">
      <c r="A195" s="23"/>
      <c r="B195" s="675"/>
      <c r="C195" s="23"/>
    </row>
    <row r="196" spans="1:6" ht="13.2" customHeight="1">
      <c r="A196" s="23"/>
      <c r="C196" s="23"/>
      <c r="D196" s="1885" t="s">
        <v>578</v>
      </c>
      <c r="E196" s="1885"/>
      <c r="F196" s="1885"/>
    </row>
    <row r="197" spans="1:6" ht="14">
      <c r="A197" s="261"/>
      <c r="B197" s="679" t="s">
        <v>316</v>
      </c>
      <c r="D197" s="1862" t="s">
        <v>1285</v>
      </c>
      <c r="E197" s="1862"/>
      <c r="F197" s="1862"/>
    </row>
    <row r="198" spans="1:6" ht="14">
      <c r="A198" s="261"/>
      <c r="B198" s="261"/>
      <c r="D198" s="1862"/>
      <c r="E198" s="1862"/>
      <c r="F198" s="1862"/>
    </row>
    <row r="199" spans="1:6"/>
    <row r="200" spans="1:6" ht="14">
      <c r="A200" s="261"/>
      <c r="B200" s="679" t="s">
        <v>316</v>
      </c>
      <c r="D200" s="1862" t="s">
        <v>1286</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1287</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1288</v>
      </c>
      <c r="E210" s="1876"/>
      <c r="F210" s="1876"/>
    </row>
    <row r="211" spans="1:7" ht="14">
      <c r="A211" s="261"/>
      <c r="B211" s="261"/>
      <c r="D211" s="1876"/>
      <c r="E211" s="1876"/>
      <c r="F211" s="1876"/>
    </row>
    <row r="212" spans="1:7" ht="14">
      <c r="A212" s="261"/>
      <c r="B212" s="261"/>
      <c r="D212" s="1910" t="s">
        <v>962</v>
      </c>
      <c r="E212" s="1910"/>
      <c r="F212" s="1910"/>
    </row>
    <row r="213" spans="1:7" ht="14">
      <c r="A213" s="261"/>
      <c r="B213" s="261"/>
      <c r="D213" s="135"/>
      <c r="E213" s="135"/>
      <c r="F213" s="135"/>
    </row>
    <row r="214" spans="1:7" ht="14.55" customHeight="1">
      <c r="A214" s="261"/>
      <c r="B214" s="679" t="s">
        <v>316</v>
      </c>
      <c r="D214" s="1876" t="s">
        <v>1290</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1289</v>
      </c>
      <c r="E220" s="1862"/>
      <c r="F220" s="1862"/>
    </row>
    <row r="221" spans="1:7" ht="14">
      <c r="A221" s="261"/>
      <c r="B221" s="261"/>
      <c r="D221" s="1862"/>
      <c r="E221" s="1862"/>
      <c r="F221" s="1862"/>
    </row>
    <row r="222" spans="1:7">
      <c r="D222" s="29"/>
    </row>
    <row r="223" spans="1:7">
      <c r="A223" s="1882" t="s">
        <v>1163</v>
      </c>
      <c r="B223" s="1882"/>
      <c r="C223" s="1882"/>
      <c r="D223" s="1882"/>
      <c r="E223" s="1882"/>
      <c r="F223" s="1882"/>
      <c r="G223" s="1882"/>
    </row>
    <row r="224" spans="1:7">
      <c r="D224" s="29"/>
    </row>
    <row r="225" spans="1:6">
      <c r="C225" s="262"/>
      <c r="D225" s="1885" t="s">
        <v>1292</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1293</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1294</v>
      </c>
      <c r="E231" s="1876"/>
      <c r="F231" s="1876"/>
    </row>
    <row r="232" spans="1:6">
      <c r="D232" s="1876"/>
      <c r="E232" s="1876"/>
      <c r="F232" s="1876"/>
    </row>
    <row r="233" spans="1:6">
      <c r="D233" s="1887" t="s">
        <v>953</v>
      </c>
      <c r="E233" s="1887"/>
      <c r="F233" s="1887"/>
    </row>
    <row r="234" spans="1:6">
      <c r="D234" s="135"/>
      <c r="E234" s="135"/>
      <c r="F234" s="135"/>
    </row>
    <row r="235" spans="1:6" ht="14.55" customHeight="1">
      <c r="A235" s="261"/>
      <c r="B235" s="679" t="s">
        <v>316</v>
      </c>
      <c r="D235" s="1876" t="s">
        <v>1296</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1295</v>
      </c>
      <c r="E241" s="1862"/>
      <c r="F241" s="1862"/>
    </row>
    <row r="242" spans="1:7">
      <c r="D242" s="1862"/>
      <c r="E242" s="1862"/>
      <c r="F242" s="1862"/>
    </row>
    <row r="243" spans="1:7">
      <c r="D243" s="1862"/>
      <c r="E243" s="1862"/>
      <c r="F243" s="1862"/>
    </row>
    <row r="244" spans="1:7">
      <c r="D244" s="263"/>
      <c r="E244" s="135"/>
      <c r="F244" s="135"/>
    </row>
    <row r="245" spans="1:7">
      <c r="A245" s="1882" t="s">
        <v>1164</v>
      </c>
      <c r="B245" s="1882"/>
      <c r="C245" s="1882"/>
      <c r="D245" s="1882"/>
      <c r="E245" s="1882"/>
      <c r="F245" s="1882"/>
      <c r="G245" s="1882"/>
    </row>
    <row r="246" spans="1:7">
      <c r="D246" s="263"/>
      <c r="E246" s="135"/>
      <c r="F246" s="135"/>
    </row>
    <row r="247" spans="1:7">
      <c r="C247" s="255"/>
      <c r="D247" s="1911" t="s">
        <v>1297</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1298</v>
      </c>
      <c r="E251" s="1893"/>
      <c r="F251" s="1893"/>
    </row>
    <row r="252" spans="1:7">
      <c r="E252" s="135"/>
      <c r="F252" s="135"/>
    </row>
    <row r="253" spans="1:7" ht="14">
      <c r="A253" s="261"/>
      <c r="B253" s="679" t="s">
        <v>316</v>
      </c>
      <c r="D253" s="1862" t="s">
        <v>1299</v>
      </c>
      <c r="E253" s="1862"/>
      <c r="F253" s="1862"/>
    </row>
    <row r="254" spans="1:7" ht="14">
      <c r="A254" s="261"/>
      <c r="B254" s="261"/>
      <c r="D254" s="1862"/>
      <c r="E254" s="1862"/>
      <c r="F254" s="1862"/>
    </row>
    <row r="255" spans="1:7">
      <c r="D255" s="135"/>
      <c r="E255" s="135"/>
      <c r="F255" s="135"/>
    </row>
    <row r="256" spans="1:7" ht="14">
      <c r="A256" s="261"/>
      <c r="B256" s="679" t="s">
        <v>316</v>
      </c>
      <c r="D256" s="1876" t="s">
        <v>1300</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1301</v>
      </c>
      <c r="E260" s="1862"/>
      <c r="F260" s="1862"/>
    </row>
    <row r="261" spans="1:7" ht="14">
      <c r="A261" s="261"/>
      <c r="B261" s="261"/>
      <c r="D261" s="1862"/>
      <c r="E261" s="1862"/>
      <c r="F261" s="1862"/>
    </row>
    <row r="262" spans="1:7">
      <c r="A262" s="23"/>
      <c r="B262" s="675"/>
      <c r="E262" s="135"/>
      <c r="F262" s="135"/>
    </row>
    <row r="263" spans="1:7">
      <c r="A263" s="1882" t="s">
        <v>1165</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1302</v>
      </c>
      <c r="E266" s="1875"/>
      <c r="F266" s="1875"/>
    </row>
    <row r="267" spans="1:7">
      <c r="C267" s="23"/>
      <c r="D267" s="259"/>
    </row>
    <row r="268" spans="1:7">
      <c r="A268" s="273"/>
      <c r="B268" s="679" t="s">
        <v>316</v>
      </c>
      <c r="D268" s="1875" t="s">
        <v>1303</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1304</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1305</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1306</v>
      </c>
      <c r="E279" s="1875"/>
      <c r="F279" s="1875"/>
    </row>
    <row r="280" spans="1:7">
      <c r="E280" s="135"/>
      <c r="F280" s="135"/>
    </row>
    <row r="281" spans="1:7" ht="14">
      <c r="A281" s="261"/>
      <c r="B281" s="679" t="s">
        <v>316</v>
      </c>
      <c r="D281" s="1876" t="s">
        <v>1307</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1308</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1058</v>
      </c>
      <c r="E314" s="1894"/>
      <c r="F314" s="1894"/>
      <c r="G314" s="12"/>
    </row>
    <row r="315" spans="1:7" s="719" customFormat="1" ht="13.45" thickTop="1">
      <c r="A315" s="731"/>
      <c r="B315" s="731"/>
      <c r="C315" s="731"/>
      <c r="D315" s="1895" t="s">
        <v>1310</v>
      </c>
      <c r="E315" s="1895"/>
      <c r="F315" s="1895"/>
    </row>
    <row r="316" spans="1:7">
      <c r="A316" s="325"/>
      <c r="B316" s="325"/>
      <c r="C316" s="325"/>
      <c r="D316" s="467"/>
      <c r="E316" s="467"/>
      <c r="F316" s="135"/>
      <c r="G316" s="12"/>
    </row>
    <row r="317" spans="1:7" ht="14">
      <c r="A317" s="261"/>
      <c r="B317" s="679" t="s">
        <v>316</v>
      </c>
      <c r="C317" s="325"/>
      <c r="D317" s="1896" t="s">
        <v>1311</v>
      </c>
      <c r="E317" s="1896"/>
      <c r="F317" s="1896"/>
      <c r="G317" s="12"/>
    </row>
    <row r="318" spans="1:7">
      <c r="A318" s="325"/>
      <c r="B318" s="325"/>
      <c r="C318" s="325"/>
      <c r="D318" s="467"/>
      <c r="E318" s="467"/>
      <c r="F318" s="135"/>
      <c r="G318" s="12"/>
    </row>
    <row r="319" spans="1:7">
      <c r="A319" s="325"/>
      <c r="B319" s="679" t="s">
        <v>316</v>
      </c>
      <c r="C319" s="325"/>
      <c r="D319" s="1891" t="s">
        <v>1312</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1313</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1314</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1315</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1316</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1317</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1318</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1319</v>
      </c>
      <c r="E405" s="1875"/>
      <c r="F405" s="1875"/>
    </row>
    <row r="406" spans="1:7">
      <c r="D406" s="1892" t="s">
        <v>1083</v>
      </c>
      <c r="E406" s="1892"/>
      <c r="F406" s="1892"/>
    </row>
    <row r="407" spans="1:7">
      <c r="D407" s="1876" t="s">
        <v>1320</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1321</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1322</v>
      </c>
      <c r="E416" s="1876"/>
      <c r="F416" s="1876"/>
      <c r="G416" s="12"/>
    </row>
    <row r="417" spans="1:7">
      <c r="D417" s="1876"/>
      <c r="E417" s="1876"/>
      <c r="F417" s="1876"/>
      <c r="G417" s="12"/>
    </row>
    <row r="418" spans="1:7">
      <c r="D418" s="135"/>
      <c r="E418" s="135"/>
      <c r="F418" s="135"/>
      <c r="G418" s="12"/>
    </row>
    <row r="419" spans="1:7" ht="14">
      <c r="B419" s="679" t="s">
        <v>316</v>
      </c>
      <c r="C419" s="261"/>
      <c r="D419" s="1876" t="s">
        <v>1323</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1324</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1325</v>
      </c>
      <c r="E440" s="1877"/>
      <c r="F440" s="1877"/>
    </row>
    <row r="441" spans="1:7">
      <c r="A441" s="135"/>
      <c r="B441" s="135"/>
    </row>
    <row r="442" spans="1:7">
      <c r="A442" s="1882" t="s">
        <v>1166</v>
      </c>
      <c r="B442" s="1882"/>
      <c r="C442" s="1882"/>
      <c r="D442" s="1882"/>
      <c r="E442" s="1882"/>
      <c r="F442" s="1882"/>
      <c r="G442" s="1882"/>
    </row>
    <row r="443" spans="1:7">
      <c r="A443" s="135"/>
      <c r="B443" s="135"/>
    </row>
    <row r="444" spans="1:7">
      <c r="D444" s="1878" t="s">
        <v>947</v>
      </c>
      <c r="E444" s="1878"/>
      <c r="F444" s="1878"/>
    </row>
    <row r="445" spans="1:7" s="39" customFormat="1" ht="14">
      <c r="A445" s="403"/>
      <c r="B445" s="403"/>
      <c r="C445" s="273"/>
      <c r="D445" s="1879" t="s">
        <v>1326</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1327</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1328</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1329</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1330</v>
      </c>
      <c r="E459" s="1875"/>
      <c r="F459" s="1875"/>
      <c r="G459" s="12"/>
    </row>
    <row r="460" spans="1:7" ht="14">
      <c r="A460" s="261"/>
      <c r="B460" s="261"/>
      <c r="D460" s="730"/>
      <c r="E460" s="6"/>
      <c r="F460" s="6"/>
      <c r="G460" s="12"/>
    </row>
    <row r="461" spans="1:7" ht="14">
      <c r="A461" s="261"/>
      <c r="B461" s="679" t="s">
        <v>316</v>
      </c>
      <c r="D461" s="1862" t="s">
        <v>1331</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1332</v>
      </c>
      <c r="E464" s="1875"/>
      <c r="F464" s="1875"/>
      <c r="G464" s="12"/>
    </row>
    <row r="465" spans="1:7" ht="14">
      <c r="A465" s="261"/>
      <c r="B465" s="261"/>
      <c r="D465" s="135"/>
    </row>
    <row r="466" spans="1:7">
      <c r="A466" s="1882" t="s">
        <v>1167</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2" customHeight="1">
      <c r="A469" s="260"/>
      <c r="B469" s="260"/>
      <c r="C469" s="313"/>
      <c r="D469" s="1884" t="s">
        <v>1210</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1201</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1204</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1202</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1203</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1347</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1205</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1168</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1169</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1226</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948</v>
      </c>
      <c r="E519" s="1875"/>
      <c r="F519" s="1875"/>
      <c r="G519" s="12"/>
    </row>
    <row r="520" spans="1:7" ht="13.2" customHeight="1">
      <c r="A520" s="266"/>
      <c r="B520" s="266"/>
      <c r="C520" s="266"/>
      <c r="D520" s="704"/>
      <c r="E520" s="677"/>
      <c r="F520" s="677"/>
      <c r="G520" s="12"/>
    </row>
    <row r="521" spans="1:7" ht="14">
      <c r="A521" s="261"/>
      <c r="B521" s="679" t="s">
        <v>316</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1348</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1231</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1233</v>
      </c>
      <c r="E543" s="1875"/>
      <c r="F543" s="1875"/>
      <c r="G543" s="57"/>
    </row>
    <row r="544" spans="1:7">
      <c r="A544" s="23"/>
      <c r="B544" s="675"/>
      <c r="C544" s="266"/>
      <c r="D544" s="1875" t="s">
        <v>880</v>
      </c>
      <c r="E544" s="1875"/>
      <c r="F544" s="1875"/>
      <c r="G544" s="57"/>
    </row>
    <row r="545" spans="1:7">
      <c r="A545" s="23"/>
      <c r="B545" s="675"/>
      <c r="C545" s="266"/>
      <c r="D545" s="6"/>
      <c r="E545" s="1893" t="s">
        <v>1234</v>
      </c>
      <c r="F545" s="1893"/>
      <c r="G545" s="57"/>
    </row>
    <row r="546" spans="1:7" ht="14">
      <c r="A546" s="261"/>
      <c r="B546" s="261"/>
      <c r="C546" s="266"/>
      <c r="E546" s="135"/>
      <c r="F546" s="135"/>
      <c r="G546" s="57"/>
    </row>
    <row r="547" spans="1:7" ht="14">
      <c r="A547" s="261"/>
      <c r="B547" s="679" t="s">
        <v>316</v>
      </c>
      <c r="C547" s="266"/>
      <c r="D547" s="1937" t="s">
        <v>1235</v>
      </c>
      <c r="E547" s="1937"/>
      <c r="F547" s="1937"/>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1237</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1170</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1186</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1187</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1188</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1189</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1190</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949</v>
      </c>
      <c r="E579" s="1905"/>
      <c r="F579" s="1905"/>
    </row>
    <row r="580" spans="1:7" ht="14">
      <c r="A580" s="261"/>
      <c r="B580" s="261"/>
      <c r="D580" s="377"/>
    </row>
    <row r="581" spans="1:7" ht="14">
      <c r="A581" s="261"/>
      <c r="B581" s="679" t="s">
        <v>316</v>
      </c>
      <c r="D581" s="1905" t="s">
        <v>1191</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1171</v>
      </c>
      <c r="B588" s="1882"/>
      <c r="C588" s="1882"/>
      <c r="D588" s="1882"/>
      <c r="E588" s="1882"/>
      <c r="F588" s="1882"/>
      <c r="G588" s="1882"/>
    </row>
    <row r="589" spans="1:7"/>
    <row r="590" spans="1:7">
      <c r="D590" s="1899" t="s">
        <v>1271</v>
      </c>
      <c r="E590" s="1899"/>
      <c r="F590" s="1899"/>
    </row>
    <row r="591" spans="1:7">
      <c r="D591" s="1938" t="s">
        <v>1272</v>
      </c>
      <c r="E591" s="1938"/>
      <c r="F591" s="1938"/>
    </row>
    <row r="592" spans="1:7" s="719" customFormat="1">
      <c r="A592" s="705"/>
      <c r="B592" s="705"/>
      <c r="C592" s="705"/>
      <c r="D592" s="723"/>
      <c r="E592" s="722"/>
      <c r="F592" s="722"/>
      <c r="G592" s="7"/>
    </row>
    <row r="593" spans="1:7" s="39" customFormat="1" ht="14">
      <c r="A593" s="403"/>
      <c r="B593" s="679" t="s">
        <v>316</v>
      </c>
      <c r="C593" s="273"/>
      <c r="D593" s="1901" t="s">
        <v>1273</v>
      </c>
      <c r="E593" s="1901"/>
      <c r="F593" s="1901"/>
      <c r="G593" s="130"/>
    </row>
    <row r="594" spans="1:7">
      <c r="D594" s="1901"/>
      <c r="E594" s="1901"/>
      <c r="F594" s="1901"/>
    </row>
    <row r="595" spans="1:7">
      <c r="D595" s="1901"/>
      <c r="E595" s="1901"/>
      <c r="F595" s="1901"/>
    </row>
    <row r="596" spans="1:7"/>
    <row r="597" spans="1:7">
      <c r="A597" s="1882" t="s">
        <v>1172</v>
      </c>
      <c r="B597" s="1882"/>
      <c r="C597" s="1882"/>
      <c r="D597" s="1882"/>
      <c r="E597" s="1882"/>
      <c r="F597" s="1882"/>
      <c r="G597" s="1882"/>
    </row>
    <row r="598" spans="1:7">
      <c r="A598" s="135"/>
      <c r="B598" s="135"/>
      <c r="G598" s="57"/>
    </row>
    <row r="599" spans="1:7">
      <c r="A599" s="257"/>
      <c r="B599" s="674"/>
      <c r="C599" s="255"/>
      <c r="D599" s="1939" t="s">
        <v>1274</v>
      </c>
      <c r="E599" s="1939"/>
      <c r="F599" s="1939"/>
      <c r="G599" s="57"/>
    </row>
    <row r="600" spans="1:7">
      <c r="A600" s="257"/>
      <c r="B600" s="674"/>
      <c r="C600" s="255"/>
      <c r="D600" s="1939"/>
      <c r="E600" s="1939"/>
      <c r="F600" s="1939"/>
      <c r="G600" s="57"/>
    </row>
    <row r="601" spans="1:7">
      <c r="C601" s="260"/>
      <c r="D601" s="1938" t="s">
        <v>1275</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1276</v>
      </c>
      <c r="E605" s="1898"/>
      <c r="F605" s="1898"/>
      <c r="G605" s="57"/>
    </row>
    <row r="606" spans="1:7">
      <c r="D606" s="1898"/>
      <c r="E606" s="1898"/>
      <c r="F606" s="1898"/>
      <c r="G606" s="57"/>
    </row>
    <row r="607" spans="1:7">
      <c r="D607" s="12"/>
      <c r="G607" s="57"/>
    </row>
    <row r="608" spans="1:7">
      <c r="B608" s="679" t="s">
        <v>316</v>
      </c>
      <c r="D608" s="1898" t="s">
        <v>1277</v>
      </c>
      <c r="E608" s="1898"/>
      <c r="F608" s="1898"/>
      <c r="G608" s="57"/>
    </row>
    <row r="609" spans="1:7">
      <c r="C609" s="268"/>
      <c r="D609" s="1898"/>
      <c r="E609" s="1898"/>
      <c r="F609" s="1898"/>
      <c r="G609" s="57"/>
    </row>
    <row r="610" spans="1:7">
      <c r="C610" s="268"/>
      <c r="G610" s="57"/>
    </row>
    <row r="611" spans="1:7">
      <c r="B611" s="679" t="s">
        <v>316</v>
      </c>
      <c r="C611" s="268"/>
      <c r="D611" s="1898" t="s">
        <v>1278</v>
      </c>
      <c r="E611" s="1898"/>
      <c r="F611" s="1898"/>
      <c r="G611" s="57"/>
    </row>
    <row r="612" spans="1:7">
      <c r="C612" s="268"/>
      <c r="D612" s="1898"/>
      <c r="E612" s="1898"/>
      <c r="F612" s="1898"/>
      <c r="G612" s="57"/>
    </row>
    <row r="613" spans="1:7">
      <c r="C613" s="268"/>
      <c r="G613" s="57"/>
    </row>
    <row r="614" spans="1:7">
      <c r="A614" s="1882" t="s">
        <v>1173</v>
      </c>
      <c r="B614" s="1882"/>
      <c r="C614" s="1882"/>
      <c r="D614" s="1882"/>
      <c r="E614" s="1882"/>
      <c r="F614" s="1882"/>
      <c r="G614" s="1882"/>
    </row>
    <row r="615" spans="1:7">
      <c r="A615" s="267"/>
      <c r="B615" s="267"/>
      <c r="C615" s="267"/>
      <c r="G615" s="57"/>
    </row>
    <row r="616" spans="1:7">
      <c r="C616" s="23"/>
      <c r="D616" s="1899" t="s">
        <v>1279</v>
      </c>
      <c r="E616" s="1899"/>
      <c r="F616" s="1899"/>
      <c r="G616" s="57"/>
    </row>
    <row r="617" spans="1:7">
      <c r="A617" s="23"/>
      <c r="B617" s="675"/>
      <c r="C617" s="265"/>
      <c r="D617" s="50"/>
      <c r="G617" s="57"/>
    </row>
    <row r="618" spans="1:7" ht="14">
      <c r="A618" s="261"/>
      <c r="B618" s="679" t="s">
        <v>316</v>
      </c>
      <c r="C618" s="265"/>
      <c r="D618" s="1900" t="s">
        <v>1280</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1281</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1282</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1283</v>
      </c>
      <c r="E633" s="1902"/>
      <c r="F633" s="1902"/>
      <c r="G633" s="57"/>
    </row>
    <row r="634" spans="1:7">
      <c r="A634" s="266"/>
      <c r="B634" s="266"/>
      <c r="C634" s="266"/>
      <c r="D634" s="727"/>
      <c r="E634" s="727"/>
      <c r="F634" s="727"/>
      <c r="G634" s="57"/>
    </row>
    <row r="635" spans="1:7">
      <c r="A635" s="1882" t="s">
        <v>1174</v>
      </c>
      <c r="B635" s="1882"/>
      <c r="C635" s="1882"/>
      <c r="D635" s="1882"/>
      <c r="E635" s="1882"/>
      <c r="F635" s="1882"/>
      <c r="G635" s="1882"/>
    </row>
    <row r="636" spans="1:7">
      <c r="A636" s="135"/>
      <c r="B636" s="135"/>
      <c r="C636" s="266"/>
      <c r="D636" s="147"/>
      <c r="E636" s="147"/>
      <c r="F636" s="147"/>
      <c r="G636" s="57"/>
    </row>
    <row r="637" spans="1:7">
      <c r="C637" s="267"/>
      <c r="D637" s="1903" t="s">
        <v>1333</v>
      </c>
      <c r="E637" s="1903"/>
      <c r="F637" s="1903"/>
      <c r="G637" s="57"/>
    </row>
    <row r="638" spans="1:7">
      <c r="A638" s="260"/>
      <c r="B638" s="260"/>
      <c r="C638" s="260"/>
      <c r="D638" s="1904" t="s">
        <v>1334</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1335</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1185</v>
      </c>
      <c r="E646" s="1921"/>
      <c r="F646" s="1921"/>
      <c r="G646" s="57"/>
    </row>
    <row r="647" spans="1:11" s="682" customFormat="1" ht="14">
      <c r="A647" s="261"/>
      <c r="B647" s="261"/>
      <c r="C647" s="266"/>
      <c r="D647" s="1922" t="s">
        <v>1336</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1337</v>
      </c>
      <c r="E652" s="1923"/>
      <c r="F652" s="1923"/>
      <c r="G652" s="57"/>
    </row>
    <row r="653" spans="1:11">
      <c r="A653" s="266"/>
      <c r="B653" s="266"/>
      <c r="C653" s="266"/>
      <c r="D653" s="147"/>
      <c r="E653" s="147"/>
      <c r="F653" s="147"/>
      <c r="G653" s="57"/>
    </row>
    <row r="654" spans="1:11">
      <c r="A654" s="1882" t="s">
        <v>1175</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1211</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1212</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1213</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990</v>
      </c>
      <c r="E669" s="1875"/>
      <c r="F669" s="1875"/>
      <c r="G669" s="57"/>
      <c r="H669" s="269"/>
      <c r="I669" s="269"/>
      <c r="J669" s="269"/>
      <c r="K669" s="269"/>
    </row>
    <row r="670" spans="1:11" ht="14">
      <c r="A670" s="261"/>
      <c r="B670" s="261"/>
      <c r="C670" s="260"/>
      <c r="D670" s="1875" t="s">
        <v>961</v>
      </c>
      <c r="E670" s="1875"/>
      <c r="F670" s="1875"/>
      <c r="G670" s="57"/>
      <c r="H670" s="269"/>
      <c r="I670" s="269"/>
      <c r="J670" s="269"/>
      <c r="K670" s="269"/>
    </row>
    <row r="671" spans="1:11">
      <c r="A671" s="260"/>
      <c r="B671" s="260"/>
      <c r="C671" s="260"/>
      <c r="D671" s="6"/>
      <c r="E671" s="1893" t="s">
        <v>1214</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1224</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1215</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1225</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1222</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1223</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1216</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1217</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1218</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1351</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1219</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1176</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1192</v>
      </c>
      <c r="E728" s="1911"/>
      <c r="F728" s="1911"/>
      <c r="G728" s="271"/>
      <c r="H728" s="269"/>
      <c r="I728" s="269"/>
      <c r="J728" s="269"/>
      <c r="K728" s="269"/>
    </row>
    <row r="729" spans="1:11">
      <c r="A729" s="260"/>
      <c r="B729" s="260"/>
      <c r="C729" s="260"/>
      <c r="D729" s="1928" t="s">
        <v>1193</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1194</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1195</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1196</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1197</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1198</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1199</v>
      </c>
      <c r="B754" s="1934"/>
      <c r="C754" s="1934"/>
      <c r="D754" s="1934"/>
      <c r="E754" s="1934"/>
      <c r="F754" s="1934"/>
      <c r="G754" s="1934"/>
    </row>
    <row r="755" spans="1:11">
      <c r="A755" s="260"/>
      <c r="B755" s="260"/>
      <c r="C755" s="260"/>
      <c r="D755" s="276"/>
      <c r="F755" s="147"/>
      <c r="G755" s="271"/>
    </row>
    <row r="756" spans="1:11">
      <c r="A756" s="273"/>
      <c r="B756" s="273"/>
      <c r="C756" s="442"/>
      <c r="D756" s="1935" t="s">
        <v>1183</v>
      </c>
      <c r="E756" s="1935"/>
      <c r="F756" s="1935"/>
      <c r="G756" s="271"/>
    </row>
    <row r="757" spans="1:11">
      <c r="A757" s="503"/>
      <c r="B757" s="503"/>
      <c r="C757" s="502"/>
      <c r="D757" s="1925" t="s">
        <v>1200</v>
      </c>
      <c r="E757" s="1925"/>
      <c r="F757" s="1925"/>
      <c r="G757" s="271"/>
    </row>
    <row r="758" spans="1:11">
      <c r="A758" s="273"/>
      <c r="B758" s="273"/>
      <c r="C758" s="442"/>
      <c r="D758" s="693"/>
      <c r="E758" s="693"/>
      <c r="F758" s="693"/>
      <c r="G758" s="271"/>
    </row>
    <row r="759" spans="1:11" ht="14">
      <c r="A759" s="261"/>
      <c r="B759" s="679" t="s">
        <v>316</v>
      </c>
      <c r="C759" s="442"/>
      <c r="D759" s="1926" t="s">
        <v>1068</v>
      </c>
      <c r="E759" s="1926"/>
      <c r="F759" s="1926"/>
      <c r="G759" s="271"/>
    </row>
    <row r="760" spans="1:11">
      <c r="A760" s="273"/>
      <c r="B760" s="273"/>
      <c r="C760" s="442"/>
      <c r="D760" s="692"/>
      <c r="E760" s="1927" t="s">
        <v>1184</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1067</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2399</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2402</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2403</v>
      </c>
      <c r="B9" s="1829"/>
      <c r="C9" s="1829"/>
      <c r="D9" s="1829"/>
      <c r="E9" s="1829"/>
      <c r="F9" s="1829"/>
      <c r="G9" s="1829"/>
      <c r="H9" s="1829"/>
      <c r="I9" s="1829"/>
      <c r="J9" s="1829"/>
    </row>
    <row r="10" spans="1:10" ht="12.9"/>
    <row r="11" spans="1:10" ht="12.8" customHeight="1">
      <c r="A11" s="1947" t="s">
        <v>2405</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2404</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2400</v>
      </c>
      <c r="B72" s="1944"/>
      <c r="C72" s="1944"/>
      <c r="D72" s="1944"/>
      <c r="E72" s="1944"/>
      <c r="F72" s="1944"/>
      <c r="G72" s="1944"/>
      <c r="H72" s="1944"/>
      <c r="I72" s="1944"/>
    </row>
    <row r="73" spans="1:9" ht="12.9">
      <c r="A73" s="1868" t="s">
        <v>1092</v>
      </c>
      <c r="B73" s="1868"/>
      <c r="C73" s="1868"/>
      <c r="D73" s="1868"/>
      <c r="E73" s="1868"/>
    </row>
    <row r="74" spans="1:9" ht="12.9">
      <c r="A74" s="1868" t="s">
        <v>1391</v>
      </c>
      <c r="B74" s="1868"/>
      <c r="C74" s="1868"/>
      <c r="D74" s="1868"/>
      <c r="E74" s="1868"/>
    </row>
    <row r="75" spans="1:9" ht="12.9">
      <c r="A75" s="1868" t="s">
        <v>2401</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03" sqref="D1003:F1003"/>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2240</v>
      </c>
      <c r="B2" s="2000"/>
      <c r="C2" s="2000"/>
      <c r="D2" s="2000"/>
      <c r="E2" s="2000"/>
      <c r="F2" s="2000"/>
      <c r="G2" s="2000"/>
      <c r="H2" s="2000"/>
      <c r="I2" s="2000"/>
    </row>
    <row r="3" spans="1:9">
      <c r="A3" s="2001" t="s">
        <v>2241</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1253</v>
      </c>
      <c r="B6" s="1989"/>
      <c r="C6" s="1990"/>
      <c r="D6" s="1990"/>
      <c r="E6" s="1990"/>
      <c r="F6" s="1990"/>
      <c r="G6" s="1990"/>
      <c r="I6" s="1836" t="s">
        <v>2415</v>
      </c>
    </row>
    <row r="7" spans="1:9" s="791" customFormat="1">
      <c r="A7" s="1989" t="s">
        <v>1254</v>
      </c>
      <c r="B7" s="1989"/>
      <c r="C7" s="1990"/>
      <c r="D7" s="1990"/>
      <c r="E7" s="1990"/>
      <c r="F7" s="1990"/>
      <c r="G7" s="1990"/>
      <c r="I7" s="1836" t="s">
        <v>2416</v>
      </c>
    </row>
    <row r="8" spans="1:9">
      <c r="A8" s="792"/>
      <c r="B8" s="792"/>
      <c r="C8" s="793"/>
      <c r="D8" s="793"/>
      <c r="E8" s="793"/>
      <c r="F8" s="793"/>
    </row>
    <row r="9" spans="1:9">
      <c r="A9" s="1918" t="s">
        <v>1256</v>
      </c>
      <c r="B9" s="1918"/>
      <c r="C9" s="1918"/>
      <c r="D9" s="1918"/>
      <c r="E9" s="1918"/>
      <c r="F9" s="1918"/>
      <c r="G9" s="1918"/>
      <c r="H9" s="1853"/>
      <c r="I9" s="1854"/>
    </row>
    <row r="10" spans="1:9">
      <c r="A10" s="793"/>
      <c r="B10" s="793"/>
      <c r="E10" s="794"/>
    </row>
    <row r="11" spans="1:9" ht="13.7" customHeight="1">
      <c r="C11" s="793"/>
      <c r="D11" s="1991" t="s">
        <v>1255</v>
      </c>
      <c r="E11" s="1991"/>
      <c r="F11" s="1991"/>
    </row>
    <row r="12" spans="1:9">
      <c r="C12" s="793"/>
      <c r="D12" s="1991"/>
      <c r="E12" s="1991"/>
      <c r="F12" s="1991"/>
    </row>
    <row r="13" spans="1:9">
      <c r="A13" s="795"/>
      <c r="B13" s="795"/>
      <c r="C13" s="795"/>
      <c r="D13" s="1902" t="s">
        <v>1238</v>
      </c>
      <c r="E13" s="1902"/>
      <c r="F13" s="1902"/>
    </row>
    <row r="14" spans="1:9">
      <c r="A14" s="795"/>
      <c r="B14" s="795"/>
      <c r="C14" s="795"/>
      <c r="D14" s="796"/>
    </row>
    <row r="15" spans="1:9" ht="14">
      <c r="A15" s="797"/>
      <c r="B15" s="798" t="s">
        <v>2520</v>
      </c>
      <c r="C15" s="799"/>
      <c r="D15" s="1900" t="s">
        <v>1239</v>
      </c>
      <c r="E15" s="1900"/>
      <c r="F15" s="1900"/>
      <c r="I15" s="1774" t="s">
        <v>2417</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2520</v>
      </c>
      <c r="D19" s="1926" t="s">
        <v>1240</v>
      </c>
      <c r="E19" s="1926"/>
      <c r="F19" s="1926"/>
      <c r="I19" s="1774" t="s">
        <v>2418</v>
      </c>
    </row>
    <row r="20" spans="1:9" ht="14">
      <c r="A20" s="797"/>
      <c r="B20" s="797"/>
      <c r="D20" s="800"/>
    </row>
    <row r="21" spans="1:9" ht="14">
      <c r="A21" s="797"/>
      <c r="B21" s="798" t="s">
        <v>2519</v>
      </c>
      <c r="D21" s="1900" t="s">
        <v>1241</v>
      </c>
      <c r="E21" s="1900"/>
      <c r="F21" s="1900"/>
      <c r="I21" s="1774" t="s">
        <v>2418</v>
      </c>
    </row>
    <row r="22" spans="1:9" ht="14">
      <c r="A22" s="797"/>
      <c r="B22" s="797"/>
      <c r="D22" s="1900"/>
      <c r="E22" s="1900"/>
      <c r="F22" s="1900"/>
    </row>
    <row r="23" spans="1:9"/>
    <row r="24" spans="1:9" ht="14">
      <c r="A24" s="797"/>
      <c r="B24" s="798" t="s">
        <v>2520</v>
      </c>
      <c r="D24" s="1986" t="s">
        <v>1242</v>
      </c>
      <c r="E24" s="1986"/>
      <c r="F24" s="1986"/>
      <c r="I24" s="1774" t="s">
        <v>2421</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2519</v>
      </c>
      <c r="C30" s="801"/>
      <c r="D30" s="1901" t="s">
        <v>1243</v>
      </c>
      <c r="E30" s="1901"/>
      <c r="F30" s="1901"/>
      <c r="G30" s="802"/>
      <c r="I30" s="1837" t="s">
        <v>2417</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1422</v>
      </c>
      <c r="E33" s="1901"/>
      <c r="F33" s="1901"/>
      <c r="I33" s="1837" t="s">
        <v>2489</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2519</v>
      </c>
      <c r="D38" s="1901" t="s">
        <v>1245</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1246</v>
      </c>
      <c r="E44" s="1901"/>
      <c r="F44" s="1901"/>
      <c r="I44" s="1837" t="s">
        <v>2489</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2519</v>
      </c>
      <c r="D49" s="1901" t="s">
        <v>1247</v>
      </c>
      <c r="E49" s="1901"/>
      <c r="F49" s="1901"/>
      <c r="I49" s="1837" t="s">
        <v>2489</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2520</v>
      </c>
      <c r="C53" s="806"/>
      <c r="D53" s="1901" t="s">
        <v>1248</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2519</v>
      </c>
      <c r="D56" s="1901" t="s">
        <v>1249</v>
      </c>
      <c r="E56" s="1901"/>
      <c r="F56" s="1901"/>
      <c r="I56" s="1774" t="s">
        <v>2419</v>
      </c>
    </row>
    <row r="57" spans="1:9">
      <c r="D57" s="1901"/>
      <c r="E57" s="1901"/>
      <c r="F57" s="1901"/>
    </row>
    <row r="58" spans="1:9">
      <c r="D58" s="1901"/>
      <c r="E58" s="1901"/>
      <c r="F58" s="1901"/>
    </row>
    <row r="59" spans="1:9">
      <c r="D59" s="693"/>
    </row>
    <row r="60" spans="1:9" ht="14">
      <c r="A60" s="797"/>
      <c r="B60" s="798" t="s">
        <v>2519</v>
      </c>
      <c r="D60" s="1901" t="s">
        <v>1250</v>
      </c>
      <c r="E60" s="1901"/>
      <c r="F60" s="1901"/>
      <c r="I60" s="1774" t="s">
        <v>2420</v>
      </c>
    </row>
    <row r="61" spans="1:9">
      <c r="D61" s="1901"/>
      <c r="E61" s="1901"/>
      <c r="F61" s="1901"/>
    </row>
    <row r="62" spans="1:9"/>
    <row r="63" spans="1:9" ht="14">
      <c r="A63" s="797"/>
      <c r="B63" s="798" t="s">
        <v>2520</v>
      </c>
      <c r="D63" s="1901" t="s">
        <v>1251</v>
      </c>
      <c r="E63" s="1901"/>
      <c r="F63" s="1901"/>
    </row>
    <row r="64" spans="1:9">
      <c r="D64" s="1901"/>
      <c r="E64" s="1901"/>
      <c r="F64" s="1901"/>
      <c r="I64" s="1774" t="s">
        <v>2421</v>
      </c>
    </row>
    <row r="65" spans="1:9">
      <c r="D65" s="1901"/>
      <c r="E65" s="1901"/>
      <c r="F65" s="1901"/>
    </row>
    <row r="66" spans="1:9">
      <c r="D66" s="790"/>
    </row>
    <row r="67" spans="1:9" ht="14">
      <c r="A67" s="797"/>
      <c r="B67" s="798" t="s">
        <v>2519</v>
      </c>
      <c r="D67" s="1900" t="s">
        <v>1252</v>
      </c>
      <c r="E67" s="1900"/>
      <c r="F67" s="1900"/>
      <c r="I67" s="1774" t="s">
        <v>2421</v>
      </c>
    </row>
    <row r="68" spans="1:9">
      <c r="D68" s="1900"/>
      <c r="E68" s="1900"/>
      <c r="F68" s="1900"/>
    </row>
    <row r="69" spans="1:9" ht="14">
      <c r="A69" s="797"/>
      <c r="B69" s="797"/>
      <c r="D69" s="800"/>
    </row>
    <row r="70" spans="1:9">
      <c r="A70" s="1882" t="s">
        <v>1159</v>
      </c>
      <c r="B70" s="1882"/>
      <c r="C70" s="1882"/>
      <c r="D70" s="1882"/>
      <c r="E70" s="1882"/>
      <c r="F70" s="1882"/>
      <c r="G70" s="1882"/>
      <c r="H70" s="1853"/>
      <c r="I70" s="1854"/>
    </row>
    <row r="71" spans="1:9"/>
    <row r="72" spans="1:9">
      <c r="C72" s="807"/>
      <c r="D72" s="1971" t="s">
        <v>1257</v>
      </c>
      <c r="E72" s="1971"/>
      <c r="F72" s="1971"/>
    </row>
    <row r="73" spans="1:9">
      <c r="A73" s="800"/>
      <c r="B73" s="800"/>
      <c r="D73" s="1900" t="s">
        <v>1284</v>
      </c>
      <c r="E73" s="1900"/>
      <c r="F73" s="1900"/>
    </row>
    <row r="74" spans="1:9">
      <c r="A74" s="800"/>
      <c r="B74" s="800"/>
    </row>
    <row r="75" spans="1:9" ht="13.7" customHeight="1">
      <c r="A75" s="797"/>
      <c r="B75" s="798" t="s">
        <v>2520</v>
      </c>
      <c r="D75" s="1900" t="s">
        <v>1471</v>
      </c>
      <c r="E75" s="1900"/>
      <c r="F75" s="1900"/>
      <c r="I75" s="1774" t="s">
        <v>2422</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2520</v>
      </c>
      <c r="D84" s="1900" t="s">
        <v>2242</v>
      </c>
      <c r="E84" s="1900"/>
      <c r="F84" s="1900"/>
      <c r="I84" s="1774" t="s">
        <v>2423</v>
      </c>
    </row>
    <row r="85" spans="1:9" ht="14">
      <c r="A85" s="797"/>
      <c r="B85" s="797"/>
      <c r="D85" s="1900"/>
      <c r="E85" s="1900"/>
      <c r="F85" s="1900"/>
    </row>
    <row r="86" spans="1:9" ht="14">
      <c r="A86" s="797"/>
      <c r="B86" s="797"/>
      <c r="D86" s="1712"/>
      <c r="E86" s="1712"/>
      <c r="F86" s="1712"/>
    </row>
    <row r="87" spans="1:9" ht="14">
      <c r="A87" s="797"/>
      <c r="B87" s="798" t="s">
        <v>2520</v>
      </c>
      <c r="D87" s="1900" t="s">
        <v>2246</v>
      </c>
      <c r="E87" s="1900"/>
      <c r="F87" s="1900"/>
      <c r="I87" s="1774" t="s">
        <v>2424</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2520</v>
      </c>
      <c r="D91" s="1900" t="s">
        <v>2244</v>
      </c>
      <c r="E91" s="1900"/>
      <c r="F91" s="1900"/>
      <c r="I91" s="1774" t="s">
        <v>2469</v>
      </c>
    </row>
    <row r="92" spans="1:9" s="1729" customFormat="1" ht="14">
      <c r="A92" s="1727"/>
      <c r="B92" s="1727"/>
      <c r="C92" s="1728"/>
      <c r="D92" s="1900"/>
      <c r="E92" s="1900"/>
      <c r="F92" s="1900"/>
      <c r="I92" s="1838"/>
    </row>
    <row r="93" spans="1:9" ht="14">
      <c r="A93" s="797"/>
      <c r="B93" s="797"/>
      <c r="D93" s="1718"/>
      <c r="E93" s="1719" t="s">
        <v>2245</v>
      </c>
      <c r="F93" s="1712"/>
    </row>
    <row r="94" spans="1:9" ht="14">
      <c r="A94" s="797"/>
      <c r="B94" s="797"/>
      <c r="D94" s="878"/>
      <c r="E94" s="878"/>
      <c r="F94" s="878"/>
    </row>
    <row r="95" spans="1:9" ht="14">
      <c r="A95" s="797"/>
      <c r="B95" s="798" t="s">
        <v>2519</v>
      </c>
      <c r="D95" s="1900" t="s">
        <v>2243</v>
      </c>
      <c r="E95" s="1900"/>
      <c r="F95" s="1900"/>
      <c r="I95" s="1774" t="s">
        <v>2425</v>
      </c>
    </row>
    <row r="96" spans="1:9" ht="14">
      <c r="A96" s="797"/>
      <c r="B96" s="797"/>
      <c r="D96" s="1900"/>
      <c r="E96" s="1900"/>
      <c r="F96" s="1900"/>
    </row>
    <row r="97" spans="1:9" ht="14">
      <c r="A97" s="797"/>
      <c r="B97" s="797"/>
      <c r="D97" s="1712"/>
      <c r="E97" s="1712"/>
      <c r="F97" s="1712"/>
    </row>
    <row r="98" spans="1:9" ht="14.55" customHeight="1">
      <c r="A98" s="797"/>
      <c r="B98" s="798" t="s">
        <v>2519</v>
      </c>
      <c r="D98" s="1900" t="s">
        <v>1397</v>
      </c>
      <c r="E98" s="1900"/>
      <c r="F98" s="1900"/>
      <c r="G98" s="790"/>
      <c r="I98" s="1774" t="s">
        <v>2426</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2519</v>
      </c>
      <c r="D114" s="1920" t="s">
        <v>1259</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2520</v>
      </c>
      <c r="C123" s="722"/>
      <c r="D123" s="1920" t="s">
        <v>1261</v>
      </c>
      <c r="E123" s="1920"/>
      <c r="F123" s="1920"/>
      <c r="G123" s="722"/>
      <c r="H123" s="722"/>
      <c r="I123" s="622" t="s">
        <v>2427</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2520</v>
      </c>
      <c r="C126" s="804"/>
      <c r="D126" s="1900" t="s">
        <v>1262</v>
      </c>
      <c r="E126" s="1900"/>
      <c r="F126" s="1900"/>
      <c r="I126" s="622" t="s">
        <v>2427</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2520</v>
      </c>
      <c r="C132" s="804"/>
      <c r="D132" s="1901" t="s">
        <v>1263</v>
      </c>
      <c r="E132" s="1901"/>
      <c r="F132" s="1901"/>
      <c r="G132" s="672"/>
      <c r="I132" s="622" t="s">
        <v>2428</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2519</v>
      </c>
      <c r="C145" s="804"/>
      <c r="D145" s="1984" t="s">
        <v>1371</v>
      </c>
      <c r="E145" s="1984"/>
      <c r="F145" s="1984"/>
      <c r="G145" s="672"/>
      <c r="I145" s="622" t="s">
        <v>2429</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1405</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2519</v>
      </c>
      <c r="C165" s="814"/>
      <c r="D165" s="1874" t="s">
        <v>1433</v>
      </c>
      <c r="E165" s="1874"/>
      <c r="F165" s="1874"/>
      <c r="G165" s="815"/>
      <c r="I165" s="622" t="s">
        <v>2424</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2520</v>
      </c>
      <c r="C169" s="814"/>
      <c r="D169" s="1870" t="s">
        <v>1265</v>
      </c>
      <c r="E169" s="1870"/>
      <c r="F169" s="1870"/>
      <c r="G169" s="815"/>
      <c r="I169" s="622" t="s">
        <v>2430</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5" t="s">
        <v>1266</v>
      </c>
      <c r="E174" s="1905"/>
      <c r="F174" s="1905"/>
      <c r="G174" s="672"/>
      <c r="I174" s="622" t="s">
        <v>2431</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2406</v>
      </c>
      <c r="B178" s="1882"/>
      <c r="C178" s="1882"/>
      <c r="D178" s="1882"/>
      <c r="E178" s="1882"/>
      <c r="F178" s="1882"/>
      <c r="G178" s="1882"/>
      <c r="H178" s="1853"/>
      <c r="I178" s="1854"/>
    </row>
    <row r="179" spans="1:9" ht="11.95" customHeight="1">
      <c r="D179" s="800"/>
      <c r="E179" s="800"/>
      <c r="F179" s="800"/>
    </row>
    <row r="180" spans="1:9">
      <c r="B180" s="1972" t="s">
        <v>469</v>
      </c>
      <c r="C180" s="1972"/>
      <c r="D180" s="1972"/>
      <c r="E180" s="1972"/>
      <c r="F180" s="1972"/>
    </row>
    <row r="181" spans="1:9" s="1772" customFormat="1">
      <c r="A181" s="788"/>
      <c r="B181" s="1831" t="s">
        <v>2407</v>
      </c>
      <c r="C181" s="1831"/>
      <c r="D181" s="1831"/>
      <c r="E181" s="1831"/>
      <c r="F181" s="1831"/>
      <c r="G181" s="1771"/>
      <c r="I181" s="1774"/>
    </row>
    <row r="182" spans="1:9" ht="11.95" customHeight="1">
      <c r="A182" s="793"/>
      <c r="B182" s="793"/>
      <c r="C182" s="793"/>
    </row>
    <row r="183" spans="1:9">
      <c r="A183" s="1882" t="s">
        <v>1161</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2247</v>
      </c>
      <c r="E185" s="1906"/>
      <c r="F185" s="1906"/>
      <c r="G185" s="819"/>
    </row>
    <row r="186" spans="1:9">
      <c r="A186" s="817"/>
      <c r="B186" s="817"/>
      <c r="C186" s="818"/>
      <c r="D186" s="1906"/>
      <c r="E186" s="1906"/>
      <c r="F186" s="1906"/>
      <c r="G186" s="819"/>
    </row>
    <row r="187" spans="1:9">
      <c r="A187" s="817"/>
      <c r="B187" s="817"/>
      <c r="C187" s="818"/>
      <c r="D187" s="1907" t="s">
        <v>1398</v>
      </c>
      <c r="E187" s="1907"/>
      <c r="F187" s="1907"/>
      <c r="G187" s="819"/>
    </row>
    <row r="188" spans="1:9">
      <c r="A188" s="817"/>
      <c r="B188" s="817"/>
      <c r="C188" s="818"/>
      <c r="D188" s="1713"/>
      <c r="E188" s="1713"/>
      <c r="F188" s="1713"/>
      <c r="G188" s="819"/>
    </row>
    <row r="189" spans="1:9">
      <c r="A189" s="817"/>
      <c r="B189" s="798" t="s">
        <v>2520</v>
      </c>
      <c r="C189" s="818"/>
      <c r="D189" s="1875" t="s">
        <v>2248</v>
      </c>
      <c r="E189" s="1875"/>
      <c r="F189" s="1875"/>
      <c r="G189" s="819"/>
      <c r="I189" s="1774" t="s">
        <v>2480</v>
      </c>
    </row>
    <row r="190" spans="1:9">
      <c r="A190" s="817"/>
      <c r="B190" s="817"/>
      <c r="C190" s="818"/>
      <c r="D190" s="1928" t="s">
        <v>2249</v>
      </c>
      <c r="E190" s="1928"/>
      <c r="F190" s="1928"/>
      <c r="G190" s="819"/>
    </row>
    <row r="191" spans="1:9">
      <c r="A191" s="817"/>
      <c r="B191" s="817"/>
      <c r="C191" s="818"/>
      <c r="D191" s="1730" t="s">
        <v>2250</v>
      </c>
      <c r="E191" s="1953" t="s">
        <v>2251</v>
      </c>
      <c r="F191" s="1953"/>
      <c r="G191" s="819"/>
    </row>
    <row r="192" spans="1:9">
      <c r="A192" s="817"/>
      <c r="B192" s="817"/>
      <c r="C192" s="818"/>
      <c r="D192" s="155"/>
      <c r="E192" s="155"/>
      <c r="F192" s="155"/>
      <c r="G192" s="819"/>
    </row>
    <row r="193" spans="1:9">
      <c r="A193" s="817"/>
      <c r="B193" s="798" t="s">
        <v>2519</v>
      </c>
      <c r="C193" s="818"/>
      <c r="D193" s="1928" t="s">
        <v>2252</v>
      </c>
      <c r="E193" s="1928"/>
      <c r="F193" s="1928"/>
      <c r="G193" s="819"/>
      <c r="I193" s="1774" t="s">
        <v>2481</v>
      </c>
    </row>
    <row r="194" spans="1:9">
      <c r="A194" s="817"/>
      <c r="B194" s="817"/>
      <c r="C194" s="818"/>
      <c r="D194" s="1875" t="s">
        <v>2249</v>
      </c>
      <c r="E194" s="1875"/>
      <c r="F194" s="1875"/>
      <c r="G194" s="819"/>
    </row>
    <row r="195" spans="1:9">
      <c r="A195" s="817"/>
      <c r="B195" s="817"/>
      <c r="C195" s="818"/>
      <c r="D195" s="1711" t="s">
        <v>2253</v>
      </c>
      <c r="E195" s="1970" t="s">
        <v>2254</v>
      </c>
      <c r="F195" s="1970"/>
      <c r="G195" s="819"/>
    </row>
    <row r="196" spans="1:9">
      <c r="A196" s="817"/>
      <c r="B196" s="817"/>
      <c r="C196" s="818"/>
      <c r="D196" s="155"/>
      <c r="E196" s="155"/>
      <c r="F196" s="155"/>
      <c r="G196" s="819"/>
    </row>
    <row r="197" spans="1:9">
      <c r="A197" s="817"/>
      <c r="B197" s="798" t="s">
        <v>2519</v>
      </c>
      <c r="C197" s="818"/>
      <c r="D197" s="1928" t="s">
        <v>2255</v>
      </c>
      <c r="E197" s="1928"/>
      <c r="F197" s="1928"/>
      <c r="G197" s="819"/>
      <c r="I197" s="1774" t="s">
        <v>2482</v>
      </c>
    </row>
    <row r="198" spans="1:9">
      <c r="A198" s="817"/>
      <c r="B198" s="817"/>
      <c r="C198" s="818"/>
      <c r="D198" s="1708" t="s">
        <v>2249</v>
      </c>
      <c r="E198" s="155"/>
      <c r="F198" s="155"/>
      <c r="G198" s="819"/>
    </row>
    <row r="199" spans="1:9">
      <c r="A199" s="817"/>
      <c r="B199" s="817"/>
      <c r="C199" s="818"/>
      <c r="D199" s="1711" t="s">
        <v>2250</v>
      </c>
      <c r="E199" s="1970" t="s">
        <v>2256</v>
      </c>
      <c r="F199" s="1970"/>
      <c r="G199" s="819"/>
    </row>
    <row r="200" spans="1:9">
      <c r="A200" s="817"/>
      <c r="B200" s="817"/>
      <c r="C200" s="818"/>
      <c r="D200" s="1713"/>
      <c r="E200" s="1713"/>
      <c r="F200" s="1713"/>
      <c r="G200" s="819"/>
    </row>
    <row r="201" spans="1:9" ht="14">
      <c r="A201" s="797"/>
      <c r="B201" s="798" t="s">
        <v>2519</v>
      </c>
      <c r="C201" s="818"/>
      <c r="D201" s="1900" t="s">
        <v>2257</v>
      </c>
      <c r="E201" s="1900"/>
      <c r="F201" s="1900"/>
      <c r="G201" s="819"/>
      <c r="I201" s="1774" t="s">
        <v>2483</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2519</v>
      </c>
      <c r="C205" s="818"/>
      <c r="D205" s="1928" t="s">
        <v>2258</v>
      </c>
      <c r="E205" s="1928"/>
      <c r="F205" s="1928"/>
      <c r="I205" s="1774" t="s">
        <v>2484</v>
      </c>
    </row>
    <row r="206" spans="1:9">
      <c r="A206" s="818"/>
      <c r="B206" s="818"/>
      <c r="C206" s="818"/>
      <c r="D206" s="1928" t="s">
        <v>2249</v>
      </c>
      <c r="E206" s="1928"/>
      <c r="F206" s="1928"/>
    </row>
    <row r="207" spans="1:9">
      <c r="A207" s="818"/>
      <c r="B207" s="818"/>
      <c r="C207" s="818"/>
      <c r="D207" s="1711" t="s">
        <v>2250</v>
      </c>
      <c r="E207" s="1970" t="s">
        <v>2259</v>
      </c>
      <c r="F207" s="1970"/>
    </row>
    <row r="208" spans="1:9">
      <c r="A208" s="818"/>
      <c r="B208" s="818"/>
      <c r="C208" s="818"/>
      <c r="D208" s="779"/>
      <c r="E208" s="779"/>
      <c r="F208" s="779"/>
    </row>
    <row r="209" spans="1:9" s="618" customFormat="1" ht="14">
      <c r="A209" s="797"/>
      <c r="B209" s="798" t="s">
        <v>2519</v>
      </c>
      <c r="C209" s="806"/>
      <c r="D209" s="1900" t="s">
        <v>1424</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1162</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1291</v>
      </c>
      <c r="E217" s="1974"/>
      <c r="F217" s="1974"/>
    </row>
    <row r="218" spans="1:9" ht="11.95" customHeight="1">
      <c r="A218" s="816"/>
      <c r="B218" s="816"/>
      <c r="C218" s="816"/>
    </row>
    <row r="219" spans="1:9" ht="13.7" customHeight="1">
      <c r="A219" s="816"/>
      <c r="C219" s="816"/>
      <c r="D219" s="1899" t="s">
        <v>578</v>
      </c>
      <c r="E219" s="1899"/>
      <c r="F219" s="1899"/>
      <c r="I219" s="1774" t="s">
        <v>2432</v>
      </c>
    </row>
    <row r="220" spans="1:9" ht="14">
      <c r="A220" s="797"/>
      <c r="B220" s="798" t="s">
        <v>2520</v>
      </c>
      <c r="D220" s="1900" t="s">
        <v>2260</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2520</v>
      </c>
      <c r="D225" s="1900" t="s">
        <v>2261</v>
      </c>
      <c r="E225" s="1900"/>
      <c r="F225" s="1900"/>
      <c r="I225" s="1774" t="s">
        <v>2433</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1287</v>
      </c>
      <c r="E231" s="1900"/>
      <c r="F231" s="1900"/>
      <c r="I231" s="1774" t="s">
        <v>2432</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2520</v>
      </c>
      <c r="D237" s="1978" t="s">
        <v>2265</v>
      </c>
      <c r="E237" s="1978"/>
      <c r="F237" s="1978"/>
      <c r="I237" s="1774" t="s">
        <v>2471</v>
      </c>
    </row>
    <row r="238" spans="1:9" ht="14">
      <c r="A238" s="797"/>
      <c r="B238" s="797"/>
      <c r="D238" s="1978"/>
      <c r="E238" s="1978"/>
      <c r="F238" s="1978"/>
    </row>
    <row r="239" spans="1:9" ht="14">
      <c r="A239" s="797"/>
      <c r="B239" s="797"/>
      <c r="D239" s="1978"/>
      <c r="E239" s="1978"/>
      <c r="F239" s="1978"/>
    </row>
    <row r="240" spans="1:9" ht="14">
      <c r="A240" s="797"/>
      <c r="B240" s="797"/>
      <c r="D240" s="1972" t="s">
        <v>962</v>
      </c>
      <c r="E240" s="1972"/>
      <c r="F240" s="1972"/>
    </row>
    <row r="241" spans="1:9" ht="14">
      <c r="A241" s="797"/>
      <c r="B241" s="797"/>
      <c r="D241" s="800"/>
      <c r="E241" s="800"/>
      <c r="F241" s="800"/>
    </row>
    <row r="242" spans="1:9" ht="14.55" customHeight="1">
      <c r="A242" s="797"/>
      <c r="B242" s="798" t="s">
        <v>2519</v>
      </c>
      <c r="D242" s="1978" t="s">
        <v>1290</v>
      </c>
      <c r="E242" s="1978"/>
      <c r="F242" s="1978"/>
      <c r="I242" s="1774" t="s">
        <v>2491</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2520</v>
      </c>
      <c r="D248" s="1723" t="s">
        <v>2262</v>
      </c>
      <c r="E248" s="1724"/>
      <c r="F248" s="1724"/>
      <c r="I248" s="1774" t="s">
        <v>2470</v>
      </c>
    </row>
    <row r="249" spans="1:9" ht="14">
      <c r="A249" s="797"/>
      <c r="B249" s="797"/>
      <c r="D249" s="1723"/>
      <c r="E249" s="1731" t="s">
        <v>2263</v>
      </c>
      <c r="F249" s="1724"/>
    </row>
    <row r="250" spans="1:9">
      <c r="D250" s="800"/>
      <c r="E250" s="800"/>
      <c r="F250" s="800"/>
    </row>
    <row r="251" spans="1:9" ht="14">
      <c r="A251" s="797"/>
      <c r="B251" s="798" t="s">
        <v>2520</v>
      </c>
      <c r="D251" s="1900" t="s">
        <v>1289</v>
      </c>
      <c r="E251" s="1900"/>
      <c r="F251" s="1900"/>
    </row>
    <row r="252" spans="1:9" ht="14">
      <c r="A252" s="797"/>
      <c r="B252" s="797"/>
      <c r="D252" s="1900"/>
      <c r="E252" s="1900"/>
      <c r="F252" s="1900"/>
    </row>
    <row r="253" spans="1:9">
      <c r="D253" s="821"/>
    </row>
    <row r="254" spans="1:9">
      <c r="A254" s="1882" t="s">
        <v>1163</v>
      </c>
      <c r="B254" s="1882"/>
      <c r="C254" s="1882"/>
      <c r="D254" s="1882"/>
      <c r="E254" s="1882"/>
      <c r="F254" s="1882"/>
      <c r="G254" s="1882"/>
      <c r="H254" s="1853"/>
      <c r="I254" s="1854"/>
    </row>
    <row r="255" spans="1:9">
      <c r="D255" s="821"/>
    </row>
    <row r="256" spans="1:9">
      <c r="C256" s="807"/>
      <c r="D256" s="1899" t="s">
        <v>1292</v>
      </c>
      <c r="E256" s="1899"/>
      <c r="F256" s="1899"/>
    </row>
    <row r="257" spans="1:9">
      <c r="A257" s="793"/>
      <c r="B257" s="793"/>
      <c r="C257" s="793"/>
      <c r="D257" s="800"/>
      <c r="E257" s="800"/>
      <c r="F257" s="800"/>
    </row>
    <row r="258" spans="1:9">
      <c r="A258" s="795"/>
      <c r="B258" s="795"/>
      <c r="C258" s="795"/>
      <c r="D258" s="1899" t="s">
        <v>275</v>
      </c>
      <c r="E258" s="1899"/>
      <c r="F258" s="1899"/>
      <c r="I258" s="1774" t="s">
        <v>2472</v>
      </c>
    </row>
    <row r="259" spans="1:9" ht="14.55" customHeight="1">
      <c r="A259" s="797"/>
      <c r="B259" s="798" t="s">
        <v>2520</v>
      </c>
      <c r="D259" s="1980" t="s">
        <v>1399</v>
      </c>
      <c r="E259" s="1980"/>
      <c r="F259" s="1980"/>
    </row>
    <row r="260" spans="1:9">
      <c r="D260" s="1980"/>
      <c r="E260" s="1980"/>
      <c r="F260" s="1980"/>
    </row>
    <row r="261" spans="1:9">
      <c r="D261" s="1974" t="s">
        <v>953</v>
      </c>
      <c r="E261" s="1974"/>
      <c r="F261" s="1974"/>
    </row>
    <row r="262" spans="1:9">
      <c r="D262" s="800"/>
      <c r="E262" s="800"/>
      <c r="F262" s="800"/>
    </row>
    <row r="263" spans="1:9" ht="14.55" customHeight="1">
      <c r="A263" s="797"/>
      <c r="B263" s="798" t="s">
        <v>2519</v>
      </c>
      <c r="D263" s="1978" t="s">
        <v>2264</v>
      </c>
      <c r="E263" s="1978"/>
      <c r="F263" s="1978"/>
      <c r="I263" s="1774" t="s">
        <v>2492</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2520</v>
      </c>
      <c r="D270" s="1900" t="s">
        <v>1295</v>
      </c>
      <c r="E270" s="1900"/>
      <c r="F270" s="1900"/>
    </row>
    <row r="271" spans="1:9">
      <c r="D271" s="1900"/>
      <c r="E271" s="1900"/>
      <c r="F271" s="1900"/>
    </row>
    <row r="272" spans="1:9">
      <c r="D272" s="1900"/>
      <c r="E272" s="1900"/>
      <c r="F272" s="1900"/>
    </row>
    <row r="273" spans="1:9">
      <c r="D273" s="822"/>
      <c r="E273" s="800"/>
      <c r="F273" s="800"/>
    </row>
    <row r="274" spans="1:9">
      <c r="A274" s="1882" t="s">
        <v>1164</v>
      </c>
      <c r="B274" s="1882"/>
      <c r="C274" s="1882"/>
      <c r="D274" s="1882"/>
      <c r="E274" s="1882"/>
      <c r="F274" s="1882"/>
      <c r="G274" s="1882"/>
      <c r="H274" s="1853"/>
      <c r="I274" s="1854"/>
    </row>
    <row r="275" spans="1:9">
      <c r="D275" s="822"/>
      <c r="E275" s="800"/>
      <c r="F275" s="800"/>
    </row>
    <row r="276" spans="1:9">
      <c r="C276" s="793"/>
      <c r="D276" s="1971" t="s">
        <v>1297</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1298</v>
      </c>
      <c r="E280" s="1973"/>
      <c r="F280" s="1973"/>
    </row>
    <row r="281" spans="1:9">
      <c r="E281" s="800"/>
      <c r="F281" s="800"/>
    </row>
    <row r="282" spans="1:9" ht="14">
      <c r="A282" s="797"/>
      <c r="B282" s="798" t="s">
        <v>2519</v>
      </c>
      <c r="D282" s="1900" t="s">
        <v>1299</v>
      </c>
      <c r="E282" s="1900"/>
      <c r="F282" s="1900"/>
      <c r="I282" s="1774" t="s">
        <v>2434</v>
      </c>
    </row>
    <row r="283" spans="1:9" ht="14">
      <c r="A283" s="797"/>
      <c r="B283" s="797"/>
      <c r="D283" s="1900"/>
      <c r="E283" s="1900"/>
      <c r="F283" s="1900"/>
    </row>
    <row r="284" spans="1:9">
      <c r="D284" s="800"/>
      <c r="E284" s="800"/>
      <c r="F284" s="800"/>
    </row>
    <row r="285" spans="1:9" ht="14">
      <c r="A285" s="797"/>
      <c r="B285" s="798" t="s">
        <v>2519</v>
      </c>
      <c r="D285" s="1978" t="s">
        <v>1300</v>
      </c>
      <c r="E285" s="1978"/>
      <c r="F285" s="1978"/>
      <c r="I285" s="1774" t="s">
        <v>2434</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2519</v>
      </c>
      <c r="D289" s="1900" t="s">
        <v>1301</v>
      </c>
      <c r="E289" s="1900"/>
      <c r="F289" s="1900"/>
      <c r="I289" s="1774" t="s">
        <v>2434</v>
      </c>
    </row>
    <row r="290" spans="1:9" ht="14">
      <c r="A290" s="797"/>
      <c r="B290" s="797"/>
      <c r="D290" s="1900"/>
      <c r="E290" s="1900"/>
      <c r="F290" s="1900"/>
    </row>
    <row r="291" spans="1:9">
      <c r="A291" s="816"/>
      <c r="B291" s="816"/>
      <c r="E291" s="800"/>
      <c r="F291" s="800"/>
    </row>
    <row r="292" spans="1:9">
      <c r="A292" s="1882" t="s">
        <v>1165</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1302</v>
      </c>
      <c r="E295" s="1902"/>
      <c r="F295" s="1902"/>
    </row>
    <row r="296" spans="1:9">
      <c r="C296" s="816"/>
      <c r="D296" s="823"/>
    </row>
    <row r="297" spans="1:9">
      <c r="A297" s="801"/>
      <c r="B297" s="798" t="s">
        <v>2519</v>
      </c>
      <c r="D297" s="1902" t="s">
        <v>1303</v>
      </c>
      <c r="E297" s="1902"/>
      <c r="F297" s="1902"/>
      <c r="I297" s="1774" t="s">
        <v>2435</v>
      </c>
    </row>
    <row r="298" spans="1:9" s="791" customFormat="1" ht="14">
      <c r="A298" s="805"/>
      <c r="B298" s="805"/>
      <c r="C298" s="801"/>
      <c r="D298" s="824"/>
      <c r="E298" s="825"/>
      <c r="F298" s="825"/>
      <c r="G298" s="802"/>
      <c r="I298" s="1837"/>
    </row>
    <row r="299" spans="1:9" s="791" customFormat="1" ht="13.7" customHeight="1">
      <c r="A299" s="801"/>
      <c r="B299" s="798" t="s">
        <v>2519</v>
      </c>
      <c r="C299" s="801"/>
      <c r="D299" s="1996" t="s">
        <v>1428</v>
      </c>
      <c r="E299" s="1996"/>
      <c r="F299" s="1996"/>
      <c r="G299" s="802"/>
      <c r="I299" s="1837" t="s">
        <v>2435</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2519</v>
      </c>
      <c r="C305" s="801"/>
      <c r="D305" s="1996" t="s">
        <v>1305</v>
      </c>
      <c r="E305" s="1996"/>
      <c r="F305" s="1996"/>
      <c r="G305" s="802"/>
      <c r="I305" s="1837" t="s">
        <v>2435</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2519</v>
      </c>
      <c r="D308" s="1902" t="s">
        <v>1306</v>
      </c>
      <c r="E308" s="1902"/>
      <c r="F308" s="1902"/>
      <c r="I308" s="1774" t="s">
        <v>2421</v>
      </c>
    </row>
    <row r="309" spans="1:9">
      <c r="E309" s="800"/>
      <c r="F309" s="800"/>
    </row>
    <row r="310" spans="1:9" ht="14">
      <c r="A310" s="797"/>
      <c r="B310" s="798" t="s">
        <v>2519</v>
      </c>
      <c r="D310" s="1978" t="s">
        <v>1455</v>
      </c>
      <c r="E310" s="1978"/>
      <c r="F310" s="1978"/>
      <c r="I310" s="1774" t="s">
        <v>2436</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2519</v>
      </c>
      <c r="D326" s="1978" t="s">
        <v>1308</v>
      </c>
      <c r="E326" s="1978"/>
      <c r="F326" s="1978"/>
      <c r="I326" s="1774" t="s">
        <v>2436</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2519</v>
      </c>
      <c r="D336" s="1900" t="s">
        <v>1505</v>
      </c>
      <c r="E336" s="1900"/>
      <c r="F336" s="1900"/>
      <c r="I336" s="1774" t="s">
        <v>2473</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1058</v>
      </c>
      <c r="E343" s="1979"/>
      <c r="F343" s="1979"/>
      <c r="G343" s="1851"/>
      <c r="H343" s="1851"/>
      <c r="I343" s="1852"/>
    </row>
    <row r="344" spans="1:9" ht="13.45" thickTop="1">
      <c r="D344" s="1997" t="s">
        <v>1310</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
      <c r="A347" s="797"/>
      <c r="B347" s="798" t="s">
        <v>2519</v>
      </c>
      <c r="C347" s="829"/>
      <c r="D347" s="1902" t="s">
        <v>1319</v>
      </c>
      <c r="E347" s="1902"/>
      <c r="F347" s="1902"/>
      <c r="I347" s="2002" t="s">
        <v>2488</v>
      </c>
    </row>
    <row r="348" spans="1:9" ht="12.8" customHeight="1">
      <c r="D348" s="1892" t="s">
        <v>1453</v>
      </c>
      <c r="E348" s="1892"/>
      <c r="F348" s="1892"/>
      <c r="I348" s="2003"/>
    </row>
    <row r="349" spans="1:9">
      <c r="D349" s="1978" t="s">
        <v>1452</v>
      </c>
      <c r="E349" s="1978"/>
      <c r="F349" s="1978"/>
      <c r="I349" s="2003"/>
    </row>
    <row r="350" spans="1:9">
      <c r="D350" s="1978"/>
      <c r="E350" s="1978"/>
      <c r="F350" s="1978"/>
      <c r="I350" s="2003"/>
    </row>
    <row r="351" spans="1:9">
      <c r="D351" s="1978"/>
      <c r="E351" s="1978"/>
      <c r="F351" s="1978"/>
      <c r="I351" s="2004"/>
    </row>
    <row r="352" spans="1:9" ht="14">
      <c r="A352" s="797"/>
      <c r="B352" s="798" t="s">
        <v>2519</v>
      </c>
      <c r="C352" s="814"/>
      <c r="D352" s="1896" t="s">
        <v>1311</v>
      </c>
      <c r="E352" s="1896"/>
      <c r="F352" s="1896"/>
      <c r="G352" s="790"/>
      <c r="I352" s="619"/>
    </row>
    <row r="353" spans="1:9">
      <c r="A353" s="814"/>
      <c r="B353" s="814"/>
      <c r="C353" s="814"/>
      <c r="D353" s="786"/>
      <c r="E353" s="786"/>
      <c r="F353" s="800"/>
      <c r="G353" s="790"/>
    </row>
    <row r="354" spans="1:9">
      <c r="A354" s="814"/>
      <c r="B354" s="798" t="s">
        <v>2519</v>
      </c>
      <c r="C354" s="814"/>
      <c r="D354" s="1891" t="s">
        <v>1431</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2519</v>
      </c>
      <c r="C367" s="814"/>
      <c r="D367" s="2005" t="s">
        <v>1432</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
      <c r="A379" s="797"/>
      <c r="B379" s="798" t="s">
        <v>2519</v>
      </c>
      <c r="C379" s="814"/>
      <c r="D379" s="1889" t="s">
        <v>1313</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1314</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1315</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2519</v>
      </c>
      <c r="C412" s="814"/>
      <c r="D412" s="1890" t="s">
        <v>1316</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2519</v>
      </c>
      <c r="D415" s="1890" t="s">
        <v>2474</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2519</v>
      </c>
      <c r="C421" s="814"/>
      <c r="D421" s="1891" t="s">
        <v>1456</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1506</v>
      </c>
      <c r="E425" s="1891"/>
      <c r="F425" s="1891"/>
      <c r="G425" s="790"/>
    </row>
    <row r="426" spans="1:7">
      <c r="D426" s="800"/>
      <c r="E426" s="800"/>
      <c r="F426" s="800"/>
      <c r="G426" s="790"/>
    </row>
    <row r="427" spans="1:7" ht="14">
      <c r="A427" s="797"/>
      <c r="B427" s="798" t="s">
        <v>2519</v>
      </c>
      <c r="C427" s="829"/>
      <c r="D427" s="1900" t="s">
        <v>1318</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2519</v>
      </c>
      <c r="C459" s="829"/>
      <c r="D459" s="1900" t="s">
        <v>1321</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2519</v>
      </c>
      <c r="C463" s="797"/>
      <c r="D463" s="1978" t="s">
        <v>1400</v>
      </c>
      <c r="E463" s="1978"/>
      <c r="F463" s="1978"/>
      <c r="G463" s="790"/>
    </row>
    <row r="464" spans="1:9">
      <c r="D464" s="1978"/>
      <c r="E464" s="1978"/>
      <c r="F464" s="1978"/>
      <c r="G464" s="790"/>
    </row>
    <row r="465" spans="1:7">
      <c r="D465" s="800"/>
      <c r="E465" s="800"/>
      <c r="F465" s="800"/>
      <c r="G465" s="790"/>
    </row>
    <row r="466" spans="1:7" ht="14">
      <c r="B466" s="798" t="s">
        <v>2519</v>
      </c>
      <c r="C466" s="797"/>
      <c r="D466" s="1978" t="s">
        <v>1323</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2519</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2519</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2519</v>
      </c>
      <c r="C478" s="790"/>
      <c r="D478" s="1978"/>
      <c r="E478" s="1978"/>
      <c r="F478" s="1978"/>
      <c r="G478" s="790"/>
    </row>
    <row r="479" spans="1:7">
      <c r="A479" s="790"/>
      <c r="C479" s="790"/>
      <c r="D479" s="1978"/>
      <c r="E479" s="1978"/>
      <c r="F479" s="1978"/>
      <c r="G479" s="790"/>
    </row>
    <row r="480" spans="1:7">
      <c r="A480" s="790"/>
      <c r="B480" s="798" t="s">
        <v>2519</v>
      </c>
      <c r="C480" s="790"/>
      <c r="D480" s="1978" t="s">
        <v>1324</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2519</v>
      </c>
      <c r="D486" s="1974" t="s">
        <v>1325</v>
      </c>
      <c r="E486" s="1974"/>
      <c r="F486" s="1974"/>
    </row>
    <row r="487" spans="1:9">
      <c r="A487" s="800"/>
      <c r="B487" s="800"/>
    </row>
    <row r="488" spans="1:9">
      <c r="A488" s="1882" t="s">
        <v>1166</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
      <c r="A491" s="805"/>
      <c r="B491" s="805"/>
      <c r="C491" s="801"/>
      <c r="D491" s="1879" t="s">
        <v>1326</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2519</v>
      </c>
      <c r="C493" s="801"/>
      <c r="D493" s="1880" t="s">
        <v>1327</v>
      </c>
      <c r="E493" s="1880"/>
      <c r="F493" s="1880"/>
      <c r="G493" s="802"/>
      <c r="I493" s="1837" t="s">
        <v>2438</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2519</v>
      </c>
      <c r="D496" s="1881" t="s">
        <v>1507</v>
      </c>
      <c r="E496" s="1881"/>
      <c r="F496" s="1881"/>
      <c r="I496" s="1774" t="s">
        <v>2439</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2519</v>
      </c>
      <c r="D501" s="1902" t="s">
        <v>1330</v>
      </c>
      <c r="E501" s="1902"/>
      <c r="F501" s="1902"/>
      <c r="G501" s="790"/>
      <c r="I501" s="1774" t="s">
        <v>2440</v>
      </c>
    </row>
    <row r="502" spans="1:9" ht="14">
      <c r="A502" s="797"/>
      <c r="B502" s="797"/>
      <c r="D502" s="785"/>
      <c r="E502" s="672"/>
      <c r="F502" s="672"/>
      <c r="G502" s="790"/>
    </row>
    <row r="503" spans="1:9" ht="14">
      <c r="A503" s="797"/>
      <c r="B503" s="798" t="s">
        <v>2519</v>
      </c>
      <c r="D503" s="1900" t="s">
        <v>1331</v>
      </c>
      <c r="E503" s="1900"/>
      <c r="F503" s="1900"/>
      <c r="G503" s="790"/>
      <c r="I503" s="1774" t="s">
        <v>2440</v>
      </c>
    </row>
    <row r="504" spans="1:9" ht="14">
      <c r="A504" s="797"/>
      <c r="D504" s="1900"/>
      <c r="E504" s="1900"/>
      <c r="F504" s="1900"/>
      <c r="G504" s="790"/>
    </row>
    <row r="505" spans="1:9">
      <c r="A505" s="816"/>
      <c r="B505" s="816"/>
      <c r="D505" s="733"/>
      <c r="E505" s="672"/>
      <c r="F505" s="672"/>
      <c r="G505" s="790"/>
    </row>
    <row r="506" spans="1:9">
      <c r="A506" s="816"/>
      <c r="B506" s="798" t="s">
        <v>2519</v>
      </c>
      <c r="D506" s="1902" t="s">
        <v>1332</v>
      </c>
      <c r="E506" s="1902"/>
      <c r="F506" s="1902"/>
      <c r="G506" s="790"/>
      <c r="I506" s="1774" t="s">
        <v>2495</v>
      </c>
    </row>
    <row r="507" spans="1:9" ht="14">
      <c r="A507" s="797"/>
      <c r="B507" s="797"/>
      <c r="D507" s="800"/>
    </row>
    <row r="508" spans="1:9">
      <c r="A508" s="1882" t="s">
        <v>1167</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2520</v>
      </c>
      <c r="C514" s="799"/>
      <c r="D514" s="1874" t="s">
        <v>2266</v>
      </c>
      <c r="E514" s="1874"/>
      <c r="F514" s="1874"/>
      <c r="G514" s="672"/>
      <c r="I514" s="622" t="s">
        <v>2475</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2519</v>
      </c>
      <c r="C517" s="804"/>
      <c r="D517" s="1874" t="s">
        <v>1205</v>
      </c>
      <c r="E517" s="1874"/>
      <c r="F517" s="1874"/>
      <c r="G517" s="672"/>
      <c r="I517" s="622" t="s">
        <v>2441</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2519</v>
      </c>
      <c r="C521" s="799"/>
      <c r="D521" s="1986" t="s">
        <v>1231</v>
      </c>
      <c r="E521" s="1986"/>
      <c r="F521" s="1986"/>
      <c r="G521" s="672"/>
      <c r="I521" s="622" t="s">
        <v>2441</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1168</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1169</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1226</v>
      </c>
      <c r="E531" s="1902"/>
      <c r="F531" s="1902"/>
    </row>
    <row r="532" spans="1:9">
      <c r="C532" s="829"/>
      <c r="D532" s="785"/>
      <c r="E532" s="785"/>
      <c r="F532" s="785"/>
    </row>
    <row r="533" spans="1:9" ht="13.7" customHeight="1">
      <c r="A533" s="797"/>
      <c r="B533" s="798" t="s">
        <v>2520</v>
      </c>
      <c r="C533" s="829"/>
      <c r="D533" s="1902" t="s">
        <v>948</v>
      </c>
      <c r="E533" s="1902"/>
      <c r="F533" s="1902"/>
      <c r="G533" s="790"/>
      <c r="I533" s="1774" t="s">
        <v>2493</v>
      </c>
    </row>
    <row r="534" spans="1:9" ht="13.7" customHeight="1">
      <c r="A534" s="829"/>
      <c r="B534" s="829"/>
      <c r="C534" s="829"/>
      <c r="D534" s="785"/>
      <c r="E534" s="618"/>
      <c r="F534" s="618"/>
      <c r="G534" s="790"/>
    </row>
    <row r="535" spans="1:9" ht="14">
      <c r="A535" s="797"/>
      <c r="B535" s="798" t="s">
        <v>2520</v>
      </c>
      <c r="C535" s="829"/>
      <c r="D535" s="1900" t="s">
        <v>1227</v>
      </c>
      <c r="E535" s="1900"/>
      <c r="F535" s="1900"/>
      <c r="G535" s="790"/>
      <c r="I535" s="1774" t="s">
        <v>2493</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2520</v>
      </c>
      <c r="C538" s="829"/>
      <c r="D538" s="1900" t="s">
        <v>1228</v>
      </c>
      <c r="E538" s="1900"/>
      <c r="F538" s="1900"/>
      <c r="G538" s="790"/>
      <c r="I538" s="1774" t="s">
        <v>2442</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2520</v>
      </c>
      <c r="C541" s="829"/>
      <c r="D541" s="1900" t="s">
        <v>1229</v>
      </c>
      <c r="E541" s="1900"/>
      <c r="F541" s="1900"/>
      <c r="G541" s="790"/>
      <c r="I541" s="1774" t="s">
        <v>2443</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2520</v>
      </c>
      <c r="C544" s="829"/>
      <c r="D544" s="1900" t="s">
        <v>1230</v>
      </c>
      <c r="E544" s="1900"/>
      <c r="F544" s="1900"/>
      <c r="G544" s="790"/>
      <c r="I544" s="1774" t="s">
        <v>2494</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2519</v>
      </c>
      <c r="C548" s="829"/>
      <c r="D548" s="1986" t="s">
        <v>1348</v>
      </c>
      <c r="E548" s="1986"/>
      <c r="F548" s="1986"/>
      <c r="I548" s="1774" t="s">
        <v>2493</v>
      </c>
    </row>
    <row r="549" spans="1:9">
      <c r="A549" s="829"/>
      <c r="B549" s="829"/>
      <c r="C549" s="829"/>
      <c r="D549" s="1986"/>
      <c r="E549" s="1986"/>
      <c r="F549" s="1986"/>
    </row>
    <row r="550" spans="1:9">
      <c r="A550" s="829"/>
      <c r="B550" s="829"/>
      <c r="C550" s="829"/>
      <c r="D550" s="800"/>
      <c r="E550" s="800"/>
      <c r="F550" s="800"/>
    </row>
    <row r="551" spans="1:9" ht="14">
      <c r="A551" s="797"/>
      <c r="B551" s="798" t="s">
        <v>2520</v>
      </c>
      <c r="C551" s="829"/>
      <c r="D551" s="1900" t="s">
        <v>1232</v>
      </c>
      <c r="E551" s="1900"/>
      <c r="F551" s="1900"/>
      <c r="I551" s="1774" t="s">
        <v>2493</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2520</v>
      </c>
      <c r="C554" s="829"/>
      <c r="D554" s="1902" t="s">
        <v>1233</v>
      </c>
      <c r="E554" s="1902"/>
      <c r="F554" s="1902"/>
      <c r="G554" s="819"/>
      <c r="I554" s="1774" t="s">
        <v>2496</v>
      </c>
    </row>
    <row r="555" spans="1:9">
      <c r="A555" s="816"/>
      <c r="B555" s="816"/>
      <c r="C555" s="829"/>
      <c r="D555" s="1902" t="s">
        <v>880</v>
      </c>
      <c r="E555" s="1902"/>
      <c r="F555" s="1902"/>
      <c r="G555" s="819"/>
    </row>
    <row r="556" spans="1:9">
      <c r="A556" s="816"/>
      <c r="B556" s="816"/>
      <c r="C556" s="829"/>
      <c r="D556" s="672"/>
      <c r="E556" s="1973" t="s">
        <v>1234</v>
      </c>
      <c r="F556" s="1973"/>
      <c r="G556" s="819"/>
    </row>
    <row r="557" spans="1:9" ht="14">
      <c r="A557" s="797"/>
      <c r="B557" s="797"/>
      <c r="C557" s="829"/>
      <c r="E557" s="800"/>
      <c r="F557" s="800"/>
      <c r="G557" s="819"/>
    </row>
    <row r="558" spans="1:9" ht="14">
      <c r="A558" s="797"/>
      <c r="B558" s="798" t="s">
        <v>2520</v>
      </c>
      <c r="C558" s="829"/>
      <c r="D558" s="1999" t="s">
        <v>1235</v>
      </c>
      <c r="E558" s="1999"/>
      <c r="F558" s="1999"/>
      <c r="G558" s="819"/>
      <c r="I558" s="1774" t="s">
        <v>2444</v>
      </c>
    </row>
    <row r="559" spans="1:9">
      <c r="C559" s="829"/>
      <c r="D559" s="1900" t="s">
        <v>1236</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2520</v>
      </c>
      <c r="C563" s="829"/>
      <c r="D563" s="1900" t="s">
        <v>1237</v>
      </c>
      <c r="E563" s="1900"/>
      <c r="F563" s="1900"/>
      <c r="G563" s="819"/>
      <c r="I563" s="1774" t="s">
        <v>2445</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1170</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1186</v>
      </c>
      <c r="E571" s="1905"/>
      <c r="F571" s="1905"/>
      <c r="G571" s="819"/>
    </row>
    <row r="572" spans="1:9">
      <c r="A572" s="790"/>
      <c r="B572" s="790"/>
      <c r="C572" s="795"/>
      <c r="D572" s="837"/>
      <c r="G572" s="819"/>
      <c r="I572" s="1774" t="s">
        <v>2446</v>
      </c>
    </row>
    <row r="573" spans="1:9">
      <c r="A573" s="795"/>
      <c r="B573" s="798" t="s">
        <v>2520</v>
      </c>
      <c r="D573" s="1905" t="s">
        <v>954</v>
      </c>
      <c r="E573" s="1905"/>
      <c r="F573" s="1905"/>
      <c r="G573" s="819"/>
    </row>
    <row r="574" spans="1:9">
      <c r="A574" s="816"/>
      <c r="B574" s="816"/>
      <c r="D574" s="814"/>
    </row>
    <row r="575" spans="1:9">
      <c r="A575" s="816"/>
      <c r="B575" s="798" t="s">
        <v>2520</v>
      </c>
      <c r="D575" s="1881" t="s">
        <v>1187</v>
      </c>
      <c r="E575" s="1881"/>
      <c r="F575" s="1881"/>
      <c r="I575" s="1774" t="s">
        <v>2448</v>
      </c>
    </row>
    <row r="576" spans="1:9">
      <c r="A576" s="816"/>
      <c r="B576" s="816"/>
      <c r="D576" s="1881"/>
      <c r="E576" s="1881"/>
      <c r="F576" s="1881"/>
      <c r="G576" s="790"/>
      <c r="I576" s="1774" t="s">
        <v>2447</v>
      </c>
    </row>
    <row r="577" spans="1:9">
      <c r="A577" s="816"/>
      <c r="B577" s="816"/>
      <c r="D577" s="1881"/>
      <c r="E577" s="1881"/>
      <c r="F577" s="1881"/>
      <c r="G577" s="790"/>
    </row>
    <row r="578" spans="1:9">
      <c r="A578" s="816"/>
      <c r="B578" s="816"/>
      <c r="D578" s="1881"/>
      <c r="E578" s="1881"/>
      <c r="F578" s="1881"/>
      <c r="G578" s="790"/>
    </row>
    <row r="579" spans="1:9">
      <c r="A579" s="816"/>
      <c r="B579" s="798" t="s">
        <v>2519</v>
      </c>
      <c r="D579" s="1881" t="s">
        <v>1188</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2520</v>
      </c>
      <c r="D584" s="1881" t="s">
        <v>1189</v>
      </c>
      <c r="E584" s="1881"/>
      <c r="F584" s="1881"/>
      <c r="G584" s="790"/>
    </row>
    <row r="585" spans="1:9">
      <c r="A585" s="816"/>
      <c r="B585" s="816"/>
      <c r="D585" s="1881"/>
      <c r="E585" s="1881"/>
      <c r="F585" s="1881"/>
      <c r="G585" s="790"/>
    </row>
    <row r="586" spans="1:9">
      <c r="A586" s="816"/>
      <c r="B586" s="816"/>
      <c r="D586" s="837"/>
      <c r="G586" s="790"/>
    </row>
    <row r="587" spans="1:9">
      <c r="A587" s="816"/>
      <c r="B587" s="798" t="s">
        <v>2519</v>
      </c>
      <c r="D587" s="1905" t="s">
        <v>1190</v>
      </c>
      <c r="E587" s="1905"/>
      <c r="F587" s="1905"/>
      <c r="G587" s="790"/>
      <c r="I587" s="1774" t="s">
        <v>2497</v>
      </c>
    </row>
    <row r="588" spans="1:9">
      <c r="A588" s="816"/>
      <c r="B588" s="816"/>
      <c r="D588" s="1905"/>
      <c r="E588" s="1905"/>
      <c r="F588" s="1905"/>
      <c r="G588" s="790"/>
    </row>
    <row r="589" spans="1:9" ht="14">
      <c r="A589" s="797"/>
      <c r="B589" s="797"/>
      <c r="D589" s="837"/>
      <c r="G589" s="790"/>
    </row>
    <row r="590" spans="1:9">
      <c r="A590" s="1882" t="s">
        <v>1171</v>
      </c>
      <c r="B590" s="1882"/>
      <c r="C590" s="1882"/>
      <c r="D590" s="1882"/>
      <c r="E590" s="1882"/>
      <c r="F590" s="1882"/>
      <c r="G590" s="1882"/>
      <c r="H590" s="1853"/>
      <c r="I590" s="1854"/>
    </row>
    <row r="591" spans="1:9"/>
    <row r="592" spans="1:9">
      <c r="D592" s="1899" t="s">
        <v>1271</v>
      </c>
      <c r="E592" s="1899"/>
      <c r="F592" s="1899"/>
    </row>
    <row r="593" spans="1:9">
      <c r="D593" s="1938" t="s">
        <v>1272</v>
      </c>
      <c r="E593" s="1938"/>
      <c r="F593" s="1938"/>
    </row>
    <row r="594" spans="1:9">
      <c r="D594" s="780"/>
      <c r="E594" s="722"/>
      <c r="F594" s="722"/>
    </row>
    <row r="595" spans="1:9" s="791" customFormat="1" ht="14">
      <c r="A595" s="805"/>
      <c r="B595" s="798" t="s">
        <v>2520</v>
      </c>
      <c r="C595" s="801"/>
      <c r="D595" s="1901" t="s">
        <v>1273</v>
      </c>
      <c r="E595" s="1901"/>
      <c r="F595" s="1901"/>
      <c r="G595" s="802"/>
      <c r="I595" s="1837" t="s">
        <v>2476</v>
      </c>
    </row>
    <row r="596" spans="1:9">
      <c r="D596" s="1901"/>
      <c r="E596" s="1901"/>
      <c r="F596" s="1901"/>
    </row>
    <row r="597" spans="1:9">
      <c r="D597" s="1901"/>
      <c r="E597" s="1901"/>
      <c r="F597" s="1901"/>
    </row>
    <row r="598" spans="1:9"/>
    <row r="599" spans="1:9">
      <c r="A599" s="1882" t="s">
        <v>1172</v>
      </c>
      <c r="B599" s="1882"/>
      <c r="C599" s="1882"/>
      <c r="D599" s="1882"/>
      <c r="E599" s="1882"/>
      <c r="F599" s="1882"/>
      <c r="G599" s="1882"/>
      <c r="H599" s="1853"/>
      <c r="I599" s="1854"/>
    </row>
    <row r="600" spans="1:9">
      <c r="A600" s="800"/>
      <c r="B600" s="800"/>
      <c r="G600" s="819"/>
    </row>
    <row r="601" spans="1:9">
      <c r="A601" s="838"/>
      <c r="B601" s="838"/>
      <c r="C601" s="793"/>
      <c r="D601" s="1939" t="s">
        <v>1274</v>
      </c>
      <c r="E601" s="1939"/>
      <c r="F601" s="1939"/>
      <c r="G601" s="819"/>
    </row>
    <row r="602" spans="1:9">
      <c r="A602" s="838"/>
      <c r="B602" s="838"/>
      <c r="C602" s="793"/>
      <c r="D602" s="1939"/>
      <c r="E602" s="1939"/>
      <c r="F602" s="1939"/>
      <c r="G602" s="819"/>
    </row>
    <row r="603" spans="1:9">
      <c r="C603" s="795"/>
      <c r="D603" s="1938" t="s">
        <v>1275</v>
      </c>
      <c r="E603" s="1938"/>
      <c r="F603" s="1938"/>
      <c r="G603" s="819"/>
    </row>
    <row r="604" spans="1:9">
      <c r="C604" s="795"/>
      <c r="D604" s="780"/>
      <c r="E604" s="780"/>
      <c r="F604" s="780"/>
      <c r="G604" s="819"/>
    </row>
    <row r="605" spans="1:9" ht="12.8" customHeight="1">
      <c r="A605" s="816"/>
      <c r="B605" s="798" t="s">
        <v>2520</v>
      </c>
      <c r="D605" s="1898" t="s">
        <v>1276</v>
      </c>
      <c r="E605" s="1898"/>
      <c r="F605" s="1898"/>
      <c r="G605" s="819"/>
      <c r="I605" s="1774" t="s">
        <v>2498</v>
      </c>
    </row>
    <row r="606" spans="1:9">
      <c r="D606" s="1898"/>
      <c r="E606" s="1898"/>
      <c r="F606" s="1898"/>
      <c r="G606" s="819"/>
    </row>
    <row r="607" spans="1:9">
      <c r="D607" s="790"/>
      <c r="G607" s="819"/>
    </row>
    <row r="608" spans="1:9">
      <c r="B608" s="798" t="s">
        <v>2520</v>
      </c>
      <c r="D608" s="1898" t="s">
        <v>1277</v>
      </c>
      <c r="E608" s="1898"/>
      <c r="F608" s="1898"/>
      <c r="G608" s="819"/>
      <c r="I608" s="1774" t="s">
        <v>2449</v>
      </c>
    </row>
    <row r="609" spans="1:9">
      <c r="C609" s="839"/>
      <c r="D609" s="1898"/>
      <c r="E609" s="1898"/>
      <c r="F609" s="1898"/>
      <c r="G609" s="819"/>
    </row>
    <row r="610" spans="1:9">
      <c r="C610" s="839"/>
      <c r="G610" s="819"/>
    </row>
    <row r="611" spans="1:9">
      <c r="B611" s="798" t="s">
        <v>2519</v>
      </c>
      <c r="C611" s="839"/>
      <c r="D611" s="1898" t="s">
        <v>1278</v>
      </c>
      <c r="E611" s="1898"/>
      <c r="F611" s="1898"/>
      <c r="G611" s="819"/>
      <c r="I611" s="1774" t="s">
        <v>2499</v>
      </c>
    </row>
    <row r="612" spans="1:9">
      <c r="C612" s="839"/>
      <c r="D612" s="1898"/>
      <c r="E612" s="1898"/>
      <c r="F612" s="1898"/>
      <c r="G612" s="819"/>
      <c r="I612" s="1850" t="s">
        <v>2500</v>
      </c>
    </row>
    <row r="613" spans="1:9">
      <c r="C613" s="839"/>
      <c r="G613" s="819"/>
    </row>
    <row r="614" spans="1:9">
      <c r="A614" s="1882" t="s">
        <v>1173</v>
      </c>
      <c r="B614" s="1882"/>
      <c r="C614" s="1882"/>
      <c r="D614" s="1882"/>
      <c r="E614" s="1882"/>
      <c r="F614" s="1882"/>
      <c r="G614" s="1882"/>
      <c r="H614" s="1853"/>
      <c r="I614" s="1854"/>
    </row>
    <row r="615" spans="1:9">
      <c r="A615" s="840"/>
      <c r="B615" s="840"/>
      <c r="C615" s="840"/>
      <c r="G615" s="819"/>
    </row>
    <row r="616" spans="1:9">
      <c r="C616" s="816"/>
      <c r="D616" s="1899" t="s">
        <v>1279</v>
      </c>
      <c r="E616" s="1899"/>
      <c r="F616" s="1899"/>
      <c r="G616" s="819"/>
    </row>
    <row r="617" spans="1:9">
      <c r="A617" s="816"/>
      <c r="B617" s="816"/>
      <c r="C617" s="818"/>
      <c r="D617" s="794"/>
      <c r="G617" s="819"/>
    </row>
    <row r="618" spans="1:9" ht="14">
      <c r="A618" s="797"/>
      <c r="B618" s="798" t="s">
        <v>2520</v>
      </c>
      <c r="C618" s="818"/>
      <c r="D618" s="1900" t="s">
        <v>1501</v>
      </c>
      <c r="E618" s="1900"/>
      <c r="F618" s="1900"/>
      <c r="G618" s="819"/>
      <c r="I618" s="1774" t="s">
        <v>2477</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2519</v>
      </c>
      <c r="C625" s="818"/>
      <c r="D625" s="1900" t="s">
        <v>1281</v>
      </c>
      <c r="E625" s="1900"/>
      <c r="F625" s="1900"/>
      <c r="G625" s="819"/>
      <c r="I625" s="1774" t="s">
        <v>2501</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2519</v>
      </c>
      <c r="C628" s="829"/>
      <c r="D628" s="1901" t="s">
        <v>1438</v>
      </c>
      <c r="E628" s="1901"/>
      <c r="F628" s="1901"/>
      <c r="G628" s="819"/>
      <c r="I628" s="1774" t="s">
        <v>2450</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2519</v>
      </c>
      <c r="C631" s="829"/>
      <c r="D631" s="1902" t="s">
        <v>1283</v>
      </c>
      <c r="E631" s="1902"/>
      <c r="F631" s="1902"/>
      <c r="G631" s="819"/>
      <c r="I631" s="1774" t="s">
        <v>2450</v>
      </c>
    </row>
    <row r="632" spans="1:9">
      <c r="A632" s="829"/>
      <c r="B632" s="829"/>
      <c r="C632" s="829"/>
      <c r="D632" s="727"/>
      <c r="E632" s="727"/>
      <c r="F632" s="727"/>
      <c r="G632" s="819"/>
    </row>
    <row r="633" spans="1:9">
      <c r="A633" s="1882" t="s">
        <v>1174</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1333</v>
      </c>
      <c r="E635" s="1976"/>
      <c r="F635" s="1976"/>
      <c r="G635" s="819"/>
    </row>
    <row r="636" spans="1:9">
      <c r="A636" s="795"/>
      <c r="B636" s="795"/>
      <c r="C636" s="795"/>
      <c r="D636" s="1977" t="s">
        <v>1334</v>
      </c>
      <c r="E636" s="1977"/>
      <c r="F636" s="1977"/>
      <c r="G636" s="819"/>
    </row>
    <row r="637" spans="1:9">
      <c r="A637" s="795"/>
      <c r="B637" s="795"/>
      <c r="C637" s="795"/>
      <c r="D637" s="727"/>
      <c r="E637" s="727"/>
      <c r="F637" s="727"/>
      <c r="G637" s="819"/>
    </row>
    <row r="638" spans="1:9" ht="12.8" customHeight="1">
      <c r="B638" s="798" t="s">
        <v>2519</v>
      </c>
      <c r="C638" s="829"/>
      <c r="D638" s="1984" t="s">
        <v>1522</v>
      </c>
      <c r="E638" s="1984"/>
      <c r="F638" s="1984"/>
      <c r="I638" s="1774" t="s">
        <v>2504</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2519</v>
      </c>
      <c r="C643" s="829"/>
      <c r="D643" s="1984" t="s">
        <v>1525</v>
      </c>
      <c r="E643" s="1984"/>
      <c r="F643" s="1984"/>
      <c r="G643" s="819"/>
      <c r="I643" s="1774" t="s">
        <v>2504</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2519</v>
      </c>
      <c r="C649" s="829"/>
      <c r="D649" s="1984" t="s">
        <v>1523</v>
      </c>
      <c r="E649" s="1984"/>
      <c r="F649" s="1984"/>
      <c r="G649" s="819"/>
      <c r="I649" s="1774" t="s">
        <v>2504</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2519</v>
      </c>
      <c r="C654" s="829"/>
      <c r="D654" s="1984" t="s">
        <v>1524</v>
      </c>
      <c r="E654" s="1984"/>
      <c r="F654" s="1984"/>
      <c r="G654" s="819"/>
      <c r="I654" s="1774" t="s">
        <v>2504</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1175</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1211</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2520</v>
      </c>
      <c r="C670" s="795"/>
      <c r="D670" s="1902" t="s">
        <v>950</v>
      </c>
      <c r="E670" s="1902"/>
      <c r="F670" s="1902"/>
      <c r="G670" s="819"/>
      <c r="H670" s="842"/>
      <c r="I670" s="1841" t="s">
        <v>2478</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1212</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00" t="s">
        <v>1404</v>
      </c>
      <c r="E675" s="1900"/>
      <c r="F675" s="1900"/>
      <c r="G675" s="819"/>
      <c r="H675" s="842"/>
      <c r="I675" s="1841" t="s">
        <v>2502</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2479</v>
      </c>
      <c r="J678" s="842"/>
      <c r="K678" s="842"/>
    </row>
    <row r="679" spans="1:11" ht="14">
      <c r="A679" s="797"/>
      <c r="B679" s="798" t="s">
        <v>2520</v>
      </c>
      <c r="C679" s="795"/>
      <c r="D679" s="1902" t="s">
        <v>990</v>
      </c>
      <c r="E679" s="1902"/>
      <c r="F679" s="1902"/>
      <c r="G679" s="819"/>
      <c r="H679" s="842"/>
      <c r="I679" s="1841"/>
      <c r="J679" s="842"/>
      <c r="K679" s="842"/>
    </row>
    <row r="680" spans="1:11" ht="14">
      <c r="A680" s="797"/>
      <c r="B680" s="797"/>
      <c r="C680" s="795"/>
      <c r="D680" s="1902" t="s">
        <v>961</v>
      </c>
      <c r="E680" s="1902"/>
      <c r="F680" s="1902"/>
      <c r="G680" s="819"/>
      <c r="H680" s="842"/>
      <c r="I680" s="1841"/>
      <c r="J680" s="842"/>
      <c r="K680" s="842"/>
    </row>
    <row r="681" spans="1:11">
      <c r="A681" s="795"/>
      <c r="B681" s="795"/>
      <c r="C681" s="795"/>
      <c r="D681" s="672"/>
      <c r="E681" s="1973" t="s">
        <v>1214</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86" t="s">
        <v>1224</v>
      </c>
      <c r="E683" s="1986"/>
      <c r="F683" s="1986"/>
      <c r="G683" s="819"/>
      <c r="H683" s="842"/>
      <c r="I683" s="1841" t="s">
        <v>2451</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86" t="s">
        <v>1406</v>
      </c>
      <c r="E690" s="1986"/>
      <c r="F690" s="1986"/>
      <c r="G690" s="844"/>
      <c r="H690" s="845"/>
      <c r="I690" s="1842" t="s">
        <v>2451</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2519</v>
      </c>
      <c r="C693" s="795"/>
      <c r="D693" s="1986" t="s">
        <v>1215</v>
      </c>
      <c r="E693" s="1986"/>
      <c r="F693" s="1986"/>
      <c r="G693" s="819"/>
      <c r="H693" s="842"/>
      <c r="I693" s="1841" t="s">
        <v>2451</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2519</v>
      </c>
      <c r="C706" s="795"/>
      <c r="D706" s="1986" t="s">
        <v>1222</v>
      </c>
      <c r="E706" s="1986"/>
      <c r="F706" s="1986"/>
      <c r="G706" s="819"/>
      <c r="H706" s="842"/>
      <c r="I706" s="1841" t="s">
        <v>2503</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86" t="s">
        <v>1216</v>
      </c>
      <c r="E709" s="1986"/>
      <c r="F709" s="1986"/>
      <c r="G709" s="819"/>
      <c r="H709" s="842"/>
      <c r="I709" s="1841" t="s">
        <v>2503</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86" t="s">
        <v>1217</v>
      </c>
      <c r="E713" s="1986"/>
      <c r="F713" s="1986"/>
      <c r="G713" s="819"/>
      <c r="H713" s="842"/>
      <c r="I713" s="1841" t="s">
        <v>2503</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2519</v>
      </c>
      <c r="C717" s="795"/>
      <c r="D717" s="1900" t="s">
        <v>1218</v>
      </c>
      <c r="E717" s="1900"/>
      <c r="F717" s="1900"/>
      <c r="G717" s="819"/>
      <c r="H717" s="842"/>
      <c r="I717" s="1841" t="s">
        <v>2452</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2520</v>
      </c>
      <c r="C722" s="795"/>
      <c r="D722" s="1986" t="s">
        <v>1351</v>
      </c>
      <c r="E722" s="1986"/>
      <c r="F722" s="1986"/>
      <c r="G722" s="819"/>
      <c r="H722" s="842"/>
      <c r="I722" s="1841" t="s">
        <v>2468</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1219</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1176</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1192</v>
      </c>
      <c r="E733" s="1971"/>
      <c r="F733" s="1971"/>
      <c r="G733" s="847"/>
      <c r="H733" s="842"/>
      <c r="I733" s="1841"/>
      <c r="J733" s="842"/>
      <c r="K733" s="842"/>
    </row>
    <row r="734" spans="1:11">
      <c r="A734" s="795"/>
      <c r="B734" s="795"/>
      <c r="C734" s="795"/>
      <c r="D734" s="1926" t="s">
        <v>1193</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2520</v>
      </c>
      <c r="C736" s="788"/>
      <c r="D736" s="1900" t="s">
        <v>1194</v>
      </c>
      <c r="E736" s="1900"/>
      <c r="F736" s="1900"/>
      <c r="G736" s="847"/>
      <c r="H736" s="845"/>
      <c r="I736" s="1842" t="s">
        <v>2453</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2519</v>
      </c>
      <c r="C743" s="851"/>
      <c r="D743" s="1901" t="s">
        <v>1457</v>
      </c>
      <c r="E743" s="1901"/>
      <c r="F743" s="1901"/>
      <c r="G743" s="852"/>
      <c r="I743" s="1843" t="s">
        <v>2453</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2519</v>
      </c>
      <c r="C748" s="851"/>
      <c r="D748" s="1995" t="s">
        <v>1458</v>
      </c>
      <c r="E748" s="1995"/>
      <c r="F748" s="1995"/>
      <c r="G748" s="852"/>
      <c r="I748" s="1843" t="s">
        <v>2454</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2519</v>
      </c>
      <c r="C752" s="801"/>
      <c r="D752" s="1901" t="s">
        <v>1401</v>
      </c>
      <c r="E752" s="1901"/>
      <c r="F752" s="1901"/>
      <c r="G752" s="848"/>
      <c r="H752" s="842"/>
      <c r="I752" s="1841" t="s">
        <v>2453</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901" t="s">
        <v>1423</v>
      </c>
      <c r="E755" s="1901"/>
      <c r="F755" s="1901"/>
      <c r="G755" s="848"/>
      <c r="H755" s="842"/>
      <c r="I755" s="1841" t="s">
        <v>2453</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2322</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2381</v>
      </c>
      <c r="E761" s="1993"/>
      <c r="F761" s="1993"/>
      <c r="G761" s="686"/>
    </row>
    <row r="762" spans="1:11">
      <c r="A762" s="93"/>
      <c r="B762" s="93"/>
      <c r="C762" s="1732"/>
      <c r="D762" s="1975" t="s">
        <v>2267</v>
      </c>
      <c r="E762" s="1975"/>
      <c r="F762" s="1975"/>
      <c r="G762" s="686"/>
    </row>
    <row r="763" spans="1:11">
      <c r="A763" s="93"/>
      <c r="B763" s="93"/>
      <c r="C763" s="1732"/>
      <c r="D763" s="733"/>
      <c r="E763" s="733"/>
      <c r="F763" s="733"/>
      <c r="G763" s="686"/>
    </row>
    <row r="764" spans="1:11">
      <c r="A764" s="93"/>
      <c r="B764" s="798" t="s">
        <v>2520</v>
      </c>
      <c r="C764" s="1732"/>
      <c r="D764" s="1922" t="s">
        <v>2268</v>
      </c>
      <c r="E764" s="1922"/>
      <c r="F764" s="1922"/>
      <c r="G764" s="686"/>
      <c r="I764" s="1841" t="s">
        <v>2505</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2519</v>
      </c>
      <c r="C768" s="1735"/>
      <c r="D768" s="1922" t="s">
        <v>2269</v>
      </c>
      <c r="E768" s="1922"/>
      <c r="F768" s="1922"/>
      <c r="G768" s="686"/>
      <c r="I768" s="1841" t="s">
        <v>2505</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2519</v>
      </c>
      <c r="C772" s="1740"/>
      <c r="D772" s="1922" t="s">
        <v>2270</v>
      </c>
      <c r="E772" s="1922"/>
      <c r="F772" s="1922"/>
      <c r="G772" s="1739"/>
      <c r="I772" s="1841" t="s">
        <v>2505</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2519</v>
      </c>
      <c r="C776" s="1740"/>
      <c r="D776" s="1922" t="s">
        <v>2271</v>
      </c>
      <c r="E776" s="1922"/>
      <c r="F776" s="1922"/>
      <c r="G776" s="1739"/>
      <c r="I776" s="1841" t="s">
        <v>2505</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2323</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2519</v>
      </c>
      <c r="C786" s="1740"/>
      <c r="D786" s="1922" t="s">
        <v>2272</v>
      </c>
      <c r="E786" s="1922"/>
      <c r="F786" s="1922"/>
      <c r="G786" s="1739"/>
      <c r="I786" s="1841" t="s">
        <v>2505</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2519</v>
      </c>
      <c r="C793" s="1740"/>
      <c r="D793" s="1922" t="s">
        <v>2273</v>
      </c>
      <c r="E793" s="1922"/>
      <c r="F793" s="1922"/>
      <c r="G793" s="1739"/>
      <c r="I793" s="1841" t="s">
        <v>2505</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2519</v>
      </c>
      <c r="C800" s="1740"/>
      <c r="D800" s="1919" t="s">
        <v>2274</v>
      </c>
      <c r="E800" s="1919"/>
      <c r="F800" s="1919"/>
      <c r="G800" s="1739"/>
      <c r="I800" s="1841" t="s">
        <v>2505</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2275</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2324</v>
      </c>
      <c r="E809" s="1911"/>
      <c r="F809" s="1911"/>
      <c r="G809" s="678"/>
    </row>
    <row r="810" spans="1:9" ht="14.25" customHeight="1">
      <c r="A810" s="714"/>
      <c r="B810" s="714"/>
      <c r="C810" s="556"/>
      <c r="D810" s="1862" t="s">
        <v>2276</v>
      </c>
      <c r="E810" s="1862"/>
      <c r="F810" s="1862"/>
      <c r="G810" s="678"/>
    </row>
    <row r="811" spans="1:9" ht="12.8" customHeight="1">
      <c r="A811" s="714"/>
      <c r="B811" s="714"/>
      <c r="C811" s="556"/>
      <c r="D811" s="1703"/>
      <c r="E811" s="1703"/>
      <c r="F811" s="1703"/>
      <c r="G811" s="678"/>
    </row>
    <row r="812" spans="1:9" ht="12.8" customHeight="1">
      <c r="A812" s="1742"/>
      <c r="B812" s="798" t="s">
        <v>2520</v>
      </c>
      <c r="C812" s="1740"/>
      <c r="D812" s="1862" t="s">
        <v>2277</v>
      </c>
      <c r="E812" s="1862"/>
      <c r="F812" s="1862"/>
      <c r="G812" s="678"/>
      <c r="I812" s="1774" t="s">
        <v>2471</v>
      </c>
    </row>
    <row r="813" spans="1:9" ht="14.25" customHeight="1">
      <c r="A813" s="1725"/>
      <c r="B813" s="1725"/>
      <c r="C813" s="1740"/>
      <c r="D813" s="5" t="s">
        <v>2253</v>
      </c>
      <c r="E813" s="1871" t="s">
        <v>2278</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2279</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2520</v>
      </c>
      <c r="C826" s="1740"/>
      <c r="D826" s="1862" t="s">
        <v>2280</v>
      </c>
      <c r="E826" s="1862"/>
      <c r="F826" s="1862"/>
      <c r="G826" s="678"/>
      <c r="I826" s="1774" t="s">
        <v>2491</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2519</v>
      </c>
      <c r="C830" s="1744"/>
      <c r="D830" s="1967" t="s">
        <v>2281</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2282</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2519</v>
      </c>
      <c r="C839" s="1744"/>
      <c r="D839" s="1863" t="s">
        <v>2283</v>
      </c>
      <c r="E839" s="1863"/>
      <c r="F839" s="1863"/>
      <c r="G839" s="678"/>
      <c r="I839" s="1774" t="s">
        <v>2472</v>
      </c>
    </row>
    <row r="840" spans="1:9" ht="12.8" customHeight="1">
      <c r="A840" s="403"/>
      <c r="B840" s="403"/>
      <c r="C840" s="1744"/>
      <c r="D840" s="1863" t="s">
        <v>2284</v>
      </c>
      <c r="E840" s="1863"/>
      <c r="F840" s="1863"/>
      <c r="G840" s="678"/>
    </row>
    <row r="841" spans="1:9" ht="12.8" customHeight="1">
      <c r="A841" s="403"/>
      <c r="B841" s="403"/>
      <c r="C841" s="1744"/>
      <c r="D841" s="183" t="s">
        <v>2250</v>
      </c>
      <c r="E841" s="1961" t="s">
        <v>2285</v>
      </c>
      <c r="F841" s="1961"/>
      <c r="G841" s="678"/>
    </row>
    <row r="842" spans="1:9" ht="12.8" customHeight="1">
      <c r="A842" s="403"/>
      <c r="B842" s="403"/>
      <c r="C842" s="1744"/>
      <c r="D842" s="1721"/>
      <c r="E842" s="678"/>
      <c r="F842" s="678"/>
      <c r="G842" s="678"/>
    </row>
    <row r="843" spans="1:9" ht="12.8" customHeight="1">
      <c r="A843" s="403"/>
      <c r="B843" s="798" t="s">
        <v>2519</v>
      </c>
      <c r="C843" s="1744"/>
      <c r="D843" s="1863" t="s">
        <v>2286</v>
      </c>
      <c r="E843" s="1863"/>
      <c r="F843" s="1863"/>
      <c r="G843" s="678"/>
      <c r="I843" s="1774" t="s">
        <v>2492</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2287</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2325</v>
      </c>
      <c r="E850" s="1885"/>
      <c r="F850" s="1885"/>
      <c r="G850" s="1739"/>
    </row>
    <row r="851" spans="1:9" ht="12.8" customHeight="1">
      <c r="A851" s="1742"/>
      <c r="B851" s="1742"/>
      <c r="C851" s="313"/>
      <c r="D851" s="1968" t="s">
        <v>2288</v>
      </c>
      <c r="E851" s="1968"/>
      <c r="F851" s="1968"/>
      <c r="G851" s="1739"/>
    </row>
    <row r="852" spans="1:9" ht="12.8" customHeight="1">
      <c r="A852" s="1742"/>
      <c r="B852" s="1742"/>
      <c r="C852" s="313"/>
      <c r="D852" s="1750"/>
      <c r="E852" s="1750"/>
      <c r="F852" s="1750"/>
      <c r="G852" s="1739"/>
    </row>
    <row r="853" spans="1:9" ht="12.8" customHeight="1">
      <c r="A853" s="714"/>
      <c r="B853" s="798" t="s">
        <v>2520</v>
      </c>
      <c r="C853" s="556"/>
      <c r="D853" s="1875" t="s">
        <v>2289</v>
      </c>
      <c r="E853" s="1875"/>
      <c r="F853" s="1875"/>
      <c r="G853" s="1739"/>
      <c r="I853" s="1774" t="s">
        <v>2472</v>
      </c>
    </row>
    <row r="854" spans="1:9" ht="12.8" customHeight="1">
      <c r="A854" s="1742"/>
      <c r="B854" s="1742"/>
      <c r="C854" s="556"/>
      <c r="D854" s="5" t="s">
        <v>2250</v>
      </c>
      <c r="E854" s="1963" t="s">
        <v>2285</v>
      </c>
      <c r="F854" s="1963"/>
      <c r="G854" s="1739"/>
    </row>
    <row r="855" spans="1:9" ht="12.8" customHeight="1">
      <c r="A855" s="1742"/>
      <c r="B855" s="1742"/>
      <c r="C855" s="556"/>
      <c r="D855" s="1708"/>
      <c r="E855" s="1738"/>
      <c r="F855" s="1738"/>
      <c r="G855" s="1739"/>
    </row>
    <row r="856" spans="1:9" ht="12.8" customHeight="1">
      <c r="A856" s="714"/>
      <c r="B856" s="798" t="s">
        <v>2520</v>
      </c>
      <c r="C856" s="556"/>
      <c r="D856" s="1862" t="s">
        <v>2290</v>
      </c>
      <c r="E856" s="1886"/>
      <c r="F856" s="1886"/>
      <c r="G856" s="678"/>
      <c r="I856" s="1774" t="s">
        <v>2492</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2519</v>
      </c>
      <c r="C859" s="557"/>
      <c r="D859" s="1964" t="s">
        <v>2291</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2282</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2519</v>
      </c>
      <c r="C868" s="556"/>
      <c r="D868" s="1928" t="s">
        <v>2283</v>
      </c>
      <c r="E868" s="1928"/>
      <c r="F868" s="1928"/>
      <c r="G868" s="1739"/>
      <c r="I868" s="1774" t="s">
        <v>2472</v>
      </c>
    </row>
    <row r="869" spans="1:9" ht="12.8" customHeight="1">
      <c r="A869" s="714"/>
      <c r="B869" s="714"/>
      <c r="C869" s="556"/>
      <c r="D869" s="1928" t="s">
        <v>2284</v>
      </c>
      <c r="E869" s="1928"/>
      <c r="F869" s="1928"/>
      <c r="G869" s="1739"/>
    </row>
    <row r="870" spans="1:9" ht="12.8" customHeight="1">
      <c r="A870" s="714"/>
      <c r="B870" s="714"/>
      <c r="C870" s="556"/>
      <c r="D870" s="5" t="s">
        <v>1502</v>
      </c>
      <c r="E870" s="1965" t="s">
        <v>2285</v>
      </c>
      <c r="F870" s="1965"/>
      <c r="G870" s="1739"/>
    </row>
    <row r="871" spans="1:9" ht="12.8" customHeight="1">
      <c r="A871" s="714"/>
      <c r="B871" s="714"/>
      <c r="C871" s="556"/>
      <c r="D871" s="1708"/>
      <c r="E871" s="1738"/>
      <c r="F871" s="1738"/>
      <c r="G871" s="1739"/>
    </row>
    <row r="872" spans="1:9" ht="12.8" customHeight="1">
      <c r="A872" s="714"/>
      <c r="B872" s="798" t="s">
        <v>2519</v>
      </c>
      <c r="C872" s="556"/>
      <c r="D872" s="1862" t="s">
        <v>2286</v>
      </c>
      <c r="E872" s="1862"/>
      <c r="F872" s="1862"/>
      <c r="G872" s="1739"/>
      <c r="I872" s="1774" t="s">
        <v>2492</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2326</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2332</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2520</v>
      </c>
      <c r="C881" s="93"/>
      <c r="D881" s="1722" t="s">
        <v>2333</v>
      </c>
      <c r="E881" s="1716"/>
      <c r="F881" s="1716"/>
      <c r="G881" s="93"/>
      <c r="I881" s="1774" t="s">
        <v>2506</v>
      </c>
    </row>
    <row r="882" spans="1:9" s="1772" customFormat="1" ht="12.8" customHeight="1">
      <c r="A882" s="93"/>
      <c r="B882" s="93"/>
      <c r="C882" s="93"/>
      <c r="D882" s="1716"/>
      <c r="E882" s="1716"/>
      <c r="F882" s="1716"/>
      <c r="G882" s="93"/>
      <c r="I882" s="1774"/>
    </row>
    <row r="883" spans="1:9" ht="12.8" customHeight="1">
      <c r="A883" s="1742"/>
      <c r="B883" s="1742"/>
      <c r="C883" s="1740"/>
      <c r="D883" s="1921" t="s">
        <v>2327</v>
      </c>
      <c r="E883" s="1921"/>
      <c r="F883" s="1921"/>
      <c r="G883" s="1739"/>
    </row>
    <row r="884" spans="1:9" ht="12.8" customHeight="1">
      <c r="A884" s="1714"/>
      <c r="B884" s="1714"/>
      <c r="C884" s="1746"/>
      <c r="D884" s="1875" t="s">
        <v>2292</v>
      </c>
      <c r="E884" s="1875"/>
      <c r="F884" s="1875"/>
      <c r="G884" s="1739"/>
    </row>
    <row r="885" spans="1:9" ht="12.8" customHeight="1">
      <c r="A885" s="1756"/>
      <c r="B885" s="1756"/>
      <c r="C885" s="1740"/>
      <c r="D885" s="5"/>
      <c r="E885" s="1738"/>
      <c r="F885" s="1738"/>
      <c r="G885" s="1739"/>
    </row>
    <row r="886" spans="1:9" ht="12.8" customHeight="1">
      <c r="A886" s="714"/>
      <c r="B886" s="798" t="s">
        <v>2519</v>
      </c>
      <c r="C886" s="556"/>
      <c r="D886" s="1862" t="s">
        <v>2296</v>
      </c>
      <c r="E886" s="1862"/>
      <c r="F886" s="1862"/>
      <c r="G886" s="678"/>
      <c r="I886" s="1774" t="s">
        <v>2456</v>
      </c>
    </row>
    <row r="887" spans="1:9" ht="12.8" customHeight="1">
      <c r="A887" s="1742"/>
      <c r="B887" s="1742"/>
      <c r="C887" s="556"/>
      <c r="D887" s="1862"/>
      <c r="E887" s="1862"/>
      <c r="F887" s="1862"/>
      <c r="G887" s="678"/>
    </row>
    <row r="888" spans="1:9" s="1772" customFormat="1" ht="12.8" customHeight="1">
      <c r="A888" s="1846"/>
      <c r="B888" s="1846"/>
      <c r="C888" s="1746"/>
      <c r="D888" s="1862" t="s">
        <v>2295</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2519</v>
      </c>
      <c r="C891" s="486"/>
      <c r="D891" s="1961" t="s">
        <v>2293</v>
      </c>
      <c r="E891" s="1961"/>
      <c r="F891" s="1961"/>
      <c r="G891" s="1739"/>
      <c r="I891" s="1774" t="s">
        <v>2455</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2519</v>
      </c>
      <c r="C900" s="1740"/>
      <c r="D900" s="1862" t="s">
        <v>2297</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2519</v>
      </c>
      <c r="C903" s="1740"/>
      <c r="D903" s="1919" t="s">
        <v>2298</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2519</v>
      </c>
      <c r="C908" s="1740"/>
      <c r="D908" s="1875" t="s">
        <v>2299</v>
      </c>
      <c r="E908" s="1875"/>
      <c r="F908" s="1875"/>
      <c r="G908" s="1739"/>
    </row>
    <row r="909" spans="1:9" ht="12.8" customHeight="1">
      <c r="A909" s="1756"/>
      <c r="B909" s="1756"/>
      <c r="C909" s="1740"/>
      <c r="D909" s="1708"/>
      <c r="E909" s="1738"/>
      <c r="F909" s="1738"/>
      <c r="G909" s="1739"/>
    </row>
    <row r="910" spans="1:9" ht="12.8" customHeight="1">
      <c r="A910" s="1756"/>
      <c r="B910" s="798" t="s">
        <v>2519</v>
      </c>
      <c r="C910" s="1740"/>
      <c r="D910" s="1875" t="s">
        <v>2300</v>
      </c>
      <c r="E910" s="1875"/>
      <c r="F910" s="1875"/>
      <c r="G910" s="1739"/>
    </row>
    <row r="911" spans="1:9" ht="12.8" customHeight="1">
      <c r="A911" s="487"/>
      <c r="B911" s="487"/>
      <c r="C911" s="486"/>
      <c r="D911" s="183"/>
      <c r="E911" s="678"/>
      <c r="F911" s="1739"/>
      <c r="G911" s="1739"/>
    </row>
    <row r="912" spans="1:9" ht="12.8" customHeight="1">
      <c r="A912" s="1752"/>
      <c r="B912" s="798" t="s">
        <v>2519</v>
      </c>
      <c r="C912" s="1753"/>
      <c r="D912" s="1961" t="s">
        <v>2294</v>
      </c>
      <c r="E912" s="1961"/>
      <c r="F912" s="1961"/>
      <c r="G912" s="1754"/>
      <c r="I912" s="1774" t="s">
        <v>2507</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2519</v>
      </c>
      <c r="C922" s="486"/>
      <c r="D922" s="1962" t="s">
        <v>2510</v>
      </c>
      <c r="E922" s="1962"/>
      <c r="F922" s="1962"/>
      <c r="G922" s="1739"/>
      <c r="I922" s="1774" t="s">
        <v>2507</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2519</v>
      </c>
      <c r="C930" s="486"/>
      <c r="D930" s="1874" t="s">
        <v>2508</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2519</v>
      </c>
      <c r="C937" s="1740"/>
      <c r="D937" s="1966" t="s">
        <v>2301</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2519</v>
      </c>
      <c r="C942" s="486"/>
      <c r="D942" s="1961" t="s">
        <v>2509</v>
      </c>
      <c r="E942" s="1961"/>
      <c r="F942" s="1961"/>
      <c r="G942" s="1739"/>
      <c r="I942" s="1774" t="s">
        <v>2507</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2302</v>
      </c>
      <c r="E947" s="1885"/>
      <c r="F947" s="1885"/>
      <c r="G947" s="678"/>
    </row>
    <row r="948" spans="1:9" ht="12.8" customHeight="1">
      <c r="A948" s="714"/>
      <c r="B948" s="798" t="s">
        <v>2519</v>
      </c>
      <c r="C948" s="556"/>
      <c r="D948" s="1875" t="s">
        <v>2328</v>
      </c>
      <c r="E948" s="1875"/>
      <c r="F948" s="1875"/>
      <c r="G948" s="678"/>
      <c r="I948" s="1774" t="s">
        <v>2507</v>
      </c>
    </row>
    <row r="949" spans="1:9" ht="12.8" customHeight="1">
      <c r="A949" s="1742"/>
      <c r="B949" s="1742"/>
      <c r="C949" s="556"/>
      <c r="D949" s="6"/>
      <c r="E949" s="6"/>
      <c r="F949" s="6"/>
      <c r="G949" s="678"/>
    </row>
    <row r="950" spans="1:9" ht="12.8" customHeight="1">
      <c r="A950" s="1742"/>
      <c r="B950" s="1742"/>
      <c r="C950" s="556"/>
      <c r="D950" s="1885" t="s">
        <v>2303</v>
      </c>
      <c r="E950" s="1885"/>
      <c r="F950" s="1885"/>
      <c r="G950" s="677"/>
    </row>
    <row r="951" spans="1:9" ht="12.8" customHeight="1">
      <c r="A951" s="714"/>
      <c r="B951" s="798" t="s">
        <v>2519</v>
      </c>
      <c r="C951" s="556"/>
      <c r="D951" s="1862" t="s">
        <v>2304</v>
      </c>
      <c r="E951" s="1862"/>
      <c r="F951" s="1862"/>
      <c r="G951" s="677"/>
      <c r="I951" s="1774" t="s">
        <v>2507</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2305</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2329</v>
      </c>
      <c r="E969" s="1885"/>
      <c r="F969" s="1885"/>
      <c r="G969" s="678"/>
    </row>
    <row r="970" spans="1:9" ht="12.8" customHeight="1">
      <c r="A970" s="1714"/>
      <c r="B970" s="1714"/>
      <c r="C970" s="1746"/>
      <c r="D970" s="1875" t="s">
        <v>2306</v>
      </c>
      <c r="E970" s="1875"/>
      <c r="F970" s="1875"/>
      <c r="G970" s="678"/>
    </row>
    <row r="971" spans="1:9" ht="12.8" customHeight="1">
      <c r="A971" s="1714"/>
      <c r="B971" s="1714"/>
      <c r="C971" s="1746"/>
      <c r="D971" s="6"/>
      <c r="E971" s="6"/>
      <c r="F971" s="1738"/>
      <c r="G971" s="677"/>
    </row>
    <row r="972" spans="1:9" ht="12.8" customHeight="1">
      <c r="A972" s="1742"/>
      <c r="B972" s="798" t="s">
        <v>2520</v>
      </c>
      <c r="C972" s="556"/>
      <c r="D972" s="1871" t="s">
        <v>2307</v>
      </c>
      <c r="E972" s="1871"/>
      <c r="F972" s="1871"/>
      <c r="G972" s="677"/>
      <c r="I972" s="1774" t="s">
        <v>2485</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2308</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2519</v>
      </c>
      <c r="C986" s="313"/>
      <c r="D986" s="1863" t="s">
        <v>2309</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2310</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2311</v>
      </c>
      <c r="E991" s="1875"/>
      <c r="F991" s="1875"/>
      <c r="G991" s="677"/>
    </row>
    <row r="992" spans="1:7" ht="12.8" customHeight="1">
      <c r="A992" s="1742"/>
      <c r="B992" s="1742"/>
      <c r="C992" s="556"/>
      <c r="D992" s="1708"/>
      <c r="E992" s="6"/>
      <c r="F992" s="6"/>
      <c r="G992" s="677"/>
    </row>
    <row r="993" spans="1:9" ht="12.8" customHeight="1">
      <c r="A993" s="714"/>
      <c r="B993" s="798" t="s">
        <v>2520</v>
      </c>
      <c r="C993" s="556"/>
      <c r="D993" s="1875" t="s">
        <v>2312</v>
      </c>
      <c r="E993" s="1875"/>
      <c r="F993" s="1875"/>
      <c r="G993" s="677"/>
    </row>
    <row r="994" spans="1:9" ht="12.8" customHeight="1">
      <c r="A994" s="1742"/>
      <c r="B994" s="1742"/>
      <c r="C994" s="556"/>
      <c r="D994" s="1708"/>
      <c r="E994" s="6"/>
      <c r="F994" s="6"/>
      <c r="G994" s="677"/>
    </row>
    <row r="995" spans="1:9" ht="12.8" customHeight="1">
      <c r="A995" s="714"/>
      <c r="B995" s="798" t="s">
        <v>2520</v>
      </c>
      <c r="C995" s="556"/>
      <c r="D995" s="1862" t="s">
        <v>2313</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2519</v>
      </c>
      <c r="C998" s="1759"/>
      <c r="D998" s="1929" t="s">
        <v>2314</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2519</v>
      </c>
      <c r="C1001" s="1759"/>
      <c r="D1001" s="1960" t="s">
        <v>2315</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2316</v>
      </c>
      <c r="E1003" s="1875"/>
      <c r="F1003" s="1875"/>
      <c r="G1003" s="678"/>
    </row>
    <row r="1004" spans="1:9" ht="12.8" customHeight="1">
      <c r="A1004" s="714"/>
      <c r="B1004" s="714"/>
      <c r="C1004" s="556"/>
      <c r="D1004" s="1708"/>
      <c r="E1004" s="6"/>
      <c r="F1004" s="6"/>
      <c r="G1004" s="678"/>
    </row>
    <row r="1005" spans="1:9" ht="12.8" customHeight="1">
      <c r="A1005" s="714"/>
      <c r="B1005" s="798" t="s">
        <v>2519</v>
      </c>
      <c r="C1005" s="556"/>
      <c r="D1005" s="1862" t="s">
        <v>2317</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2318</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2319</v>
      </c>
      <c r="E1010" s="1921"/>
      <c r="F1010" s="1921"/>
      <c r="G1010" s="678"/>
    </row>
    <row r="1011" spans="1:9" ht="12.8" customHeight="1">
      <c r="A1011" s="1726"/>
      <c r="B1011" s="1726"/>
      <c r="C1011" s="557"/>
      <c r="D1011" s="1959" t="s">
        <v>2320</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2334</v>
      </c>
      <c r="E1013" s="1921"/>
      <c r="F1013" s="1921"/>
      <c r="G1013" s="678"/>
      <c r="I1013" s="1774" t="s">
        <v>2457</v>
      </c>
    </row>
    <row r="1014" spans="1:9" ht="12.8" customHeight="1">
      <c r="A1014" s="1742"/>
      <c r="B1014" s="798" t="s">
        <v>2520</v>
      </c>
      <c r="C1014" s="556"/>
      <c r="D1014" s="1959" t="s">
        <v>1503</v>
      </c>
      <c r="E1014" s="1959"/>
      <c r="F1014" s="1959"/>
      <c r="G1014" s="678"/>
    </row>
    <row r="1015" spans="1:9" s="1772" customFormat="1" ht="12.8" customHeight="1">
      <c r="A1015" s="1742"/>
      <c r="B1015" s="714"/>
      <c r="C1015" s="556"/>
      <c r="D1015" s="1956" t="s">
        <v>2321</v>
      </c>
      <c r="E1015" s="1956"/>
      <c r="F1015" s="1956"/>
      <c r="G1015" s="678"/>
      <c r="I1015" s="1774"/>
    </row>
    <row r="1016" spans="1:9" ht="12.8" customHeight="1">
      <c r="A1016" s="1742"/>
      <c r="B1016" s="1742"/>
      <c r="C1016" s="556"/>
      <c r="D1016" s="1959"/>
      <c r="E1016" s="1959"/>
      <c r="F1016" s="1959"/>
      <c r="G1016" s="678"/>
    </row>
    <row r="1017" spans="1:9" ht="12.8" customHeight="1">
      <c r="A1017" s="1951" t="s">
        <v>2330</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1504</v>
      </c>
      <c r="E1019" s="1935"/>
      <c r="F1019" s="1935"/>
      <c r="G1019" s="686"/>
    </row>
    <row r="1020" spans="1:9" ht="12.8" customHeight="1">
      <c r="A1020" s="254"/>
      <c r="B1020" s="1775" t="s">
        <v>2520</v>
      </c>
      <c r="C1020" s="1776"/>
      <c r="D1020" s="1938" t="s">
        <v>1503</v>
      </c>
      <c r="E1020" s="1938"/>
      <c r="F1020" s="1938"/>
      <c r="G1020" s="686"/>
    </row>
    <row r="1021" spans="1:9" ht="12.8" customHeight="1">
      <c r="A1021" s="254"/>
      <c r="B1021" s="1772"/>
      <c r="C1021" s="1776"/>
      <c r="D1021" s="1938" t="s">
        <v>2331</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1183</v>
      </c>
      <c r="E1023" s="1957"/>
      <c r="F1023" s="1957"/>
      <c r="G1023" s="686"/>
      <c r="I1023" s="1774" t="s">
        <v>2486</v>
      </c>
    </row>
    <row r="1024" spans="1:9" ht="12.8" customHeight="1">
      <c r="A1024" s="503"/>
      <c r="B1024" s="503"/>
      <c r="C1024" s="502"/>
      <c r="D1024" s="1958" t="s">
        <v>1200</v>
      </c>
      <c r="E1024" s="1958"/>
      <c r="F1024" s="1958"/>
      <c r="G1024" s="1763"/>
    </row>
    <row r="1025" spans="1:9" ht="12.8" customHeight="1">
      <c r="A1025" s="714"/>
      <c r="B1025" s="1775" t="s">
        <v>2519</v>
      </c>
      <c r="C1025" s="557"/>
      <c r="D1025" s="1928" t="s">
        <v>1068</v>
      </c>
      <c r="E1025" s="1928"/>
      <c r="F1025" s="1928"/>
      <c r="G1025" s="678"/>
    </row>
    <row r="1026" spans="1:9" ht="12.8" customHeight="1">
      <c r="A1026" s="1726"/>
      <c r="B1026" s="1726"/>
      <c r="C1026" s="557"/>
      <c r="D1026" s="6"/>
      <c r="E1026" s="1953" t="s">
        <v>1184</v>
      </c>
      <c r="F1026" s="1953"/>
      <c r="G1026" s="678"/>
    </row>
    <row r="1027" spans="1:9">
      <c r="A1027" s="790"/>
      <c r="B1027" s="790"/>
      <c r="C1027" s="790"/>
      <c r="D1027" s="790"/>
      <c r="E1027" s="790"/>
      <c r="F1027" s="790"/>
      <c r="G1027" s="790"/>
    </row>
    <row r="1028" spans="1:9">
      <c r="A1028" s="1951" t="s">
        <v>2351</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2519</v>
      </c>
      <c r="C1033" s="790"/>
      <c r="D1033" s="1954" t="s">
        <v>2335</v>
      </c>
      <c r="E1033" s="1954"/>
      <c r="F1033" s="1954"/>
      <c r="G1033" s="790"/>
      <c r="I1033" s="1774" t="s">
        <v>2458</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2520</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2519</v>
      </c>
      <c r="C1043" s="790"/>
      <c r="D1043" s="1954" t="s">
        <v>2339</v>
      </c>
      <c r="E1043" s="1954"/>
      <c r="F1043" s="1954"/>
      <c r="G1043" s="790"/>
      <c r="I1043" s="1774" t="s">
        <v>2460</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2340</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2520</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2520</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2519</v>
      </c>
      <c r="C1058" s="790"/>
      <c r="D1058" s="1766" t="s">
        <v>2349</v>
      </c>
      <c r="E1058" s="1771"/>
      <c r="F1058" s="790"/>
      <c r="G1058" s="790"/>
      <c r="I1058" s="1774" t="s">
        <v>2463</v>
      </c>
    </row>
    <row r="1059" spans="1:9" s="1772" customFormat="1">
      <c r="D1059" s="1955" t="s">
        <v>2350</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2519</v>
      </c>
      <c r="C1066" s="790"/>
      <c r="D1066" s="1950" t="s">
        <v>2342</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1" t="s">
        <v>2352</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1950" t="s">
        <v>2353</v>
      </c>
      <c r="E1076" s="1950"/>
      <c r="F1076" s="1950"/>
      <c r="G1076" s="790"/>
      <c r="I1076" s="1774" t="s">
        <v>2465</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2519</v>
      </c>
      <c r="C1080" s="790"/>
      <c r="D1080" s="1950" t="s">
        <v>2354</v>
      </c>
      <c r="E1080" s="1950"/>
      <c r="F1080" s="1950"/>
      <c r="G1080" s="790"/>
      <c r="I1080" s="1774" t="s">
        <v>2466</v>
      </c>
    </row>
    <row r="1081" spans="1:9" s="1772" customFormat="1">
      <c r="D1081" s="1950"/>
      <c r="E1081" s="1950"/>
      <c r="F1081" s="1950"/>
      <c r="I1081" s="1774"/>
    </row>
    <row r="1082" spans="1:9" s="1772" customFormat="1">
      <c r="D1082" s="1767"/>
      <c r="I1082" s="1774"/>
    </row>
    <row r="1083" spans="1:9">
      <c r="A1083" s="790"/>
      <c r="B1083" s="1775" t="s">
        <v>2519</v>
      </c>
      <c r="C1083" s="790"/>
      <c r="D1083" s="1950" t="s">
        <v>2513</v>
      </c>
      <c r="E1083" s="1950"/>
      <c r="F1083" s="1950"/>
      <c r="G1083" s="790"/>
      <c r="I1083" s="1774" t="s">
        <v>2511</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2512</v>
      </c>
    </row>
    <row r="1090" spans="1:9">
      <c r="A1090" s="790"/>
      <c r="B1090" s="1775" t="s">
        <v>2519</v>
      </c>
      <c r="C1090" s="790"/>
      <c r="D1090" s="1950" t="s">
        <v>2355</v>
      </c>
      <c r="E1090" s="1950"/>
      <c r="F1090" s="1950"/>
      <c r="G1090" s="790"/>
      <c r="I1090" s="1837" t="s">
        <v>2467</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2514</v>
      </c>
      <c r="E1094" s="1952"/>
      <c r="F1094" s="1952"/>
      <c r="G1094" s="790"/>
      <c r="I1094" s="1774" t="s">
        <v>2468</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2519</v>
      </c>
      <c r="D1098" s="1863" t="s">
        <v>2516</v>
      </c>
      <c r="E1098" s="1863"/>
      <c r="F1098" s="1863"/>
      <c r="I1098" s="1774" t="s">
        <v>2515</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99" t="s">
        <v>105</v>
      </c>
      <c r="B8" s="2299"/>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2299"/>
      <c r="AE8" s="2299"/>
      <c r="AF8" s="2299"/>
      <c r="AG8" s="2299"/>
      <c r="AH8" s="2299"/>
      <c r="AI8" s="2299"/>
      <c r="AJ8" s="2299"/>
      <c r="AK8" s="2299"/>
      <c r="AL8" s="2299"/>
      <c r="AM8" s="1571"/>
      <c r="AN8" s="1571"/>
      <c r="AO8" s="1571"/>
      <c r="AP8" s="1571"/>
      <c r="AQ8" s="1571"/>
      <c r="AR8" s="1571"/>
      <c r="AS8" s="1571"/>
      <c r="AT8" s="1571"/>
      <c r="AU8" s="1571"/>
      <c r="AV8" s="1571"/>
      <c r="AW8" s="1571"/>
      <c r="AX8" s="1571"/>
      <c r="AY8" s="1571"/>
    </row>
    <row r="9" spans="1:96" s="719" customFormat="1" ht="12.9">
      <c r="A9" s="2447" t="s">
        <v>1989</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1510"/>
      <c r="AN9" s="1510"/>
      <c r="AO9" s="1510"/>
      <c r="AP9" s="1510"/>
      <c r="AQ9" s="1510"/>
      <c r="AR9" s="1510"/>
      <c r="AS9" s="1510"/>
      <c r="AT9" s="1510"/>
      <c r="AU9" s="1510"/>
      <c r="AV9" s="1510"/>
      <c r="AW9" s="1510"/>
      <c r="AX9" s="1510"/>
      <c r="AY9" s="1510"/>
      <c r="CR9" s="25"/>
    </row>
    <row r="10" spans="1:96" ht="15.05" customHeight="1">
      <c r="A10" s="2103" t="s">
        <v>1990</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05" customHeight="1">
      <c r="A11" s="2447" t="s">
        <v>2010</v>
      </c>
      <c r="B11" s="2447"/>
      <c r="C11" s="2447"/>
      <c r="D11" s="2447"/>
      <c r="E11" s="2447"/>
      <c r="F11" s="2447"/>
      <c r="G11" s="2447"/>
      <c r="H11" s="2447"/>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1510"/>
      <c r="AN11" s="1510"/>
      <c r="AO11" s="1510"/>
      <c r="AP11" s="1510"/>
      <c r="AQ11" s="1510"/>
      <c r="AR11" s="1510"/>
      <c r="AS11" s="1510"/>
      <c r="AT11" s="1510"/>
      <c r="AU11" s="1510"/>
      <c r="AV11" s="1510"/>
      <c r="AW11" s="1510"/>
      <c r="AX11" s="1510"/>
      <c r="AY11" s="1510"/>
    </row>
    <row r="12" spans="1:96" ht="12.9">
      <c r="A12" s="2464" t="s">
        <v>2518</v>
      </c>
      <c r="B12" s="2465"/>
      <c r="C12" s="2465"/>
      <c r="D12" s="2465"/>
      <c r="E12" s="2465"/>
      <c r="F12" s="2465"/>
      <c r="G12" s="2465"/>
      <c r="H12" s="2465"/>
      <c r="I12" s="2465"/>
      <c r="J12" s="2465"/>
      <c r="K12" s="2465"/>
      <c r="L12" s="2465"/>
      <c r="M12" s="2465"/>
      <c r="N12" s="2465"/>
      <c r="O12" s="2465"/>
      <c r="P12" s="2465"/>
      <c r="Q12" s="2465"/>
      <c r="R12" s="2465"/>
      <c r="S12" s="2465"/>
      <c r="T12" s="2465"/>
      <c r="U12" s="2465"/>
      <c r="V12" s="2465"/>
      <c r="W12" s="2465"/>
      <c r="X12" s="2465"/>
      <c r="Y12" s="2465"/>
      <c r="Z12" s="2465"/>
      <c r="AA12" s="2465"/>
      <c r="AB12" s="2465"/>
      <c r="AC12" s="2465"/>
      <c r="AD12" s="2465"/>
      <c r="AE12" s="2465"/>
      <c r="AF12" s="2465"/>
      <c r="AG12" s="2465"/>
      <c r="AH12" s="2465"/>
      <c r="AI12" s="2465"/>
      <c r="AJ12" s="2465"/>
      <c r="AK12" s="2465"/>
      <c r="AL12" s="2465"/>
      <c r="AM12" s="1516"/>
      <c r="AN12" s="1516"/>
      <c r="AO12" s="1516"/>
      <c r="AP12" s="1516"/>
      <c r="AQ12" s="1516"/>
      <c r="AR12" s="1516"/>
      <c r="AS12" s="1516"/>
      <c r="AT12" s="1516"/>
      <c r="AU12" s="1516"/>
      <c r="AV12" s="1516"/>
      <c r="AW12" s="1516"/>
      <c r="AX12" s="1516"/>
      <c r="AY12" s="1516"/>
    </row>
    <row r="13" spans="1:96" ht="12.9">
      <c r="A13" s="1858" t="s">
        <v>1384</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454" t="s">
        <v>2521</v>
      </c>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row>
    <row r="17" spans="1:96" ht="12.8" customHeight="1"/>
    <row r="18" spans="1:96" ht="12.8" customHeight="1">
      <c r="A18" s="134" t="s">
        <v>106</v>
      </c>
      <c r="C18" s="7"/>
      <c r="D18" s="7"/>
      <c r="E18" s="7"/>
      <c r="F18" s="7"/>
      <c r="G18" s="7"/>
      <c r="H18" s="2306" t="s">
        <v>2622</v>
      </c>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row>
    <row r="19" spans="1:96" ht="12.8" customHeight="1"/>
    <row r="20" spans="1:96" ht="14.25" customHeight="1">
      <c r="A20" s="2457" t="s">
        <v>935</v>
      </c>
      <c r="B20" s="2457"/>
      <c r="C20" s="2457"/>
      <c r="D20" s="2457"/>
      <c r="E20" s="2457"/>
      <c r="F20" s="2457"/>
      <c r="G20" s="2457"/>
      <c r="H20" s="2457"/>
      <c r="I20" s="2457"/>
      <c r="J20" s="2457"/>
      <c r="K20" s="2457"/>
      <c r="L20" s="2457"/>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1574"/>
      <c r="AN20" s="1574"/>
      <c r="AO20" s="1574"/>
      <c r="AP20" s="1574"/>
      <c r="AQ20" s="1574"/>
      <c r="AR20" s="1574"/>
      <c r="AS20" s="1574"/>
      <c r="AT20" s="1574"/>
      <c r="AU20" s="1574"/>
      <c r="AV20" s="1574"/>
      <c r="AW20" s="1574"/>
      <c r="AX20" s="1574"/>
      <c r="AY20" s="1574"/>
    </row>
    <row r="21" spans="1:96" ht="12.8" customHeight="1">
      <c r="A21" s="2467" t="s">
        <v>1114</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66">
        <f>'Basis &amp; Credits'!AB56</f>
        <v>2527452</v>
      </c>
      <c r="N26" s="2466"/>
      <c r="O26" s="2466"/>
      <c r="P26" s="2466"/>
      <c r="Q26" s="2466"/>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14370000</v>
      </c>
      <c r="N27" s="2026"/>
      <c r="O27" s="2026"/>
      <c r="P27" s="2026"/>
      <c r="Q27" s="2026"/>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1" t="s">
        <v>577</v>
      </c>
      <c r="P33" s="2031"/>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58"/>
      <c r="H122" s="2458"/>
      <c r="I122" s="239" t="s">
        <v>187</v>
      </c>
      <c r="L122" s="2458"/>
      <c r="M122" s="2458"/>
      <c r="N122" s="2458"/>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78"/>
      <c r="D124" s="2478"/>
      <c r="E124" s="2478"/>
      <c r="F124" s="2478"/>
      <c r="G124" s="2478"/>
      <c r="H124" s="2478"/>
      <c r="I124" s="2478"/>
      <c r="J124" s="2478"/>
      <c r="K124" s="247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458"/>
      <c r="Z126" s="2458"/>
      <c r="AA126" s="2458"/>
      <c r="AB126" s="2458"/>
      <c r="AC126" s="2458"/>
      <c r="AD126" s="2458"/>
      <c r="AE126" s="2458"/>
      <c r="AF126" s="2458"/>
      <c r="AG126" s="2458"/>
      <c r="AH126" s="2458"/>
      <c r="AI126" s="2458"/>
      <c r="AJ126" s="2458"/>
      <c r="AK126" s="2458"/>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46" t="s">
        <v>2522</v>
      </c>
      <c r="Z129" s="2446"/>
      <c r="AA129" s="2446"/>
      <c r="AB129" s="2446"/>
      <c r="AC129" s="2446"/>
      <c r="AD129" s="2446"/>
      <c r="AE129" s="2446"/>
      <c r="AF129" s="2446"/>
      <c r="AG129" s="2446"/>
      <c r="AH129" s="2446"/>
      <c r="AI129" s="2446"/>
      <c r="AJ129" s="2446"/>
      <c r="AK129" s="2446"/>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6" t="s">
        <v>2523</v>
      </c>
      <c r="Z132" s="2446"/>
      <c r="AA132" s="2446"/>
      <c r="AB132" s="2446"/>
      <c r="AC132" s="2446"/>
      <c r="AD132" s="2446"/>
      <c r="AE132" s="2446"/>
      <c r="AF132" s="2446"/>
      <c r="AG132" s="2446"/>
      <c r="AH132" s="2446"/>
      <c r="AI132" s="2446"/>
      <c r="AJ132" s="2446"/>
      <c r="AK132" s="2446"/>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306" t="s">
        <v>2623</v>
      </c>
      <c r="P153" s="2345"/>
      <c r="Q153" s="2345"/>
      <c r="R153" s="2345"/>
      <c r="S153" s="2345"/>
      <c r="T153" s="2345"/>
      <c r="U153" s="2345"/>
      <c r="V153" s="2345"/>
      <c r="W153" s="2345"/>
      <c r="X153" s="2345"/>
      <c r="Y153" s="2345"/>
      <c r="Z153" s="2345"/>
      <c r="AA153" s="2345"/>
      <c r="AB153" s="2345"/>
      <c r="AC153" s="2345"/>
      <c r="AD153" s="2345"/>
      <c r="AE153" s="2345"/>
      <c r="AF153" s="2345"/>
      <c r="AG153" s="2345"/>
      <c r="AH153" s="2345"/>
    </row>
    <row r="154" spans="1:96" ht="12.8" customHeight="1">
      <c r="D154" s="466" t="s">
        <v>462</v>
      </c>
      <c r="F154" s="32"/>
      <c r="G154" s="32"/>
      <c r="H154" s="32"/>
      <c r="I154" s="32"/>
      <c r="J154" s="32"/>
      <c r="K154" s="32"/>
      <c r="L154" s="32"/>
      <c r="M154" s="32"/>
      <c r="N154" s="32"/>
      <c r="O154" s="2088" t="s">
        <v>2624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463</v>
      </c>
      <c r="F155" s="13"/>
      <c r="G155" s="13"/>
      <c r="H155" s="13"/>
      <c r="I155" s="13"/>
      <c r="J155" s="13"/>
      <c r="K155" s="13"/>
      <c r="L155" s="13"/>
      <c r="M155" s="13"/>
      <c r="N155" s="13"/>
      <c r="O155" s="2448" t="s">
        <v>2625</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2.9">
      <c r="D156" s="32" t="s">
        <v>322</v>
      </c>
      <c r="F156" s="32"/>
      <c r="G156" s="32"/>
      <c r="H156" s="32"/>
      <c r="I156" s="32"/>
      <c r="J156" s="32"/>
      <c r="K156" s="32"/>
      <c r="L156" s="32"/>
      <c r="M156" s="32"/>
      <c r="N156" s="32"/>
      <c r="O156" s="2040" t="s">
        <v>2626</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9">
      <c r="D157" s="32" t="s">
        <v>323</v>
      </c>
      <c r="F157" s="32"/>
      <c r="G157" s="32"/>
      <c r="H157" s="32"/>
      <c r="I157" s="32"/>
      <c r="J157" s="32"/>
      <c r="K157" s="32"/>
      <c r="L157" s="32"/>
      <c r="M157" s="32"/>
      <c r="N157" s="32"/>
      <c r="O157" s="2306" t="s">
        <v>2627</v>
      </c>
      <c r="P157" s="2345"/>
      <c r="Q157" s="2345"/>
      <c r="R157" s="2345"/>
      <c r="S157" s="2345"/>
      <c r="T157" s="2345"/>
      <c r="U157" s="2345"/>
      <c r="V157" s="2345"/>
      <c r="W157" s="2345"/>
      <c r="X157" s="2345"/>
      <c r="Y157" s="14"/>
      <c r="Z157" s="14"/>
      <c r="AA157" s="14"/>
      <c r="AB157" s="14"/>
      <c r="AC157" s="14"/>
      <c r="AD157" s="14"/>
      <c r="AE157" s="14"/>
      <c r="AF157" s="14"/>
      <c r="BN157" s="36" t="s">
        <v>670</v>
      </c>
      <c r="BT157" s="12" t="s">
        <v>508</v>
      </c>
    </row>
    <row r="158" spans="1:96" ht="12.9">
      <c r="D158" s="32" t="s">
        <v>324</v>
      </c>
      <c r="F158" s="32"/>
      <c r="G158" s="32"/>
      <c r="H158" s="32"/>
      <c r="I158" s="32"/>
      <c r="J158" s="32"/>
      <c r="K158" s="32"/>
      <c r="L158" s="32"/>
      <c r="M158" s="32"/>
      <c r="N158" s="32"/>
      <c r="O158" s="2450">
        <v>93546</v>
      </c>
      <c r="P158" s="2450"/>
      <c r="Q158" s="2450"/>
      <c r="R158" s="2450"/>
      <c r="S158" s="15"/>
      <c r="T158" s="15"/>
      <c r="U158" s="15"/>
      <c r="V158" s="15"/>
      <c r="W158" s="15"/>
      <c r="X158" s="15"/>
      <c r="Y158" s="15"/>
      <c r="Z158" s="15"/>
      <c r="AA158" s="15"/>
      <c r="AB158" s="15"/>
      <c r="AC158" s="15"/>
      <c r="AD158" s="15"/>
      <c r="AE158" s="15"/>
      <c r="AF158" s="15"/>
      <c r="BN158" s="36" t="s">
        <v>671</v>
      </c>
      <c r="BT158" s="12" t="s">
        <v>509</v>
      </c>
    </row>
    <row r="159" spans="1:96" ht="12.9">
      <c r="D159" s="32" t="s">
        <v>325</v>
      </c>
      <c r="F159" s="32"/>
      <c r="G159" s="32"/>
      <c r="H159" s="32"/>
      <c r="I159" s="32"/>
      <c r="J159" s="32"/>
      <c r="K159" s="32"/>
      <c r="L159" s="32"/>
      <c r="M159" s="32"/>
      <c r="N159" s="32"/>
      <c r="O159" s="2452" t="s">
        <v>2628</v>
      </c>
      <c r="P159" s="2452"/>
      <c r="Q159" s="2452"/>
      <c r="R159" s="2452"/>
      <c r="S159" s="2452"/>
      <c r="T159" s="2452"/>
      <c r="V159" s="146" t="s">
        <v>277</v>
      </c>
      <c r="W159" s="2451"/>
      <c r="X159" s="2451"/>
      <c r="Y159" s="16"/>
      <c r="Z159" s="16"/>
      <c r="AA159" s="16"/>
      <c r="AB159" s="16"/>
      <c r="AC159" s="16"/>
      <c r="AD159" s="16"/>
      <c r="AE159" s="16"/>
      <c r="AF159" s="16"/>
      <c r="BN159" s="36" t="s">
        <v>349</v>
      </c>
      <c r="BT159" s="12" t="s">
        <v>510</v>
      </c>
    </row>
    <row r="160" spans="1:96" ht="12.9">
      <c r="D160" s="32" t="s">
        <v>326</v>
      </c>
      <c r="F160" s="32"/>
      <c r="G160" s="32"/>
      <c r="H160" s="32"/>
      <c r="I160" s="32"/>
      <c r="J160" s="32"/>
      <c r="K160" s="32"/>
      <c r="L160" s="32"/>
      <c r="M160" s="32"/>
      <c r="N160" s="32"/>
      <c r="O160" s="2452" t="s">
        <v>2629</v>
      </c>
      <c r="P160" s="2452"/>
      <c r="Q160" s="2452"/>
      <c r="R160" s="2452"/>
      <c r="S160" s="2452"/>
      <c r="T160" s="2452"/>
      <c r="U160" s="16"/>
      <c r="V160" s="16"/>
      <c r="W160" s="16"/>
      <c r="X160" s="16"/>
      <c r="Y160" s="16"/>
      <c r="Z160" s="16"/>
      <c r="AA160" s="16"/>
      <c r="AB160" s="16"/>
      <c r="AC160" s="16"/>
      <c r="AD160" s="16"/>
      <c r="AE160" s="16"/>
      <c r="AF160" s="16"/>
      <c r="BN160" s="36" t="s">
        <v>696</v>
      </c>
      <c r="BT160" s="12" t="s">
        <v>511</v>
      </c>
    </row>
    <row r="161" spans="1:72" ht="12.9">
      <c r="D161" s="32" t="s">
        <v>327</v>
      </c>
      <c r="F161" s="32"/>
      <c r="G161" s="32"/>
      <c r="H161" s="32"/>
      <c r="I161" s="32"/>
      <c r="J161" s="32"/>
      <c r="K161" s="32"/>
      <c r="L161" s="32"/>
      <c r="M161" s="32"/>
      <c r="N161" s="32"/>
      <c r="O161" s="2349" t="s">
        <v>2630</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705</v>
      </c>
      <c r="BN161" s="36" t="s">
        <v>697</v>
      </c>
      <c r="BT161" s="12" t="s">
        <v>512</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9">
      <c r="C164" s="141"/>
      <c r="D164" s="2479" t="s">
        <v>1454</v>
      </c>
      <c r="E164" s="2479"/>
      <c r="F164" s="2479"/>
      <c r="G164" s="2479"/>
      <c r="H164" s="2479"/>
      <c r="I164" s="2479"/>
      <c r="J164" s="2479"/>
      <c r="K164" s="2479"/>
      <c r="L164" s="2479"/>
      <c r="M164" s="2479"/>
      <c r="N164" s="2479"/>
      <c r="O164" s="2479"/>
      <c r="P164" s="2479"/>
      <c r="Q164" s="2479"/>
      <c r="R164" s="2479"/>
      <c r="S164" s="2479"/>
      <c r="T164" s="2479"/>
      <c r="U164" s="2479"/>
      <c r="V164" s="2479"/>
      <c r="W164" s="2479"/>
      <c r="X164" s="2479"/>
      <c r="Y164" s="2479"/>
      <c r="Z164" s="2479"/>
      <c r="AA164" s="2479"/>
      <c r="AB164" s="2479"/>
      <c r="AC164" s="2479"/>
      <c r="AD164" s="2479"/>
      <c r="AE164" s="2479"/>
      <c r="AF164" s="2479"/>
      <c r="AG164" s="2479"/>
      <c r="AH164" s="2479"/>
      <c r="AI164" s="39"/>
      <c r="AJ164" s="39"/>
      <c r="AK164" s="39"/>
      <c r="AL164" s="39"/>
      <c r="BN164" s="36" t="s">
        <v>700</v>
      </c>
      <c r="BT164" s="12" t="s">
        <v>515</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9">
      <c r="A169" s="2371" t="s">
        <v>571</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709</v>
      </c>
      <c r="BT169" s="12" t="s">
        <v>520</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9">
      <c r="A173" s="25"/>
      <c r="C173" s="38"/>
      <c r="D173" s="39" t="s">
        <v>330</v>
      </c>
      <c r="J173" s="2469" t="s">
        <v>389</v>
      </c>
      <c r="K173" s="2469"/>
      <c r="L173" s="2469"/>
      <c r="M173" s="2469"/>
      <c r="N173" s="2469"/>
      <c r="O173" s="2469"/>
      <c r="P173" s="2469"/>
      <c r="Q173" s="2469"/>
      <c r="R173" s="2469"/>
      <c r="S173" s="246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9">
      <c r="A174" s="25"/>
      <c r="C174" s="38"/>
      <c r="D174" s="58" t="s">
        <v>1407</v>
      </c>
      <c r="E174" s="25"/>
      <c r="F174" s="25"/>
      <c r="G174" s="25"/>
      <c r="H174" s="25"/>
      <c r="I174" s="25"/>
      <c r="J174" s="2040" t="s">
        <v>2524</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9">
      <c r="A175" s="25"/>
      <c r="C175" s="13"/>
      <c r="D175" s="58" t="s">
        <v>331</v>
      </c>
      <c r="F175" s="719"/>
      <c r="G175" s="719"/>
      <c r="H175" s="719"/>
      <c r="I175" s="719"/>
      <c r="J175" s="719"/>
      <c r="K175" s="719"/>
      <c r="L175" s="719"/>
      <c r="M175" s="719"/>
      <c r="N175" s="719"/>
      <c r="O175" s="42"/>
      <c r="Q175" s="25"/>
      <c r="R175" s="25"/>
      <c r="T175" s="719"/>
      <c r="U175" s="2031" t="s">
        <v>577</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v>21</v>
      </c>
      <c r="V176" s="2046"/>
      <c r="W176" s="4" t="s">
        <v>315</v>
      </c>
      <c r="X176" s="2472">
        <v>657</v>
      </c>
      <c r="Y176" s="247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7"/>
      <c r="AG178" s="2307"/>
      <c r="AH178" s="4" t="s">
        <v>315</v>
      </c>
      <c r="AI178" s="2429"/>
      <c r="AJ178" s="2429"/>
      <c r="AK178" s="242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612</v>
      </c>
      <c r="E184" s="25"/>
      <c r="F184" s="25"/>
      <c r="G184" s="25"/>
      <c r="H184" s="25"/>
      <c r="I184" s="2021" t="str">
        <f>H18</f>
        <v>The Parcel Phase I</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9">
      <c r="A185" s="25"/>
      <c r="C185" s="45"/>
      <c r="D185" s="25" t="s">
        <v>613</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62" t="s">
        <v>2631</v>
      </c>
      <c r="F187" s="2462"/>
      <c r="G187" s="2462"/>
      <c r="H187" s="2462"/>
      <c r="I187" s="2462"/>
      <c r="J187" s="2462"/>
      <c r="K187" s="2462"/>
      <c r="L187" s="2462"/>
      <c r="M187" s="2462"/>
      <c r="N187" s="2462"/>
      <c r="O187" s="2462"/>
      <c r="P187" s="2462"/>
      <c r="Q187" s="2462"/>
      <c r="R187" s="2462"/>
      <c r="S187" s="2462"/>
      <c r="T187" s="2462"/>
      <c r="U187" s="2462"/>
      <c r="V187" s="2462"/>
      <c r="W187" s="2462"/>
      <c r="X187" s="2462"/>
      <c r="Y187" s="2462"/>
      <c r="Z187" s="2462"/>
      <c r="AA187" s="2462"/>
      <c r="AB187" s="2462"/>
      <c r="AC187" s="2462"/>
      <c r="AD187" s="2462"/>
      <c r="AE187" s="246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2463"/>
      <c r="AE188" s="246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614</v>
      </c>
      <c r="E189" s="25"/>
      <c r="I189" s="2040" t="s">
        <v>2627</v>
      </c>
      <c r="J189" s="2040"/>
      <c r="K189" s="2040"/>
      <c r="L189" s="2040"/>
      <c r="M189" s="2040"/>
      <c r="N189" s="2040"/>
      <c r="O189" s="2040"/>
      <c r="P189" s="2040"/>
      <c r="Q189" s="25" t="s">
        <v>616</v>
      </c>
      <c r="T189" s="2040" t="s">
        <v>63</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9">
      <c r="A190" s="25"/>
      <c r="C190" s="46"/>
      <c r="D190" s="25" t="s">
        <v>617</v>
      </c>
      <c r="E190" s="25"/>
      <c r="F190" s="25"/>
      <c r="G190" s="25"/>
      <c r="I190" s="2033">
        <v>93546</v>
      </c>
      <c r="J190" s="2033"/>
      <c r="K190" s="2033"/>
      <c r="L190" s="2033"/>
      <c r="M190" s="2033"/>
      <c r="N190" s="2033"/>
      <c r="O190" s="25" t="s">
        <v>619</v>
      </c>
      <c r="P190" s="25"/>
      <c r="Q190" s="25"/>
      <c r="R190" s="25"/>
      <c r="S190" s="25"/>
      <c r="T190" s="2460">
        <v>2</v>
      </c>
      <c r="U190" s="2460"/>
      <c r="V190" s="2460"/>
      <c r="W190" s="2460"/>
      <c r="X190" s="2460"/>
      <c r="Y190" s="2460"/>
      <c r="Z190" s="2460"/>
      <c r="AA190" s="2460"/>
      <c r="AB190" s="2460"/>
      <c r="AC190" s="2460"/>
      <c r="AD190" s="2460"/>
      <c r="AE190" s="2460"/>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494</v>
      </c>
      <c r="E191" s="25"/>
      <c r="F191" s="25"/>
      <c r="G191" s="25"/>
      <c r="H191" s="25"/>
      <c r="I191" s="25"/>
      <c r="J191" s="25"/>
      <c r="K191" s="25"/>
      <c r="L191" s="25"/>
      <c r="M191" s="25"/>
      <c r="N191" s="2462" t="s">
        <v>2632</v>
      </c>
      <c r="O191" s="2462"/>
      <c r="P191" s="2462"/>
      <c r="Q191" s="2462"/>
      <c r="R191" s="2462"/>
      <c r="S191" s="2462"/>
      <c r="T191" s="2462"/>
      <c r="U191" s="2462"/>
      <c r="V191" s="2462"/>
      <c r="W191" s="2462"/>
      <c r="X191" s="2462"/>
      <c r="Y191" s="2462"/>
      <c r="Z191" s="2462"/>
      <c r="AA191" s="2462"/>
      <c r="AB191" s="2462"/>
      <c r="AC191" s="2462"/>
      <c r="AD191" s="2462"/>
      <c r="AE191" s="2462"/>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463"/>
      <c r="O192" s="2463"/>
      <c r="P192" s="2463"/>
      <c r="Q192" s="2463"/>
      <c r="R192" s="2463"/>
      <c r="S192" s="2463"/>
      <c r="T192" s="2463"/>
      <c r="U192" s="2463"/>
      <c r="V192" s="2463"/>
      <c r="W192" s="2463"/>
      <c r="X192" s="2463"/>
      <c r="Y192" s="2463"/>
      <c r="Z192" s="2463"/>
      <c r="AA192" s="2463"/>
      <c r="AB192" s="2463"/>
      <c r="AC192" s="2463"/>
      <c r="AD192" s="2463"/>
      <c r="AE192" s="2463"/>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475" t="s">
        <v>2633</v>
      </c>
      <c r="U193" s="2475"/>
      <c r="V193" s="2475"/>
      <c r="W193" s="2475"/>
      <c r="X193" s="2475"/>
      <c r="Y193" s="2475"/>
      <c r="Z193" s="2475"/>
      <c r="AA193" s="2475"/>
      <c r="AB193" s="2475"/>
      <c r="AC193" s="2475"/>
      <c r="AD193" s="2475"/>
      <c r="AE193" s="2475"/>
      <c r="AF193" s="2475"/>
      <c r="AG193" s="2475"/>
      <c r="AH193" s="2475"/>
      <c r="AI193" s="2475"/>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340</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8</v>
      </c>
      <c r="AI194" s="2031"/>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195" t="s">
        <v>705</v>
      </c>
      <c r="U195" s="2195"/>
      <c r="V195" s="12"/>
      <c r="W195" s="25" t="s">
        <v>722</v>
      </c>
      <c r="X195" s="25"/>
      <c r="Y195" s="25"/>
      <c r="Z195" s="25"/>
      <c r="AA195" s="25"/>
      <c r="AB195" s="25"/>
      <c r="AC195" s="25"/>
      <c r="AD195" s="25"/>
      <c r="AE195" s="25"/>
      <c r="AF195" s="25"/>
      <c r="AG195" s="25"/>
      <c r="AH195" s="2031">
        <v>5</v>
      </c>
      <c r="AI195" s="2031"/>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9">
      <c r="A196" s="25"/>
      <c r="C196" s="46"/>
      <c r="D196" s="177" t="s">
        <v>174</v>
      </c>
      <c r="E196" s="25"/>
      <c r="F196" s="25"/>
      <c r="G196" s="25"/>
      <c r="H196" s="25"/>
      <c r="I196" s="25"/>
      <c r="J196" s="25"/>
      <c r="K196" s="25"/>
      <c r="L196" s="25"/>
      <c r="M196" s="25"/>
      <c r="N196" s="25"/>
      <c r="O196" s="25"/>
      <c r="P196" s="25"/>
      <c r="Q196" s="25"/>
      <c r="R196" s="25"/>
      <c r="T196" s="2195" t="s">
        <v>705</v>
      </c>
      <c r="U196" s="2195"/>
      <c r="W196" s="25" t="s">
        <v>723</v>
      </c>
      <c r="X196" s="25"/>
      <c r="Y196" s="25"/>
      <c r="Z196" s="25"/>
      <c r="AA196" s="25"/>
      <c r="AB196" s="25"/>
      <c r="AC196" s="25"/>
      <c r="AD196" s="25"/>
      <c r="AE196" s="25"/>
      <c r="AF196" s="25"/>
      <c r="AG196" s="25"/>
      <c r="AH196" s="2031">
        <v>8</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195" t="s">
        <v>625</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1" t="s">
        <v>577</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55">
        <f>M26</f>
        <v>2527452</v>
      </c>
      <c r="Q203" s="2456"/>
      <c r="R203" s="2456"/>
      <c r="S203" s="2456"/>
      <c r="T203" s="2456"/>
      <c r="U203" s="2456"/>
      <c r="V203" s="25"/>
      <c r="W203" s="25"/>
      <c r="X203" s="25"/>
      <c r="Y203" s="25"/>
      <c r="Z203" s="2470" t="s">
        <v>2525</v>
      </c>
      <c r="AA203" s="2470"/>
      <c r="AB203" s="2470"/>
      <c r="AC203" s="2470"/>
      <c r="AD203" s="2470"/>
      <c r="AE203" s="2470"/>
      <c r="AF203" s="247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8" customHeight="1">
      <c r="A204" s="25"/>
      <c r="C204" s="45"/>
      <c r="D204" s="2476" t="s">
        <v>1475</v>
      </c>
      <c r="E204" s="2021"/>
      <c r="F204" s="2021"/>
      <c r="G204" s="2021"/>
      <c r="H204" s="2021"/>
      <c r="I204" s="2021"/>
      <c r="J204" s="2021"/>
      <c r="K204" s="2021"/>
      <c r="L204" s="2021"/>
      <c r="M204" s="2021"/>
      <c r="P204" s="2456">
        <f>M27</f>
        <v>14370000</v>
      </c>
      <c r="Q204" s="2456"/>
      <c r="R204" s="2456"/>
      <c r="S204" s="2456"/>
      <c r="T204" s="2456"/>
      <c r="U204" s="2456"/>
      <c r="V204" s="47"/>
      <c r="W204" s="58" t="s">
        <v>2217</v>
      </c>
      <c r="Z204" s="2470"/>
      <c r="AA204" s="2470"/>
      <c r="AB204" s="2470"/>
      <c r="AC204" s="2470"/>
      <c r="AD204" s="2470"/>
      <c r="AE204" s="2470"/>
      <c r="AF204" s="2470"/>
      <c r="AG204" s="25" t="s">
        <v>1476</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1"/>
      <c r="AA205" s="2471"/>
      <c r="AB205" s="2471"/>
      <c r="AC205" s="2471"/>
      <c r="AD205" s="2471"/>
      <c r="AE205" s="2471"/>
      <c r="AF205" s="2471"/>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9">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9">
      <c r="A207" s="25"/>
      <c r="C207" s="45"/>
      <c r="D207" s="2345" t="s">
        <v>2634</v>
      </c>
      <c r="E207" s="2345"/>
      <c r="F207" s="2345"/>
      <c r="G207" s="2345"/>
      <c r="H207" s="2345"/>
      <c r="I207" s="2345"/>
      <c r="J207" s="2345"/>
      <c r="K207" s="2345"/>
      <c r="L207" s="2345"/>
      <c r="M207" s="23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9">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9">
      <c r="C210" s="45"/>
      <c r="D210" s="2345" t="s">
        <v>1153</v>
      </c>
      <c r="E210" s="2345"/>
      <c r="F210" s="2345"/>
      <c r="G210" s="2345"/>
      <c r="H210" s="2345"/>
      <c r="I210" s="2345"/>
      <c r="J210" s="2345"/>
      <c r="K210" s="2345"/>
      <c r="L210" s="2345"/>
      <c r="M210" s="234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1">
        <v>13</v>
      </c>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2" t="s">
        <v>1153</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8" customHeight="1">
      <c r="A215" s="12"/>
      <c r="B215" s="12"/>
      <c r="C215" s="12"/>
      <c r="D215" s="58" t="s">
        <v>2003</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9">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345"/>
      <c r="E219" s="2345"/>
      <c r="F219" s="2345"/>
      <c r="G219" s="2345"/>
      <c r="H219" s="2345"/>
      <c r="I219" s="2345"/>
      <c r="J219" s="2345"/>
      <c r="K219" s="2345"/>
      <c r="L219" s="2345"/>
      <c r="M219" s="2345"/>
      <c r="N219" s="2345"/>
      <c r="O219" s="2345"/>
      <c r="P219" s="2345"/>
      <c r="Q219" s="2345"/>
      <c r="R219" s="2345"/>
      <c r="S219" s="2345"/>
      <c r="T219" s="2345"/>
      <c r="U219" s="2345"/>
      <c r="V219" s="2345"/>
      <c r="W219" s="2345"/>
      <c r="X219" s="2345"/>
      <c r="Y219" s="2345"/>
      <c r="Z219" s="234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1" t="s">
        <v>572</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625</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9">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9">
      <c r="D231" s="57" t="s">
        <v>502</v>
      </c>
      <c r="E231" s="57"/>
      <c r="F231" s="57"/>
      <c r="G231" s="57"/>
      <c r="H231" s="57"/>
      <c r="I231" s="57"/>
      <c r="J231" s="57"/>
      <c r="K231" s="7"/>
      <c r="M231" s="2461" t="str">
        <f>H16</f>
        <v>Central Valley Coalition for Affordable Housing, a California Nonprofit Public Benefit Corporation</v>
      </c>
      <c r="N231" s="2461"/>
      <c r="O231" s="2461"/>
      <c r="P231" s="2461"/>
      <c r="Q231" s="2461"/>
      <c r="R231" s="2461"/>
      <c r="S231" s="2461"/>
      <c r="T231" s="2461"/>
      <c r="U231" s="2461"/>
      <c r="V231" s="2461"/>
      <c r="W231" s="2461"/>
      <c r="X231" s="2461"/>
      <c r="Y231" s="2461"/>
      <c r="Z231" s="2461"/>
      <c r="AA231" s="2461"/>
      <c r="AB231" s="2461"/>
      <c r="AC231" s="2461"/>
      <c r="AD231" s="2461"/>
      <c r="AE231" s="2461"/>
      <c r="AF231" s="2461"/>
      <c r="AG231" s="2461"/>
      <c r="AH231" s="2461"/>
      <c r="AI231" s="2461"/>
      <c r="AJ231" s="2461"/>
      <c r="AK231" s="2461"/>
      <c r="BA231" s="58"/>
      <c r="BB231" s="384"/>
      <c r="BG231" s="387"/>
      <c r="BQ231" s="61"/>
    </row>
    <row r="232" spans="1:69" ht="12.9">
      <c r="D232" s="57" t="s">
        <v>90</v>
      </c>
      <c r="E232" s="57"/>
      <c r="F232" s="57"/>
      <c r="G232" s="57"/>
      <c r="H232" s="57"/>
      <c r="I232" s="57"/>
      <c r="J232" s="57"/>
      <c r="K232" s="7"/>
      <c r="M232" s="2306" t="s">
        <v>2526</v>
      </c>
      <c r="N232" s="2345"/>
      <c r="O232" s="2345"/>
      <c r="P232" s="2345"/>
      <c r="Q232" s="2345"/>
      <c r="R232" s="2345"/>
      <c r="S232" s="2345"/>
      <c r="T232" s="2345"/>
      <c r="U232" s="2345"/>
      <c r="V232" s="2345"/>
      <c r="W232" s="2345"/>
      <c r="X232" s="2345"/>
      <c r="Y232" s="2345"/>
      <c r="Z232" s="2345"/>
      <c r="AA232" s="2345"/>
      <c r="AB232" s="2345"/>
      <c r="AC232" s="2345"/>
      <c r="AD232" s="2345"/>
      <c r="AE232" s="2345"/>
      <c r="AZ232" s="7"/>
      <c r="BA232" s="58"/>
      <c r="BB232" s="334" t="s">
        <v>570</v>
      </c>
      <c r="BG232" s="389">
        <f>IF(AND(AND($M$248="nonprofit",$M$256="nonprofit",$M$264="for profit")),2,0)</f>
        <v>0</v>
      </c>
      <c r="BQ232" s="61"/>
    </row>
    <row r="233" spans="1:69" ht="12.9">
      <c r="D233" s="57" t="s">
        <v>614</v>
      </c>
      <c r="E233" s="57"/>
      <c r="M233" s="2306" t="s">
        <v>58</v>
      </c>
      <c r="N233" s="2345"/>
      <c r="O233" s="2345"/>
      <c r="P233" s="2345"/>
      <c r="Q233" s="2345"/>
      <c r="R233" s="2345"/>
      <c r="S233" s="2345"/>
      <c r="T233" s="2345"/>
      <c r="V233" s="59" t="s">
        <v>91</v>
      </c>
      <c r="W233" s="2088" t="s">
        <v>2527</v>
      </c>
      <c r="X233" s="2032"/>
      <c r="Y233" s="57" t="s">
        <v>617</v>
      </c>
      <c r="AC233" s="2345">
        <v>95348</v>
      </c>
      <c r="AD233" s="2345"/>
      <c r="AE233" s="2345"/>
      <c r="BB233" s="334" t="s">
        <v>570</v>
      </c>
      <c r="BG233" s="389">
        <f>IF(AND(AND($M$248="nonprofit",$M$256="for profit",$M$264="nonprofit")),2,0)</f>
        <v>0</v>
      </c>
    </row>
    <row r="234" spans="1:69" ht="12.9">
      <c r="D234" s="60" t="s">
        <v>92</v>
      </c>
      <c r="E234" s="7"/>
      <c r="F234" s="7"/>
      <c r="G234" s="7"/>
      <c r="H234" s="7"/>
      <c r="I234" s="7"/>
      <c r="J234" s="7"/>
      <c r="K234" s="29"/>
      <c r="M234" s="2306" t="s">
        <v>2522</v>
      </c>
      <c r="N234" s="2345"/>
      <c r="O234" s="2345"/>
      <c r="P234" s="2345"/>
      <c r="Q234" s="2345"/>
      <c r="R234" s="2345"/>
      <c r="S234" s="2345"/>
      <c r="T234" s="2345"/>
      <c r="U234" s="2345"/>
      <c r="V234" s="2345"/>
      <c r="W234" s="2345"/>
      <c r="X234" s="2345"/>
      <c r="Y234" s="2345"/>
      <c r="Z234" s="2345"/>
      <c r="AA234" s="2345"/>
      <c r="AB234" s="2345"/>
      <c r="AC234" s="2345"/>
      <c r="AD234" s="2345"/>
      <c r="AE234" s="234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9">
      <c r="D235" s="60" t="s">
        <v>93</v>
      </c>
      <c r="E235" s="7"/>
      <c r="F235" s="7"/>
      <c r="M235" s="2318" t="s">
        <v>2528</v>
      </c>
      <c r="N235" s="2064"/>
      <c r="O235" s="2064"/>
      <c r="P235" s="2064"/>
      <c r="Q235" s="2064"/>
      <c r="R235" s="2064"/>
      <c r="S235" s="7" t="s">
        <v>212</v>
      </c>
      <c r="T235" s="7"/>
      <c r="U235" s="2032"/>
      <c r="V235" s="2032"/>
      <c r="W235" s="2032"/>
      <c r="X235" s="7" t="s">
        <v>94</v>
      </c>
      <c r="Z235" s="2318" t="s">
        <v>2529</v>
      </c>
      <c r="AA235" s="2064"/>
      <c r="AB235" s="2064"/>
      <c r="AC235" s="2064"/>
      <c r="AD235" s="2064"/>
      <c r="AE235" s="2064"/>
      <c r="BB235" s="385"/>
      <c r="BG235" s="386"/>
    </row>
    <row r="236" spans="1:69" ht="12.9">
      <c r="D236" s="60" t="s">
        <v>95</v>
      </c>
      <c r="E236" s="7"/>
      <c r="F236" s="7"/>
      <c r="M236" s="2349" t="s">
        <v>2530</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9">
      <c r="A237" s="50" t="s">
        <v>620</v>
      </c>
      <c r="C237" s="37" t="s">
        <v>557</v>
      </c>
      <c r="M237" s="2033" t="s">
        <v>395</v>
      </c>
      <c r="N237" s="2033"/>
      <c r="O237" s="2033"/>
      <c r="P237" s="2033"/>
      <c r="Q237" s="2033"/>
      <c r="R237" s="2033"/>
      <c r="S237" s="2033"/>
      <c r="T237" s="2033"/>
      <c r="U237" s="387" t="s">
        <v>974</v>
      </c>
      <c r="V237" s="325"/>
      <c r="W237" s="325"/>
      <c r="X237" s="325"/>
      <c r="Y237" s="325"/>
      <c r="Z237" s="325"/>
      <c r="AA237" s="2473" t="s">
        <v>625</v>
      </c>
      <c r="AB237" s="2474"/>
      <c r="AC237" s="2474"/>
      <c r="AD237" s="2474"/>
      <c r="AE237" s="2474"/>
      <c r="AF237" s="2474"/>
      <c r="AG237" s="2474"/>
      <c r="AH237" s="2474"/>
      <c r="AI237" s="2474"/>
      <c r="AJ237" s="2474"/>
      <c r="AK237" s="247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9">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623</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505</v>
      </c>
      <c r="D242" s="57" t="s">
        <v>564</v>
      </c>
      <c r="E242" s="57"/>
      <c r="F242" s="57"/>
      <c r="G242" s="57"/>
      <c r="H242" s="57"/>
      <c r="I242" s="57"/>
      <c r="J242" s="57"/>
      <c r="K242" s="57"/>
      <c r="L242" s="7"/>
      <c r="M242" s="2454" t="s">
        <v>2531</v>
      </c>
      <c r="N242" s="2444"/>
      <c r="O242" s="2444"/>
      <c r="P242" s="2444"/>
      <c r="Q242" s="2444"/>
      <c r="R242" s="2444"/>
      <c r="S242" s="2444"/>
      <c r="T242" s="2444"/>
      <c r="U242" s="2444"/>
      <c r="V242" s="2444"/>
      <c r="W242" s="2444"/>
      <c r="X242" s="2444"/>
      <c r="Y242" s="2444"/>
      <c r="Z242" s="2444"/>
      <c r="AA242" s="2444"/>
      <c r="AB242" s="2444"/>
      <c r="AC242" s="2444"/>
      <c r="AD242" s="2444"/>
      <c r="AE242" s="2444"/>
      <c r="AF242" s="2444" t="s">
        <v>2532</v>
      </c>
      <c r="AG242" s="2444"/>
      <c r="AH242" s="2444"/>
      <c r="AI242" s="2444"/>
      <c r="AJ242" s="2444"/>
      <c r="AK242" s="2444"/>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6" t="s">
        <v>2533</v>
      </c>
      <c r="N243" s="2345"/>
      <c r="O243" s="2345"/>
      <c r="P243" s="2345"/>
      <c r="Q243" s="2345"/>
      <c r="R243" s="2345"/>
      <c r="S243" s="2345"/>
      <c r="T243" s="2345"/>
      <c r="U243" s="2345"/>
      <c r="V243" s="2345"/>
      <c r="W243" s="2345"/>
      <c r="X243" s="2345"/>
      <c r="Y243" s="2345"/>
      <c r="Z243" s="2345"/>
      <c r="AA243" s="2345"/>
      <c r="AB243" s="2345"/>
      <c r="AC243" s="2345"/>
      <c r="AD243" s="2345"/>
      <c r="AE243" s="2345"/>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614</v>
      </c>
      <c r="E244" s="57"/>
      <c r="M244" s="2306" t="s">
        <v>2534</v>
      </c>
      <c r="N244" s="2345"/>
      <c r="O244" s="2345"/>
      <c r="P244" s="2345"/>
      <c r="Q244" s="2345"/>
      <c r="R244" s="2345"/>
      <c r="S244" s="2345"/>
      <c r="T244" s="2345"/>
      <c r="V244" s="59" t="s">
        <v>91</v>
      </c>
      <c r="W244" s="2088" t="s">
        <v>2535</v>
      </c>
      <c r="X244" s="2032"/>
      <c r="Y244" s="57" t="s">
        <v>617</v>
      </c>
      <c r="AC244" s="2345">
        <v>83616</v>
      </c>
      <c r="AD244" s="2345"/>
      <c r="AE244" s="2345"/>
      <c r="AF244" s="58" t="s">
        <v>1378</v>
      </c>
      <c r="AG244" s="719"/>
      <c r="AH244" s="719"/>
      <c r="AI244" s="719"/>
      <c r="AJ244" s="719"/>
      <c r="AK244" s="719"/>
      <c r="BB244" s="12" t="s">
        <v>316</v>
      </c>
      <c r="BG244" s="12">
        <v>1</v>
      </c>
      <c r="BH244" s="12" t="s">
        <v>566</v>
      </c>
      <c r="BM244" s="25"/>
      <c r="BN244" s="3"/>
      <c r="BO244" s="3"/>
    </row>
    <row r="245" spans="1:72" ht="12.9">
      <c r="A245" s="29"/>
      <c r="B245" s="7"/>
      <c r="C245" s="7"/>
      <c r="D245" s="60" t="s">
        <v>92</v>
      </c>
      <c r="E245" s="7"/>
      <c r="F245" s="7"/>
      <c r="G245" s="7"/>
      <c r="H245" s="7"/>
      <c r="I245" s="7"/>
      <c r="J245" s="7"/>
      <c r="K245" s="7"/>
      <c r="L245" s="29"/>
      <c r="M245" s="2306" t="s">
        <v>2536</v>
      </c>
      <c r="N245" s="2345"/>
      <c r="O245" s="2345"/>
      <c r="P245" s="2345"/>
      <c r="Q245" s="2345"/>
      <c r="R245" s="2345"/>
      <c r="S245" s="2345"/>
      <c r="T245" s="2345"/>
      <c r="U245" s="2345"/>
      <c r="V245" s="2345"/>
      <c r="W245" s="2345"/>
      <c r="X245" s="2345"/>
      <c r="Y245" s="2345"/>
      <c r="Z245" s="2345"/>
      <c r="AA245" s="2345"/>
      <c r="AB245" s="2345"/>
      <c r="AC245" s="2345"/>
      <c r="AD245" s="2345"/>
      <c r="AE245" s="2345"/>
      <c r="AH245" s="2453">
        <v>5.0000000000000001E-3</v>
      </c>
      <c r="AI245" s="2453"/>
      <c r="AJ245" s="2453"/>
      <c r="AK245" s="245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9">
      <c r="A246" s="29"/>
      <c r="B246" s="7"/>
      <c r="C246" s="7"/>
      <c r="D246" s="60" t="s">
        <v>93</v>
      </c>
      <c r="E246" s="7"/>
      <c r="F246" s="7"/>
      <c r="M246" s="2318" t="s">
        <v>2537</v>
      </c>
      <c r="N246" s="2064"/>
      <c r="O246" s="2064"/>
      <c r="P246" s="2064"/>
      <c r="Q246" s="2064"/>
      <c r="R246" s="2064"/>
      <c r="S246" s="7" t="s">
        <v>212</v>
      </c>
      <c r="T246" s="7"/>
      <c r="U246" s="2032">
        <v>3015</v>
      </c>
      <c r="V246" s="2032"/>
      <c r="W246" s="2032"/>
      <c r="X246" s="7" t="s">
        <v>94</v>
      </c>
      <c r="Z246" s="2318" t="s">
        <v>2538</v>
      </c>
      <c r="AA246" s="2064"/>
      <c r="AB246" s="2064"/>
      <c r="AC246" s="2064"/>
      <c r="AD246" s="2064"/>
      <c r="AE246" s="2064"/>
      <c r="BB246" s="7" t="s">
        <v>178</v>
      </c>
      <c r="BG246" s="12">
        <v>3</v>
      </c>
      <c r="BH246" s="12" t="s">
        <v>568</v>
      </c>
      <c r="BN246" s="390"/>
      <c r="BO246" s="39"/>
    </row>
    <row r="247" spans="1:72" ht="12.9">
      <c r="A247" s="29"/>
      <c r="B247" s="7"/>
      <c r="C247" s="7"/>
      <c r="D247" s="60" t="s">
        <v>95</v>
      </c>
      <c r="E247" s="7"/>
      <c r="F247" s="7"/>
      <c r="M247" s="2349" t="s">
        <v>2539</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73" t="s">
        <v>2540</v>
      </c>
      <c r="AB248" s="2474"/>
      <c r="AC248" s="2474"/>
      <c r="AD248" s="2474"/>
      <c r="AE248" s="2474"/>
      <c r="AF248" s="2474"/>
      <c r="AG248" s="2474"/>
      <c r="AH248" s="2474"/>
      <c r="AI248" s="2474"/>
      <c r="AJ248" s="2474"/>
      <c r="AK248" s="2474"/>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454" t="s">
        <v>2541</v>
      </c>
      <c r="N250" s="2444"/>
      <c r="O250" s="2444"/>
      <c r="P250" s="2444"/>
      <c r="Q250" s="2444"/>
      <c r="R250" s="2444"/>
      <c r="S250" s="2444"/>
      <c r="T250" s="2444"/>
      <c r="U250" s="2444"/>
      <c r="V250" s="2444"/>
      <c r="W250" s="2444"/>
      <c r="X250" s="2444"/>
      <c r="Y250" s="2444"/>
      <c r="Z250" s="2444"/>
      <c r="AA250" s="2444"/>
      <c r="AB250" s="2444"/>
      <c r="AC250" s="2444"/>
      <c r="AD250" s="2444"/>
      <c r="AE250" s="2444"/>
      <c r="AF250" s="2444" t="s">
        <v>2542</v>
      </c>
      <c r="AG250" s="2444"/>
      <c r="AH250" s="2444"/>
      <c r="AI250" s="2444"/>
      <c r="AJ250" s="2444"/>
      <c r="AK250" s="2444"/>
      <c r="BN250" s="61"/>
    </row>
    <row r="251" spans="1:72" ht="12.9">
      <c r="A251" s="29"/>
      <c r="B251" s="7"/>
      <c r="C251" s="7"/>
      <c r="D251" s="57" t="s">
        <v>90</v>
      </c>
      <c r="E251" s="57"/>
      <c r="F251" s="57"/>
      <c r="G251" s="57"/>
      <c r="H251" s="57"/>
      <c r="I251" s="57"/>
      <c r="J251" s="57"/>
      <c r="K251" s="57"/>
      <c r="L251" s="7"/>
      <c r="M251" s="2306" t="s">
        <v>2526</v>
      </c>
      <c r="N251" s="2345"/>
      <c r="O251" s="2345"/>
      <c r="P251" s="2345"/>
      <c r="Q251" s="2345"/>
      <c r="R251" s="2345"/>
      <c r="S251" s="2345"/>
      <c r="T251" s="2345"/>
      <c r="U251" s="2345"/>
      <c r="V251" s="2345"/>
      <c r="W251" s="2345"/>
      <c r="X251" s="2345"/>
      <c r="Y251" s="2345"/>
      <c r="Z251" s="2345"/>
      <c r="AA251" s="2345"/>
      <c r="AB251" s="2345"/>
      <c r="AC251" s="2345"/>
      <c r="AD251" s="2345"/>
      <c r="AE251" s="2345"/>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614</v>
      </c>
      <c r="E252" s="57"/>
      <c r="M252" s="2306" t="s">
        <v>58</v>
      </c>
      <c r="N252" s="2345"/>
      <c r="O252" s="2345"/>
      <c r="P252" s="2345"/>
      <c r="Q252" s="2345"/>
      <c r="R252" s="2345"/>
      <c r="S252" s="2345"/>
      <c r="T252" s="2345"/>
      <c r="V252" s="59" t="s">
        <v>91</v>
      </c>
      <c r="W252" s="2088" t="s">
        <v>2527</v>
      </c>
      <c r="X252" s="2032"/>
      <c r="Y252" s="57" t="s">
        <v>617</v>
      </c>
      <c r="AC252" s="2345">
        <v>95348</v>
      </c>
      <c r="AD252" s="2345"/>
      <c r="AE252" s="2345"/>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306" t="s">
        <v>2522</v>
      </c>
      <c r="N253" s="2345"/>
      <c r="O253" s="2345"/>
      <c r="P253" s="2345"/>
      <c r="Q253" s="2345"/>
      <c r="R253" s="2345"/>
      <c r="S253" s="2345"/>
      <c r="T253" s="2345"/>
      <c r="U253" s="2345"/>
      <c r="V253" s="2345"/>
      <c r="W253" s="2345"/>
      <c r="X253" s="2345"/>
      <c r="Y253" s="2345"/>
      <c r="Z253" s="2345"/>
      <c r="AA253" s="2345"/>
      <c r="AB253" s="2345"/>
      <c r="AC253" s="2345"/>
      <c r="AD253" s="2345"/>
      <c r="AE253" s="2345"/>
      <c r="AF253" s="719"/>
      <c r="AG253" s="719"/>
      <c r="AH253" s="2453">
        <v>5.0000000000000001E-3</v>
      </c>
      <c r="AI253" s="2453"/>
      <c r="AJ253" s="2453"/>
      <c r="AK253" s="2453"/>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18" t="s">
        <v>2528</v>
      </c>
      <c r="N254" s="2064"/>
      <c r="O254" s="2064"/>
      <c r="P254" s="2064"/>
      <c r="Q254" s="2064"/>
      <c r="R254" s="2064"/>
      <c r="S254" s="7" t="s">
        <v>212</v>
      </c>
      <c r="T254" s="7"/>
      <c r="U254" s="2032"/>
      <c r="V254" s="2032"/>
      <c r="W254" s="2032"/>
      <c r="X254" s="7" t="s">
        <v>94</v>
      </c>
      <c r="Z254" s="2318" t="s">
        <v>2529</v>
      </c>
      <c r="AA254" s="2064"/>
      <c r="AB254" s="2064"/>
      <c r="AC254" s="2064"/>
      <c r="AD254" s="2064"/>
      <c r="AE254" s="2064"/>
    </row>
    <row r="255" spans="1:72" ht="12.9">
      <c r="A255" s="29"/>
      <c r="B255" s="7"/>
      <c r="C255" s="7"/>
      <c r="D255" s="60" t="s">
        <v>95</v>
      </c>
      <c r="E255" s="7"/>
      <c r="F255" s="7"/>
      <c r="M255" s="2349" t="s">
        <v>2530</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73" t="s">
        <v>625</v>
      </c>
      <c r="AB256" s="2474"/>
      <c r="AC256" s="2474"/>
      <c r="AD256" s="2474"/>
      <c r="AE256" s="2474"/>
      <c r="AF256" s="2474"/>
      <c r="AG256" s="2474"/>
      <c r="AH256" s="2474"/>
      <c r="AI256" s="2474"/>
      <c r="AJ256" s="2474"/>
      <c r="AK256" s="2474"/>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444"/>
      <c r="N258" s="2444"/>
      <c r="O258" s="2444"/>
      <c r="P258" s="2444"/>
      <c r="Q258" s="2444"/>
      <c r="R258" s="2444"/>
      <c r="S258" s="2444"/>
      <c r="T258" s="2444"/>
      <c r="U258" s="2444"/>
      <c r="V258" s="2444"/>
      <c r="W258" s="2444"/>
      <c r="X258" s="2444"/>
      <c r="Y258" s="2444"/>
      <c r="Z258" s="2444"/>
      <c r="AA258" s="2444"/>
      <c r="AB258" s="2444"/>
      <c r="AC258" s="2444"/>
      <c r="AD258" s="2444"/>
      <c r="AE258" s="2444"/>
      <c r="AF258" s="2444" t="s">
        <v>316</v>
      </c>
      <c r="AG258" s="2444"/>
      <c r="AH258" s="2444"/>
      <c r="AI258" s="2444"/>
      <c r="AJ258" s="2444"/>
      <c r="AK258" s="2444"/>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45"/>
      <c r="N259" s="2345"/>
      <c r="O259" s="2345"/>
      <c r="P259" s="2345"/>
      <c r="Q259" s="2345"/>
      <c r="R259" s="2345"/>
      <c r="S259" s="2345"/>
      <c r="T259" s="2345"/>
      <c r="U259" s="2345"/>
      <c r="V259" s="2345"/>
      <c r="W259" s="2345"/>
      <c r="X259" s="2345"/>
      <c r="Y259" s="2345"/>
      <c r="Z259" s="2345"/>
      <c r="AA259" s="2345"/>
      <c r="AB259" s="2345"/>
      <c r="AC259" s="2345"/>
      <c r="AD259" s="2345"/>
      <c r="AE259" s="2345"/>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345"/>
      <c r="N260" s="2345"/>
      <c r="O260" s="2345"/>
      <c r="P260" s="2345"/>
      <c r="Q260" s="2345"/>
      <c r="R260" s="2345"/>
      <c r="S260" s="2345"/>
      <c r="T260" s="2345"/>
      <c r="V260" s="59" t="s">
        <v>91</v>
      </c>
      <c r="W260" s="2032"/>
      <c r="X260" s="2032"/>
      <c r="Y260" s="57" t="s">
        <v>617</v>
      </c>
      <c r="AC260" s="2345"/>
      <c r="AD260" s="2345"/>
      <c r="AE260" s="2345"/>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45"/>
      <c r="N261" s="2345"/>
      <c r="O261" s="2345"/>
      <c r="P261" s="2345"/>
      <c r="Q261" s="2345"/>
      <c r="R261" s="2345"/>
      <c r="S261" s="2345"/>
      <c r="T261" s="2345"/>
      <c r="U261" s="2345"/>
      <c r="V261" s="2345"/>
      <c r="W261" s="2345"/>
      <c r="X261" s="2345"/>
      <c r="Y261" s="2345"/>
      <c r="Z261" s="2345"/>
      <c r="AA261" s="2345"/>
      <c r="AB261" s="2345"/>
      <c r="AC261" s="2345"/>
      <c r="AD261" s="2345"/>
      <c r="AE261" s="2345"/>
      <c r="AF261" s="719"/>
      <c r="AG261" s="719"/>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4"/>
      <c r="N262" s="2064"/>
      <c r="O262" s="2064"/>
      <c r="P262" s="2064"/>
      <c r="Q262" s="2064"/>
      <c r="R262" s="2064"/>
      <c r="S262" s="7" t="s">
        <v>212</v>
      </c>
      <c r="T262" s="7"/>
      <c r="U262" s="2032"/>
      <c r="V262" s="2032"/>
      <c r="W262" s="2032"/>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77"/>
      <c r="AB263" s="2477"/>
      <c r="AC263" s="2477"/>
      <c r="AD263" s="2477"/>
      <c r="AE263" s="247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567</v>
      </c>
      <c r="E264" s="7"/>
      <c r="F264" s="7"/>
      <c r="G264" s="7"/>
      <c r="H264" s="7"/>
      <c r="I264" s="7"/>
      <c r="J264" s="7"/>
      <c r="K264" s="7"/>
      <c r="L264" s="7"/>
      <c r="M264" s="2033" t="s">
        <v>316</v>
      </c>
      <c r="N264" s="2033"/>
      <c r="O264" s="2033"/>
      <c r="P264" s="2033"/>
      <c r="Q264" s="2033"/>
      <c r="R264" s="2033"/>
      <c r="S264" s="2033"/>
      <c r="T264" s="2033"/>
      <c r="U264" s="387" t="s">
        <v>974</v>
      </c>
      <c r="V264" s="325"/>
      <c r="W264" s="325"/>
      <c r="X264" s="325"/>
      <c r="Y264" s="325"/>
      <c r="Z264" s="325"/>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624</v>
      </c>
      <c r="B266" s="7"/>
      <c r="C266" s="50" t="s">
        <v>303</v>
      </c>
      <c r="D266" s="7"/>
      <c r="E266" s="7"/>
      <c r="F266" s="7"/>
      <c r="G266" s="7"/>
      <c r="H266" s="7"/>
      <c r="I266" s="7"/>
      <c r="J266" s="7"/>
      <c r="K266" s="7"/>
      <c r="L266" s="7"/>
      <c r="M266" s="147"/>
      <c r="N266" s="147"/>
      <c r="O266" s="147"/>
      <c r="P266" s="147"/>
      <c r="Q266" s="147"/>
      <c r="T266" s="2445" t="str">
        <f>BO245</f>
        <v>Joint Venture</v>
      </c>
      <c r="U266" s="2445"/>
      <c r="V266" s="2445"/>
      <c r="W266" s="2445"/>
      <c r="X266" s="244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5" t="s">
        <v>286</v>
      </c>
      <c r="E269" s="2345"/>
      <c r="F269" s="2345"/>
      <c r="G269" s="2345"/>
      <c r="H269" s="2345"/>
      <c r="J269" s="12" t="s">
        <v>285</v>
      </c>
      <c r="X269" s="2331"/>
      <c r="Y269" s="2331"/>
      <c r="Z269" s="2331"/>
      <c r="AA269" s="2331"/>
      <c r="AB269" s="2331"/>
      <c r="AC269" s="2331"/>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54" t="s">
        <v>2543</v>
      </c>
      <c r="M273" s="2444"/>
      <c r="N273" s="2444"/>
      <c r="O273" s="2444"/>
      <c r="P273" s="2444"/>
      <c r="Q273" s="2444"/>
      <c r="R273" s="2444"/>
      <c r="S273" s="2444"/>
      <c r="T273" s="2444"/>
      <c r="U273" s="2444"/>
      <c r="V273" s="2444"/>
      <c r="W273" s="2444"/>
      <c r="X273" s="2444"/>
      <c r="Y273" s="2444"/>
      <c r="Z273" s="2444"/>
      <c r="AA273" s="2444"/>
      <c r="AB273" s="2444"/>
      <c r="AC273" s="2444"/>
      <c r="AD273" s="2444"/>
      <c r="AE273" s="2444"/>
      <c r="AF273" s="2444"/>
      <c r="AG273" s="2444"/>
      <c r="AH273" s="2444"/>
      <c r="AI273" s="2444"/>
      <c r="AJ273" s="2444"/>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6" t="s">
        <v>2533</v>
      </c>
      <c r="M274" s="2345"/>
      <c r="N274" s="2345"/>
      <c r="O274" s="2345"/>
      <c r="P274" s="2345"/>
      <c r="Q274" s="2345"/>
      <c r="R274" s="2345"/>
      <c r="S274" s="2345"/>
      <c r="T274" s="2345"/>
      <c r="U274" s="2345"/>
      <c r="V274" s="2345"/>
      <c r="W274" s="2345"/>
      <c r="X274" s="2345"/>
      <c r="Y274" s="2345"/>
      <c r="Z274" s="2345"/>
      <c r="AA274" s="2345"/>
      <c r="AB274" s="2345"/>
      <c r="AC274" s="2345"/>
      <c r="AD274" s="2345"/>
      <c r="AK274" s="58"/>
      <c r="AL274" s="58"/>
      <c r="AM274" s="239"/>
      <c r="AN274" s="239"/>
      <c r="AO274" s="239"/>
      <c r="AP274" s="239"/>
      <c r="AQ274" s="239"/>
      <c r="AR274" s="239"/>
      <c r="AS274" s="239"/>
      <c r="AT274" s="239"/>
      <c r="AU274" s="239"/>
      <c r="AV274" s="239"/>
      <c r="AW274" s="239"/>
      <c r="AX274" s="239"/>
      <c r="AY274" s="239"/>
      <c r="BN274" s="61"/>
    </row>
    <row r="275" spans="1:66" ht="12.9">
      <c r="D275" s="57" t="s">
        <v>614</v>
      </c>
      <c r="E275" s="57"/>
      <c r="L275" s="2306" t="s">
        <v>2534</v>
      </c>
      <c r="M275" s="2345"/>
      <c r="N275" s="2345"/>
      <c r="O275" s="2345"/>
      <c r="P275" s="2345"/>
      <c r="Q275" s="2345"/>
      <c r="R275" s="2345"/>
      <c r="S275" s="2345"/>
      <c r="U275" s="59" t="s">
        <v>91</v>
      </c>
      <c r="V275" s="2088" t="s">
        <v>2535</v>
      </c>
      <c r="W275" s="2032"/>
      <c r="X275" s="57" t="s">
        <v>617</v>
      </c>
      <c r="AB275" s="2345">
        <v>83616</v>
      </c>
      <c r="AC275" s="2345"/>
      <c r="AD275" s="2345"/>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6" t="s">
        <v>2544</v>
      </c>
      <c r="M276" s="2345"/>
      <c r="N276" s="2345"/>
      <c r="O276" s="2345"/>
      <c r="P276" s="2345"/>
      <c r="Q276" s="2345"/>
      <c r="R276" s="2345"/>
      <c r="S276" s="2345"/>
      <c r="T276" s="2345"/>
      <c r="U276" s="2345"/>
      <c r="V276" s="2345"/>
      <c r="W276" s="2345"/>
      <c r="X276" s="2345"/>
      <c r="Y276" s="2345"/>
      <c r="Z276" s="2345"/>
      <c r="AA276" s="2345"/>
      <c r="AB276" s="2345"/>
      <c r="AC276" s="2345"/>
      <c r="AD276" s="2345"/>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18" t="s">
        <v>2545</v>
      </c>
      <c r="M277" s="2064"/>
      <c r="N277" s="2064"/>
      <c r="O277" s="2064"/>
      <c r="P277" s="2064"/>
      <c r="Q277" s="2064"/>
      <c r="R277" s="7" t="s">
        <v>212</v>
      </c>
      <c r="S277" s="7"/>
      <c r="T277" s="2032"/>
      <c r="U277" s="2032"/>
      <c r="V277" s="2032"/>
      <c r="W277" s="7" t="s">
        <v>94</v>
      </c>
      <c r="Y277" s="2318" t="s">
        <v>2538</v>
      </c>
      <c r="Z277" s="2064"/>
      <c r="AA277" s="2064"/>
      <c r="AB277" s="2064"/>
      <c r="AC277" s="2064"/>
      <c r="AD277" s="2064"/>
      <c r="BN277" s="61"/>
    </row>
    <row r="278" spans="1:66" ht="12.9">
      <c r="D278" s="60" t="s">
        <v>95</v>
      </c>
      <c r="E278" s="7"/>
      <c r="F278" s="7"/>
      <c r="L278" s="2349" t="s">
        <v>2546</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9">
      <c r="D279" s="58" t="s">
        <v>657</v>
      </c>
      <c r="E279" s="58"/>
      <c r="F279" s="58"/>
      <c r="G279" s="58"/>
      <c r="H279" s="58"/>
      <c r="I279" s="58"/>
      <c r="L279" s="2088" t="s">
        <v>2547</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9">
      <c r="L280" s="35" t="s">
        <v>658</v>
      </c>
      <c r="BN280" s="61"/>
    </row>
    <row r="281" spans="1:66" ht="12.9">
      <c r="A281" s="2371" t="s">
        <v>573</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660</v>
      </c>
      <c r="C286" s="58"/>
      <c r="D286" s="58"/>
      <c r="E286" s="58"/>
      <c r="F286" s="58"/>
      <c r="H286" s="2040" t="s">
        <v>2543</v>
      </c>
      <c r="I286" s="2040"/>
      <c r="J286" s="2040"/>
      <c r="K286" s="2040"/>
      <c r="L286" s="2040"/>
      <c r="M286" s="2040"/>
      <c r="N286" s="2040"/>
      <c r="O286" s="2040"/>
      <c r="P286" s="2040"/>
      <c r="Q286" s="2040"/>
      <c r="R286" s="2040"/>
      <c r="T286" s="58" t="s">
        <v>599</v>
      </c>
      <c r="V286" s="58"/>
      <c r="W286" s="58"/>
      <c r="X286" s="58"/>
      <c r="Y286" s="58"/>
      <c r="AA286" s="2040" t="s">
        <v>2635</v>
      </c>
      <c r="AB286" s="2040"/>
      <c r="AC286" s="2040"/>
      <c r="AD286" s="2040"/>
      <c r="AE286" s="2040"/>
      <c r="AF286" s="2040"/>
      <c r="AG286" s="2040"/>
      <c r="AH286" s="2040"/>
      <c r="AI286" s="2040"/>
      <c r="AJ286" s="2040"/>
      <c r="AK286" s="2040"/>
      <c r="BN286" s="61"/>
    </row>
    <row r="287" spans="1:66" ht="12.9">
      <c r="B287" s="58" t="s">
        <v>503</v>
      </c>
      <c r="C287" s="58"/>
      <c r="D287" s="58"/>
      <c r="E287" s="58"/>
      <c r="F287" s="58"/>
      <c r="H287" s="2033" t="s">
        <v>2533</v>
      </c>
      <c r="I287" s="2033"/>
      <c r="J287" s="2033"/>
      <c r="K287" s="2033"/>
      <c r="L287" s="2033"/>
      <c r="M287" s="2033"/>
      <c r="N287" s="2033"/>
      <c r="O287" s="2033"/>
      <c r="P287" s="2033"/>
      <c r="Q287" s="2033"/>
      <c r="R287" s="2033"/>
      <c r="T287" s="58" t="s">
        <v>503</v>
      </c>
      <c r="V287" s="58"/>
      <c r="W287" s="58"/>
      <c r="X287" s="58"/>
      <c r="Y287" s="58"/>
      <c r="AA287" s="2033" t="s">
        <v>2636</v>
      </c>
      <c r="AB287" s="2033"/>
      <c r="AC287" s="2033"/>
      <c r="AD287" s="2033"/>
      <c r="AE287" s="2033"/>
      <c r="AF287" s="2033"/>
      <c r="AG287" s="2033"/>
      <c r="AH287" s="2033"/>
      <c r="AI287" s="2033"/>
      <c r="AJ287" s="2033"/>
      <c r="AK287" s="2033"/>
      <c r="BN287" s="61"/>
    </row>
    <row r="288" spans="1:66" ht="12.9">
      <c r="B288" s="58" t="s">
        <v>504</v>
      </c>
      <c r="C288" s="58"/>
      <c r="D288" s="58"/>
      <c r="E288" s="58"/>
      <c r="F288" s="58"/>
      <c r="H288" s="2033" t="s">
        <v>2548</v>
      </c>
      <c r="I288" s="2033"/>
      <c r="J288" s="2033"/>
      <c r="K288" s="2033"/>
      <c r="L288" s="2033"/>
      <c r="M288" s="2033"/>
      <c r="N288" s="2033"/>
      <c r="O288" s="2033"/>
      <c r="P288" s="2033"/>
      <c r="Q288" s="2033"/>
      <c r="R288" s="2033"/>
      <c r="T288" s="58" t="s">
        <v>79</v>
      </c>
      <c r="V288" s="58"/>
      <c r="W288" s="58"/>
      <c r="X288" s="58"/>
      <c r="Y288" s="58"/>
      <c r="AA288" s="2033" t="s">
        <v>2637</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2536</v>
      </c>
      <c r="I289" s="2033"/>
      <c r="J289" s="2033"/>
      <c r="K289" s="2033"/>
      <c r="L289" s="2033"/>
      <c r="M289" s="2033"/>
      <c r="N289" s="2033"/>
      <c r="O289" s="2033"/>
      <c r="P289" s="2033"/>
      <c r="Q289" s="2033"/>
      <c r="R289" s="2033"/>
      <c r="T289" s="58" t="s">
        <v>92</v>
      </c>
      <c r="V289" s="58"/>
      <c r="W289" s="58"/>
      <c r="X289" s="58"/>
      <c r="Y289" s="58"/>
      <c r="AA289" s="2033" t="s">
        <v>2638</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43" t="s">
        <v>2537</v>
      </c>
      <c r="I290" s="2344"/>
      <c r="J290" s="2344"/>
      <c r="K290" s="2344"/>
      <c r="L290" s="2344"/>
      <c r="M290" s="2344"/>
      <c r="N290" s="7" t="s">
        <v>212</v>
      </c>
      <c r="O290" s="7"/>
      <c r="P290" s="2345">
        <v>3015</v>
      </c>
      <c r="Q290" s="2345"/>
      <c r="R290" s="2345"/>
      <c r="S290" s="58"/>
      <c r="T290" s="58" t="s">
        <v>93</v>
      </c>
      <c r="V290" s="58"/>
      <c r="W290" s="58"/>
      <c r="X290" s="58"/>
      <c r="Y290" s="58"/>
      <c r="AA290" s="2343" t="s">
        <v>2639</v>
      </c>
      <c r="AB290" s="2344"/>
      <c r="AC290" s="2344"/>
      <c r="AD290" s="2344"/>
      <c r="AE290" s="2344"/>
      <c r="AF290" s="2344"/>
      <c r="AG290" s="7" t="s">
        <v>212</v>
      </c>
      <c r="AH290" s="7"/>
      <c r="AI290" s="2345"/>
      <c r="AJ290" s="2345"/>
      <c r="AK290" s="2345"/>
      <c r="BN290" s="61"/>
    </row>
    <row r="291" spans="2:66" ht="12.8" customHeight="1">
      <c r="B291" s="58" t="s">
        <v>94</v>
      </c>
      <c r="C291" s="58"/>
      <c r="D291" s="58"/>
      <c r="E291" s="58"/>
      <c r="F291" s="58"/>
      <c r="G291" s="58"/>
      <c r="H291" s="2318" t="s">
        <v>2538</v>
      </c>
      <c r="I291" s="2064"/>
      <c r="J291" s="2064"/>
      <c r="K291" s="2064"/>
      <c r="L291" s="2064"/>
      <c r="M291" s="2064"/>
      <c r="N291" s="60"/>
      <c r="O291" s="60"/>
      <c r="P291" s="62"/>
      <c r="Q291" s="62"/>
      <c r="R291" s="62"/>
      <c r="S291" s="58"/>
      <c r="T291" s="58" t="s">
        <v>94</v>
      </c>
      <c r="V291" s="58"/>
      <c r="W291" s="58"/>
      <c r="X291" s="58"/>
      <c r="Y291" s="58"/>
      <c r="AA291" s="2318"/>
      <c r="AB291" s="2064"/>
      <c r="AC291" s="2064"/>
      <c r="AD291" s="2064"/>
      <c r="AE291" s="2064"/>
      <c r="AF291" s="2064"/>
      <c r="AG291" s="60"/>
      <c r="AH291" s="60"/>
      <c r="AI291" s="62"/>
      <c r="AJ291" s="62"/>
      <c r="AK291" s="62"/>
      <c r="BN291" s="61"/>
    </row>
    <row r="292" spans="2:66" ht="12.8" customHeight="1">
      <c r="B292" s="58" t="s">
        <v>80</v>
      </c>
      <c r="C292" s="58"/>
      <c r="D292" s="58"/>
      <c r="E292" s="58"/>
      <c r="F292" s="58"/>
      <c r="G292" s="58"/>
      <c r="H292" s="2033" t="s">
        <v>2539</v>
      </c>
      <c r="I292" s="2033"/>
      <c r="J292" s="2033"/>
      <c r="K292" s="2033"/>
      <c r="L292" s="2033"/>
      <c r="M292" s="2033"/>
      <c r="N292" s="2040"/>
      <c r="O292" s="2040"/>
      <c r="P292" s="2040"/>
      <c r="Q292" s="2040"/>
      <c r="R292" s="2040"/>
      <c r="S292" s="58"/>
      <c r="T292" s="58" t="s">
        <v>80</v>
      </c>
      <c r="V292" s="58"/>
      <c r="W292" s="58"/>
      <c r="X292" s="58"/>
      <c r="Y292" s="58"/>
      <c r="AA292" s="2033" t="s">
        <v>2640</v>
      </c>
      <c r="AB292" s="2033"/>
      <c r="AC292" s="2033"/>
      <c r="AD292" s="2033"/>
      <c r="AE292" s="2033"/>
      <c r="AF292" s="2033"/>
      <c r="AG292" s="2040"/>
      <c r="AH292" s="2040"/>
      <c r="AI292" s="2040"/>
      <c r="AJ292" s="2040"/>
      <c r="AK292" s="2040"/>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40" t="s">
        <v>2550</v>
      </c>
      <c r="I294" s="2040"/>
      <c r="J294" s="2040"/>
      <c r="K294" s="2040"/>
      <c r="L294" s="2040"/>
      <c r="M294" s="2040"/>
      <c r="N294" s="2040"/>
      <c r="O294" s="2040"/>
      <c r="P294" s="2040"/>
      <c r="Q294" s="2040"/>
      <c r="R294" s="2040"/>
      <c r="T294" s="58" t="s">
        <v>374</v>
      </c>
      <c r="V294" s="58"/>
      <c r="W294" s="58"/>
      <c r="X294" s="58"/>
      <c r="Y294" s="58"/>
      <c r="AA294" s="2040" t="s">
        <v>2551</v>
      </c>
      <c r="AB294" s="2040"/>
      <c r="AC294" s="2040"/>
      <c r="AD294" s="2040"/>
      <c r="AE294" s="2040"/>
      <c r="AF294" s="2040"/>
      <c r="AG294" s="2040"/>
      <c r="AH294" s="2040"/>
      <c r="AI294" s="2040"/>
      <c r="AJ294" s="2040"/>
      <c r="AK294" s="2040"/>
      <c r="BN294" s="61"/>
    </row>
    <row r="295" spans="2:66" ht="12.9">
      <c r="B295" s="58" t="s">
        <v>503</v>
      </c>
      <c r="C295" s="58"/>
      <c r="D295" s="58"/>
      <c r="E295" s="58"/>
      <c r="F295" s="58"/>
      <c r="H295" s="2033" t="s">
        <v>2552</v>
      </c>
      <c r="I295" s="2033"/>
      <c r="J295" s="2033"/>
      <c r="K295" s="2033"/>
      <c r="L295" s="2033"/>
      <c r="M295" s="2033"/>
      <c r="N295" s="2033"/>
      <c r="O295" s="2033"/>
      <c r="P295" s="2033"/>
      <c r="Q295" s="2033"/>
      <c r="R295" s="2033"/>
      <c r="T295" s="58" t="s">
        <v>503</v>
      </c>
      <c r="V295" s="58"/>
      <c r="W295" s="58"/>
      <c r="X295" s="58"/>
      <c r="Y295" s="58"/>
      <c r="AA295" s="2033" t="s">
        <v>2533</v>
      </c>
      <c r="AB295" s="2033"/>
      <c r="AC295" s="2033"/>
      <c r="AD295" s="2033"/>
      <c r="AE295" s="2033"/>
      <c r="AF295" s="2033"/>
      <c r="AG295" s="2033"/>
      <c r="AH295" s="2033"/>
      <c r="AI295" s="2033"/>
      <c r="AJ295" s="2033"/>
      <c r="AK295" s="2033"/>
      <c r="BN295" s="61"/>
    </row>
    <row r="296" spans="2:66" ht="12.9">
      <c r="B296" s="58" t="s">
        <v>504</v>
      </c>
      <c r="C296" s="58"/>
      <c r="D296" s="58"/>
      <c r="E296" s="58"/>
      <c r="F296" s="58"/>
      <c r="H296" s="2033" t="s">
        <v>2548</v>
      </c>
      <c r="I296" s="2033"/>
      <c r="J296" s="2033"/>
      <c r="K296" s="2033"/>
      <c r="L296" s="2033"/>
      <c r="M296" s="2033"/>
      <c r="N296" s="2033"/>
      <c r="O296" s="2033"/>
      <c r="P296" s="2033"/>
      <c r="Q296" s="2033"/>
      <c r="R296" s="2033"/>
      <c r="T296" s="58" t="s">
        <v>79</v>
      </c>
      <c r="V296" s="58"/>
      <c r="W296" s="58"/>
      <c r="X296" s="58"/>
      <c r="Y296" s="58"/>
      <c r="AA296" s="2033" t="s">
        <v>2548</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2553</v>
      </c>
      <c r="I297" s="2033"/>
      <c r="J297" s="2033"/>
      <c r="K297" s="2033"/>
      <c r="L297" s="2033"/>
      <c r="M297" s="2033"/>
      <c r="N297" s="2033"/>
      <c r="O297" s="2033"/>
      <c r="P297" s="2033"/>
      <c r="Q297" s="2033"/>
      <c r="R297" s="2033"/>
      <c r="T297" s="58" t="s">
        <v>92</v>
      </c>
      <c r="V297" s="58"/>
      <c r="W297" s="58"/>
      <c r="X297" s="58"/>
      <c r="Y297" s="58"/>
      <c r="AA297" s="2033" t="s">
        <v>2536</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43" t="s">
        <v>2554</v>
      </c>
      <c r="I298" s="2344"/>
      <c r="J298" s="2344"/>
      <c r="K298" s="2344"/>
      <c r="L298" s="2344"/>
      <c r="M298" s="2344"/>
      <c r="N298" s="7" t="s">
        <v>212</v>
      </c>
      <c r="O298" s="7"/>
      <c r="P298" s="2345"/>
      <c r="Q298" s="2345"/>
      <c r="R298" s="2345"/>
      <c r="S298" s="58"/>
      <c r="T298" s="58" t="s">
        <v>93</v>
      </c>
      <c r="V298" s="58"/>
      <c r="W298" s="58"/>
      <c r="X298" s="58"/>
      <c r="Y298" s="58"/>
      <c r="AA298" s="2343" t="s">
        <v>2537</v>
      </c>
      <c r="AB298" s="2344"/>
      <c r="AC298" s="2344"/>
      <c r="AD298" s="2344"/>
      <c r="AE298" s="2344"/>
      <c r="AF298" s="2344"/>
      <c r="AG298" s="7" t="s">
        <v>212</v>
      </c>
      <c r="AH298" s="7"/>
      <c r="AI298" s="2345">
        <v>3015</v>
      </c>
      <c r="AJ298" s="2345"/>
      <c r="AK298" s="2345"/>
      <c r="BN298" s="61"/>
    </row>
    <row r="299" spans="2:66" ht="12.8" customHeight="1">
      <c r="B299" s="58" t="s">
        <v>94</v>
      </c>
      <c r="C299" s="58"/>
      <c r="D299" s="58"/>
      <c r="E299" s="58"/>
      <c r="F299" s="58"/>
      <c r="G299" s="58"/>
      <c r="H299" s="2318" t="s">
        <v>2538</v>
      </c>
      <c r="I299" s="2064"/>
      <c r="J299" s="2064"/>
      <c r="K299" s="2064"/>
      <c r="L299" s="2064"/>
      <c r="M299" s="2064"/>
      <c r="N299" s="60"/>
      <c r="O299" s="60"/>
      <c r="P299" s="62"/>
      <c r="Q299" s="62"/>
      <c r="R299" s="62"/>
      <c r="S299" s="58"/>
      <c r="T299" s="58" t="s">
        <v>94</v>
      </c>
      <c r="V299" s="58"/>
      <c r="W299" s="58"/>
      <c r="X299" s="58"/>
      <c r="Y299" s="58"/>
      <c r="AA299" s="2318" t="s">
        <v>2549</v>
      </c>
      <c r="AB299" s="2064"/>
      <c r="AC299" s="2064"/>
      <c r="AD299" s="2064"/>
      <c r="AE299" s="2064"/>
      <c r="AF299" s="2064"/>
      <c r="AG299" s="60"/>
      <c r="AH299" s="60"/>
      <c r="AI299" s="62"/>
      <c r="AJ299" s="62"/>
      <c r="AK299" s="62"/>
      <c r="BN299" s="61"/>
    </row>
    <row r="300" spans="2:66" ht="12.8" customHeight="1">
      <c r="B300" s="58" t="s">
        <v>80</v>
      </c>
      <c r="C300" s="58"/>
      <c r="D300" s="58"/>
      <c r="E300" s="58"/>
      <c r="F300" s="58"/>
      <c r="G300" s="58"/>
      <c r="H300" s="2033" t="s">
        <v>2555</v>
      </c>
      <c r="I300" s="2033"/>
      <c r="J300" s="2033"/>
      <c r="K300" s="2033"/>
      <c r="L300" s="2033"/>
      <c r="M300" s="2033"/>
      <c r="N300" s="2040"/>
      <c r="O300" s="2040"/>
      <c r="P300" s="2040"/>
      <c r="Q300" s="2040"/>
      <c r="R300" s="2040"/>
      <c r="S300" s="58"/>
      <c r="T300" s="58" t="s">
        <v>80</v>
      </c>
      <c r="V300" s="58"/>
      <c r="W300" s="58"/>
      <c r="X300" s="58"/>
      <c r="Y300" s="58"/>
      <c r="AA300" s="2033" t="s">
        <v>2539</v>
      </c>
      <c r="AB300" s="2033"/>
      <c r="AC300" s="2033"/>
      <c r="AD300" s="2033"/>
      <c r="AE300" s="2033"/>
      <c r="AF300" s="2033"/>
      <c r="AG300" s="2040"/>
      <c r="AH300" s="2040"/>
      <c r="AI300" s="2040"/>
      <c r="AJ300" s="2040"/>
      <c r="AK300" s="2040"/>
      <c r="BN300" s="61"/>
    </row>
    <row r="301" spans="2:66" ht="12.8" customHeight="1">
      <c r="BN301" s="61"/>
    </row>
    <row r="302" spans="2:66" ht="12.8" customHeight="1">
      <c r="B302" s="58" t="s">
        <v>81</v>
      </c>
      <c r="C302" s="58"/>
      <c r="D302" s="58"/>
      <c r="E302" s="58"/>
      <c r="F302" s="58"/>
      <c r="H302" s="2040" t="s">
        <v>2556</v>
      </c>
      <c r="I302" s="2040"/>
      <c r="J302" s="2040"/>
      <c r="K302" s="2040"/>
      <c r="L302" s="2040"/>
      <c r="M302" s="2040"/>
      <c r="N302" s="2040"/>
      <c r="O302" s="2040"/>
      <c r="P302" s="2040"/>
      <c r="Q302" s="2040"/>
      <c r="R302" s="2040"/>
      <c r="T302" s="7" t="s">
        <v>942</v>
      </c>
      <c r="V302" s="58"/>
      <c r="W302" s="58"/>
      <c r="X302" s="58"/>
      <c r="Y302" s="58"/>
      <c r="AA302" s="2040" t="s">
        <v>2641</v>
      </c>
      <c r="AB302" s="2040"/>
      <c r="AC302" s="2040"/>
      <c r="AD302" s="2040"/>
      <c r="AE302" s="2040"/>
      <c r="AF302" s="2040"/>
      <c r="AG302" s="2040"/>
      <c r="AH302" s="2040"/>
      <c r="AI302" s="2040"/>
      <c r="AJ302" s="2040"/>
      <c r="AK302" s="2040"/>
      <c r="BN302" s="61"/>
    </row>
    <row r="303" spans="2:66" ht="12.9">
      <c r="B303" s="58" t="s">
        <v>503</v>
      </c>
      <c r="C303" s="58"/>
      <c r="D303" s="58"/>
      <c r="E303" s="58"/>
      <c r="F303" s="58"/>
      <c r="H303" s="2033" t="s">
        <v>2557</v>
      </c>
      <c r="I303" s="2033"/>
      <c r="J303" s="2033"/>
      <c r="K303" s="2033"/>
      <c r="L303" s="2033"/>
      <c r="M303" s="2033"/>
      <c r="N303" s="2033"/>
      <c r="O303" s="2033"/>
      <c r="P303" s="2033"/>
      <c r="Q303" s="2033"/>
      <c r="R303" s="2033"/>
      <c r="T303" s="58" t="s">
        <v>503</v>
      </c>
      <c r="V303" s="58"/>
      <c r="W303" s="58"/>
      <c r="X303" s="58"/>
      <c r="Y303" s="58"/>
      <c r="AA303" s="2033" t="s">
        <v>2642</v>
      </c>
      <c r="AB303" s="2033"/>
      <c r="AC303" s="2033"/>
      <c r="AD303" s="2033"/>
      <c r="AE303" s="2033"/>
      <c r="AF303" s="2033"/>
      <c r="AG303" s="2033"/>
      <c r="AH303" s="2033"/>
      <c r="AI303" s="2033"/>
      <c r="AJ303" s="2033"/>
      <c r="AK303" s="2033"/>
      <c r="BN303" s="61"/>
    </row>
    <row r="304" spans="2:66" ht="12.9">
      <c r="B304" s="58" t="s">
        <v>504</v>
      </c>
      <c r="C304" s="58"/>
      <c r="D304" s="58"/>
      <c r="E304" s="58"/>
      <c r="F304" s="58"/>
      <c r="H304" s="2033" t="s">
        <v>2558</v>
      </c>
      <c r="I304" s="2033"/>
      <c r="J304" s="2033"/>
      <c r="K304" s="2033"/>
      <c r="L304" s="2033"/>
      <c r="M304" s="2033"/>
      <c r="N304" s="2033"/>
      <c r="O304" s="2033"/>
      <c r="P304" s="2033"/>
      <c r="Q304" s="2033"/>
      <c r="R304" s="2033"/>
      <c r="T304" s="58" t="s">
        <v>79</v>
      </c>
      <c r="V304" s="58"/>
      <c r="W304" s="58"/>
      <c r="X304" s="58"/>
      <c r="Y304" s="58"/>
      <c r="AA304" s="2033" t="s">
        <v>2643</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2559</v>
      </c>
      <c r="I305" s="2033"/>
      <c r="J305" s="2033"/>
      <c r="K305" s="2033"/>
      <c r="L305" s="2033"/>
      <c r="M305" s="2033"/>
      <c r="N305" s="2033"/>
      <c r="O305" s="2033"/>
      <c r="P305" s="2033"/>
      <c r="Q305" s="2033"/>
      <c r="R305" s="2033"/>
      <c r="T305" s="58" t="s">
        <v>92</v>
      </c>
      <c r="V305" s="58"/>
      <c r="W305" s="58"/>
      <c r="X305" s="58"/>
      <c r="Y305" s="58"/>
      <c r="AA305" s="2033" t="s">
        <v>2644</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43" t="s">
        <v>2560</v>
      </c>
      <c r="I306" s="2344"/>
      <c r="J306" s="2344"/>
      <c r="K306" s="2344"/>
      <c r="L306" s="2344"/>
      <c r="M306" s="2344"/>
      <c r="N306" s="7" t="s">
        <v>212</v>
      </c>
      <c r="O306" s="7"/>
      <c r="P306" s="2345"/>
      <c r="Q306" s="2345"/>
      <c r="R306" s="2345"/>
      <c r="S306" s="58"/>
      <c r="T306" s="58" t="s">
        <v>93</v>
      </c>
      <c r="V306" s="58"/>
      <c r="W306" s="58"/>
      <c r="X306" s="58"/>
      <c r="Y306" s="58"/>
      <c r="AA306" s="2343" t="s">
        <v>2645</v>
      </c>
      <c r="AB306" s="2344"/>
      <c r="AC306" s="2344"/>
      <c r="AD306" s="2344"/>
      <c r="AE306" s="2344"/>
      <c r="AF306" s="2344"/>
      <c r="AG306" s="7" t="s">
        <v>212</v>
      </c>
      <c r="AH306" s="7"/>
      <c r="AI306" s="2345"/>
      <c r="AJ306" s="2345"/>
      <c r="AK306" s="2345"/>
      <c r="BN306" s="61"/>
    </row>
    <row r="307" spans="2:66" ht="12.9">
      <c r="B307" s="58" t="s">
        <v>94</v>
      </c>
      <c r="C307" s="58"/>
      <c r="D307" s="58"/>
      <c r="E307" s="58"/>
      <c r="F307" s="58"/>
      <c r="G307" s="58"/>
      <c r="H307" s="2318" t="s">
        <v>2561</v>
      </c>
      <c r="I307" s="2064"/>
      <c r="J307" s="2064"/>
      <c r="K307" s="2064"/>
      <c r="L307" s="2064"/>
      <c r="M307" s="2064"/>
      <c r="N307" s="60"/>
      <c r="O307" s="60"/>
      <c r="P307" s="62"/>
      <c r="Q307" s="62"/>
      <c r="R307" s="62"/>
      <c r="S307" s="58"/>
      <c r="T307" s="58" t="s">
        <v>94</v>
      </c>
      <c r="V307" s="58"/>
      <c r="W307" s="58"/>
      <c r="X307" s="58"/>
      <c r="Y307" s="58"/>
      <c r="AA307" s="2318" t="s">
        <v>2646</v>
      </c>
      <c r="AB307" s="2064"/>
      <c r="AC307" s="2064"/>
      <c r="AD307" s="2064"/>
      <c r="AE307" s="2064"/>
      <c r="AF307" s="2064"/>
      <c r="AG307" s="60"/>
      <c r="AH307" s="60"/>
      <c r="AI307" s="62"/>
      <c r="AJ307" s="62"/>
      <c r="AK307" s="62"/>
      <c r="BN307" s="61"/>
    </row>
    <row r="308" spans="2:66" ht="12.9">
      <c r="B308" s="58" t="s">
        <v>80</v>
      </c>
      <c r="C308" s="58"/>
      <c r="D308" s="58"/>
      <c r="E308" s="58"/>
      <c r="F308" s="58"/>
      <c r="G308" s="58"/>
      <c r="H308" s="2033" t="s">
        <v>2562</v>
      </c>
      <c r="I308" s="2033"/>
      <c r="J308" s="2033"/>
      <c r="K308" s="2033"/>
      <c r="L308" s="2033"/>
      <c r="M308" s="2033"/>
      <c r="N308" s="2040"/>
      <c r="O308" s="2040"/>
      <c r="P308" s="2040"/>
      <c r="Q308" s="2040"/>
      <c r="R308" s="2040"/>
      <c r="S308" s="58"/>
      <c r="T308" s="58" t="s">
        <v>80</v>
      </c>
      <c r="V308" s="58"/>
      <c r="W308" s="58"/>
      <c r="X308" s="58"/>
      <c r="Y308" s="58"/>
      <c r="AA308" s="2033" t="s">
        <v>2647</v>
      </c>
      <c r="AB308" s="2033"/>
      <c r="AC308" s="2033"/>
      <c r="AD308" s="2033"/>
      <c r="AE308" s="2033"/>
      <c r="AF308" s="2033"/>
      <c r="AG308" s="2040"/>
      <c r="AH308" s="2040"/>
      <c r="AI308" s="2040"/>
      <c r="AJ308" s="2040"/>
      <c r="AK308" s="2040"/>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40" t="s">
        <v>2556</v>
      </c>
      <c r="I310" s="2040"/>
      <c r="J310" s="2040"/>
      <c r="K310" s="2040"/>
      <c r="L310" s="2040"/>
      <c r="M310" s="2040"/>
      <c r="N310" s="2040"/>
      <c r="O310" s="2040"/>
      <c r="P310" s="2040"/>
      <c r="Q310" s="2040"/>
      <c r="R310" s="2040"/>
      <c r="S310" s="58"/>
      <c r="T310" s="58" t="s">
        <v>375</v>
      </c>
      <c r="V310" s="58"/>
      <c r="W310" s="58"/>
      <c r="X310" s="58"/>
      <c r="Y310" s="58"/>
      <c r="AA310" s="2040" t="s">
        <v>2563</v>
      </c>
      <c r="AB310" s="2040"/>
      <c r="AC310" s="2040"/>
      <c r="AD310" s="2040"/>
      <c r="AE310" s="2040"/>
      <c r="AF310" s="2040"/>
      <c r="AG310" s="2040"/>
      <c r="AH310" s="2040"/>
      <c r="AI310" s="2040"/>
      <c r="AJ310" s="2040"/>
      <c r="AK310" s="2040"/>
      <c r="BN310" s="61"/>
    </row>
    <row r="311" spans="2:66" ht="12.9">
      <c r="B311" s="58" t="s">
        <v>503</v>
      </c>
      <c r="C311" s="58"/>
      <c r="D311" s="58"/>
      <c r="E311" s="58"/>
      <c r="F311" s="58"/>
      <c r="H311" s="2033" t="s">
        <v>2557</v>
      </c>
      <c r="I311" s="2033"/>
      <c r="J311" s="2033"/>
      <c r="K311" s="2033"/>
      <c r="L311" s="2033"/>
      <c r="M311" s="2033"/>
      <c r="N311" s="2033"/>
      <c r="O311" s="2033"/>
      <c r="P311" s="2033"/>
      <c r="Q311" s="2033"/>
      <c r="R311" s="2033"/>
      <c r="S311" s="58"/>
      <c r="T311" s="58" t="s">
        <v>503</v>
      </c>
      <c r="V311" s="58"/>
      <c r="W311" s="58"/>
      <c r="X311" s="58"/>
      <c r="Y311" s="58"/>
      <c r="AA311" s="2033" t="s">
        <v>2564</v>
      </c>
      <c r="AB311" s="2033"/>
      <c r="AC311" s="2033"/>
      <c r="AD311" s="2033"/>
      <c r="AE311" s="2033"/>
      <c r="AF311" s="2033"/>
      <c r="AG311" s="2033"/>
      <c r="AH311" s="2033"/>
      <c r="AI311" s="2033"/>
      <c r="AJ311" s="2033"/>
      <c r="AK311" s="2033"/>
      <c r="BN311" s="61"/>
    </row>
    <row r="312" spans="2:66" ht="12.8" customHeight="1">
      <c r="B312" s="58" t="s">
        <v>504</v>
      </c>
      <c r="C312" s="58"/>
      <c r="D312" s="58"/>
      <c r="E312" s="58"/>
      <c r="F312" s="58"/>
      <c r="H312" s="2033" t="s">
        <v>2558</v>
      </c>
      <c r="I312" s="2033"/>
      <c r="J312" s="2033"/>
      <c r="K312" s="2033"/>
      <c r="L312" s="2033"/>
      <c r="M312" s="2033"/>
      <c r="N312" s="2033"/>
      <c r="O312" s="2033"/>
      <c r="P312" s="2033"/>
      <c r="Q312" s="2033"/>
      <c r="R312" s="2033"/>
      <c r="S312" s="58"/>
      <c r="T312" s="58" t="s">
        <v>79</v>
      </c>
      <c r="V312" s="58"/>
      <c r="W312" s="58"/>
      <c r="X312" s="58"/>
      <c r="Y312" s="58"/>
      <c r="AA312" s="2033" t="s">
        <v>2566</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2559</v>
      </c>
      <c r="I313" s="2033"/>
      <c r="J313" s="2033"/>
      <c r="K313" s="2033"/>
      <c r="L313" s="2033"/>
      <c r="M313" s="2033"/>
      <c r="N313" s="2033"/>
      <c r="O313" s="2033"/>
      <c r="P313" s="2033"/>
      <c r="Q313" s="2033"/>
      <c r="R313" s="2033"/>
      <c r="S313" s="58"/>
      <c r="T313" s="58" t="s">
        <v>92</v>
      </c>
      <c r="V313" s="58"/>
      <c r="W313" s="58"/>
      <c r="X313" s="58"/>
      <c r="Y313" s="58"/>
      <c r="AA313" s="2033" t="s">
        <v>2565</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43" t="s">
        <v>2560</v>
      </c>
      <c r="I314" s="2344"/>
      <c r="J314" s="2344"/>
      <c r="K314" s="2344"/>
      <c r="L314" s="2344"/>
      <c r="M314" s="2344"/>
      <c r="N314" s="7" t="s">
        <v>212</v>
      </c>
      <c r="O314" s="7"/>
      <c r="P314" s="2345"/>
      <c r="Q314" s="2345"/>
      <c r="R314" s="2345"/>
      <c r="S314" s="58"/>
      <c r="T314" s="58" t="s">
        <v>93</v>
      </c>
      <c r="V314" s="58"/>
      <c r="W314" s="58"/>
      <c r="X314" s="58"/>
      <c r="Y314" s="58"/>
      <c r="AA314" s="2343" t="s">
        <v>2567</v>
      </c>
      <c r="AB314" s="2344"/>
      <c r="AC314" s="2344"/>
      <c r="AD314" s="2344"/>
      <c r="AE314" s="2344"/>
      <c r="AF314" s="2344"/>
      <c r="AG314" s="7" t="s">
        <v>212</v>
      </c>
      <c r="AH314" s="7"/>
      <c r="AI314" s="2345"/>
      <c r="AJ314" s="2345"/>
      <c r="AK314" s="2345"/>
      <c r="BN314" s="61"/>
    </row>
    <row r="315" spans="2:66" ht="12.9">
      <c r="B315" s="58" t="s">
        <v>94</v>
      </c>
      <c r="C315" s="58"/>
      <c r="D315" s="58"/>
      <c r="E315" s="58"/>
      <c r="F315" s="58"/>
      <c r="G315" s="58"/>
      <c r="H315" s="2318" t="s">
        <v>2561</v>
      </c>
      <c r="I315" s="2064"/>
      <c r="J315" s="2064"/>
      <c r="K315" s="2064"/>
      <c r="L315" s="2064"/>
      <c r="M315" s="2064"/>
      <c r="N315" s="60"/>
      <c r="O315" s="60"/>
      <c r="P315" s="62"/>
      <c r="Q315" s="62"/>
      <c r="R315" s="62"/>
      <c r="S315" s="58"/>
      <c r="T315" s="58" t="s">
        <v>94</v>
      </c>
      <c r="V315" s="58"/>
      <c r="W315" s="58"/>
      <c r="X315" s="58"/>
      <c r="Y315" s="58"/>
      <c r="AA315" s="2318" t="s">
        <v>2568</v>
      </c>
      <c r="AB315" s="2064"/>
      <c r="AC315" s="2064"/>
      <c r="AD315" s="2064"/>
      <c r="AE315" s="2064"/>
      <c r="AF315" s="2064"/>
      <c r="AG315" s="60"/>
      <c r="AH315" s="60"/>
      <c r="AI315" s="62"/>
      <c r="AJ315" s="62"/>
      <c r="AK315" s="62"/>
      <c r="BN315" s="61"/>
    </row>
    <row r="316" spans="2:66" ht="12.9">
      <c r="B316" s="58" t="s">
        <v>80</v>
      </c>
      <c r="C316" s="58"/>
      <c r="D316" s="58"/>
      <c r="E316" s="58"/>
      <c r="F316" s="58"/>
      <c r="G316" s="58"/>
      <c r="H316" s="2033" t="s">
        <v>2562</v>
      </c>
      <c r="I316" s="2033"/>
      <c r="J316" s="2033"/>
      <c r="K316" s="2033"/>
      <c r="L316" s="2033"/>
      <c r="M316" s="2033"/>
      <c r="N316" s="2040"/>
      <c r="O316" s="2040"/>
      <c r="P316" s="2040"/>
      <c r="Q316" s="2040"/>
      <c r="R316" s="2040"/>
      <c r="S316" s="58"/>
      <c r="T316" s="58" t="s">
        <v>80</v>
      </c>
      <c r="V316" s="58"/>
      <c r="W316" s="58"/>
      <c r="X316" s="58"/>
      <c r="Y316" s="58"/>
      <c r="AA316" s="2033" t="s">
        <v>2569</v>
      </c>
      <c r="AB316" s="2033"/>
      <c r="AC316" s="2033"/>
      <c r="AD316" s="2033"/>
      <c r="AE316" s="2033"/>
      <c r="AF316" s="2033"/>
      <c r="AG316" s="2040"/>
      <c r="AH316" s="2040"/>
      <c r="AI316" s="2040"/>
      <c r="AJ316" s="2040"/>
      <c r="AK316" s="2040"/>
      <c r="BN316" s="61"/>
    </row>
    <row r="317" spans="2:66" ht="12.9">
      <c r="BN317" s="61"/>
    </row>
    <row r="318" spans="2:66" ht="12.9">
      <c r="B318" s="7" t="s">
        <v>976</v>
      </c>
      <c r="C318" s="58"/>
      <c r="D318" s="58"/>
      <c r="E318" s="58"/>
      <c r="F318" s="58"/>
      <c r="H318" s="2040" t="s">
        <v>2519</v>
      </c>
      <c r="I318" s="2040"/>
      <c r="J318" s="2040"/>
      <c r="K318" s="2040"/>
      <c r="L318" s="2040"/>
      <c r="M318" s="2040"/>
      <c r="N318" s="2040"/>
      <c r="O318" s="2040"/>
      <c r="P318" s="2040"/>
      <c r="Q318" s="2040"/>
      <c r="R318" s="2040"/>
      <c r="T318" s="58" t="s">
        <v>376</v>
      </c>
      <c r="V318" s="58"/>
      <c r="W318" s="58"/>
      <c r="X318" s="58"/>
      <c r="Y318" s="58"/>
      <c r="AA318" s="2040" t="s">
        <v>2570</v>
      </c>
      <c r="AB318" s="2040"/>
      <c r="AC318" s="2040"/>
      <c r="AD318" s="2040"/>
      <c r="AE318" s="2040"/>
      <c r="AF318" s="2040"/>
      <c r="AG318" s="2040"/>
      <c r="AH318" s="2040"/>
      <c r="AI318" s="2040"/>
      <c r="AJ318" s="2040"/>
      <c r="AK318" s="2040"/>
      <c r="BN318" s="61"/>
    </row>
    <row r="319" spans="2:66" ht="12.9">
      <c r="B319" s="58" t="s">
        <v>503</v>
      </c>
      <c r="C319" s="58"/>
      <c r="D319" s="58"/>
      <c r="E319" s="58"/>
      <c r="F319" s="58"/>
      <c r="H319" s="2033"/>
      <c r="I319" s="2033"/>
      <c r="J319" s="2033"/>
      <c r="K319" s="2033"/>
      <c r="L319" s="2033"/>
      <c r="M319" s="2033"/>
      <c r="N319" s="2033"/>
      <c r="O319" s="2033"/>
      <c r="P319" s="2033"/>
      <c r="Q319" s="2033"/>
      <c r="R319" s="2033"/>
      <c r="T319" s="58" t="s">
        <v>503</v>
      </c>
      <c r="V319" s="58"/>
      <c r="W319" s="58"/>
      <c r="X319" s="58"/>
      <c r="Y319" s="58"/>
      <c r="AA319" s="2033" t="s">
        <v>2571</v>
      </c>
      <c r="AB319" s="2033"/>
      <c r="AC319" s="2033"/>
      <c r="AD319" s="2033"/>
      <c r="AE319" s="2033"/>
      <c r="AF319" s="2033"/>
      <c r="AG319" s="2033"/>
      <c r="AH319" s="2033"/>
      <c r="AI319" s="2033"/>
      <c r="AJ319" s="2033"/>
      <c r="AK319" s="2033"/>
      <c r="BN319" s="61"/>
    </row>
    <row r="320" spans="2:66" ht="12.9">
      <c r="B320" s="58" t="s">
        <v>504</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2572</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2573</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44"/>
      <c r="I322" s="2344"/>
      <c r="J322" s="2344"/>
      <c r="K322" s="2344"/>
      <c r="L322" s="2344"/>
      <c r="M322" s="2344"/>
      <c r="N322" s="7" t="s">
        <v>212</v>
      </c>
      <c r="O322" s="7"/>
      <c r="P322" s="2345"/>
      <c r="Q322" s="2345"/>
      <c r="R322" s="2345"/>
      <c r="S322" s="58"/>
      <c r="T322" s="58" t="s">
        <v>93</v>
      </c>
      <c r="V322" s="58"/>
      <c r="W322" s="58"/>
      <c r="X322" s="58"/>
      <c r="Y322" s="58"/>
      <c r="AA322" s="2343" t="s">
        <v>2574</v>
      </c>
      <c r="AB322" s="2344"/>
      <c r="AC322" s="2344"/>
      <c r="AD322" s="2344"/>
      <c r="AE322" s="2344"/>
      <c r="AF322" s="2344"/>
      <c r="AG322" s="7" t="s">
        <v>212</v>
      </c>
      <c r="AH322" s="7"/>
      <c r="AI322" s="2345"/>
      <c r="AJ322" s="2345"/>
      <c r="AK322" s="2345"/>
      <c r="AL322" s="39"/>
      <c r="BN322" s="61"/>
    </row>
    <row r="323" spans="1:66" ht="12.8"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40"/>
      <c r="O324" s="2040"/>
      <c r="P324" s="2040"/>
      <c r="Q324" s="2040"/>
      <c r="R324" s="2040"/>
      <c r="S324" s="58"/>
      <c r="T324" s="58" t="s">
        <v>80</v>
      </c>
      <c r="V324" s="58"/>
      <c r="W324" s="58"/>
      <c r="X324" s="58"/>
      <c r="Y324" s="58"/>
      <c r="AA324" s="2033" t="s">
        <v>2575</v>
      </c>
      <c r="AB324" s="2033"/>
      <c r="AC324" s="2033"/>
      <c r="AD324" s="2033"/>
      <c r="AE324" s="2033"/>
      <c r="AF324" s="2033"/>
      <c r="AG324" s="2040"/>
      <c r="AH324" s="2040"/>
      <c r="AI324" s="2040"/>
      <c r="AJ324" s="2040"/>
      <c r="AK324" s="2040"/>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40" t="s">
        <v>2570</v>
      </c>
      <c r="I326" s="2040"/>
      <c r="J326" s="2040"/>
      <c r="K326" s="2040"/>
      <c r="L326" s="2040"/>
      <c r="M326" s="2040"/>
      <c r="N326" s="2040"/>
      <c r="O326" s="2040"/>
      <c r="P326" s="2040"/>
      <c r="Q326" s="2040"/>
      <c r="R326" s="2040"/>
      <c r="T326" s="58" t="s">
        <v>378</v>
      </c>
      <c r="V326" s="58"/>
      <c r="W326" s="58"/>
      <c r="X326" s="58"/>
      <c r="Y326" s="58"/>
      <c r="AA326" s="2040" t="s">
        <v>2519</v>
      </c>
      <c r="AB326" s="2040"/>
      <c r="AC326" s="2040"/>
      <c r="AD326" s="2040"/>
      <c r="AE326" s="2040"/>
      <c r="AF326" s="2040"/>
      <c r="AG326" s="2040"/>
      <c r="AH326" s="2040"/>
      <c r="AI326" s="2040"/>
      <c r="AJ326" s="2040"/>
      <c r="AK326" s="2040"/>
      <c r="AL326" s="39"/>
    </row>
    <row r="327" spans="1:66" ht="12.9">
      <c r="A327" s="39"/>
      <c r="B327" s="58" t="s">
        <v>503</v>
      </c>
      <c r="C327" s="58"/>
      <c r="D327" s="58"/>
      <c r="E327" s="58"/>
      <c r="F327" s="58"/>
      <c r="H327" s="2033" t="s">
        <v>2571</v>
      </c>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504</v>
      </c>
      <c r="C328" s="58"/>
      <c r="D328" s="58"/>
      <c r="E328" s="58"/>
      <c r="F328" s="58"/>
      <c r="H328" s="2033" t="s">
        <v>2572</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t="s">
        <v>2573</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43" t="s">
        <v>2574</v>
      </c>
      <c r="I330" s="2344"/>
      <c r="J330" s="2344"/>
      <c r="K330" s="2344"/>
      <c r="L330" s="2344"/>
      <c r="M330" s="2344"/>
      <c r="N330" s="7" t="s">
        <v>212</v>
      </c>
      <c r="O330" s="7"/>
      <c r="P330" s="2345"/>
      <c r="Q330" s="2345"/>
      <c r="R330" s="2345"/>
      <c r="S330" s="58"/>
      <c r="T330" s="58" t="s">
        <v>93</v>
      </c>
      <c r="V330" s="58"/>
      <c r="W330" s="58"/>
      <c r="X330" s="58"/>
      <c r="Y330" s="58"/>
      <c r="AA330" s="2344"/>
      <c r="AB330" s="2344"/>
      <c r="AC330" s="2344"/>
      <c r="AD330" s="2344"/>
      <c r="AE330" s="2344"/>
      <c r="AF330" s="2344"/>
      <c r="AG330" s="7" t="s">
        <v>212</v>
      </c>
      <c r="AH330" s="7"/>
      <c r="AI330" s="2345"/>
      <c r="AJ330" s="2345"/>
      <c r="AK330" s="2345"/>
      <c r="AL330" s="39"/>
    </row>
    <row r="331" spans="1:66" ht="12.9">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9">
      <c r="A332" s="39"/>
      <c r="B332" s="58" t="s">
        <v>80</v>
      </c>
      <c r="C332" s="58"/>
      <c r="D332" s="58"/>
      <c r="E332" s="58"/>
      <c r="F332" s="58"/>
      <c r="G332" s="58"/>
      <c r="H332" s="2033" t="s">
        <v>2575</v>
      </c>
      <c r="I332" s="2033"/>
      <c r="J332" s="2033"/>
      <c r="K332" s="2033"/>
      <c r="L332" s="2033"/>
      <c r="M332" s="2033"/>
      <c r="N332" s="2040"/>
      <c r="O332" s="2040"/>
      <c r="P332" s="2040"/>
      <c r="Q332" s="2040"/>
      <c r="R332" s="2040"/>
      <c r="S332" s="58"/>
      <c r="T332" s="58" t="s">
        <v>80</v>
      </c>
      <c r="V332" s="58"/>
      <c r="W332" s="58"/>
      <c r="X332" s="58"/>
      <c r="Y332" s="58"/>
      <c r="AA332" s="2033"/>
      <c r="AB332" s="2033"/>
      <c r="AC332" s="2033"/>
      <c r="AD332" s="2033"/>
      <c r="AE332" s="2033"/>
      <c r="AF332" s="2033"/>
      <c r="AG332" s="2040"/>
      <c r="AH332" s="2040"/>
      <c r="AI332" s="2040"/>
      <c r="AJ332" s="2040"/>
      <c r="AK332" s="2040"/>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40" t="s">
        <v>2576</v>
      </c>
      <c r="I334" s="2040"/>
      <c r="J334" s="2040"/>
      <c r="K334" s="2040"/>
      <c r="L334" s="2040"/>
      <c r="M334" s="2040"/>
      <c r="N334" s="2040"/>
      <c r="O334" s="2040"/>
      <c r="P334" s="2040"/>
      <c r="Q334" s="2040"/>
      <c r="R334" s="2040"/>
      <c r="T334" s="405" t="s">
        <v>951</v>
      </c>
      <c r="V334" s="58"/>
      <c r="W334" s="58"/>
      <c r="X334" s="58"/>
      <c r="Y334" s="58"/>
      <c r="AA334" s="2040" t="s">
        <v>2577</v>
      </c>
      <c r="AB334" s="2040"/>
      <c r="AC334" s="2040"/>
      <c r="AD334" s="2040"/>
      <c r="AE334" s="2040"/>
      <c r="AF334" s="2040"/>
      <c r="AG334" s="2040"/>
      <c r="AH334" s="2040"/>
      <c r="AI334" s="2040"/>
      <c r="AJ334" s="2040"/>
      <c r="AK334" s="2040"/>
      <c r="AL334" s="39"/>
    </row>
    <row r="335" spans="1:66" ht="12.8" customHeight="1">
      <c r="B335" s="58" t="s">
        <v>503</v>
      </c>
      <c r="C335" s="240"/>
      <c r="D335" s="240"/>
      <c r="E335" s="240"/>
      <c r="F335" s="240"/>
      <c r="G335" s="3"/>
      <c r="H335" s="2033" t="s">
        <v>2578</v>
      </c>
      <c r="I335" s="2033"/>
      <c r="J335" s="2033"/>
      <c r="K335" s="2033"/>
      <c r="L335" s="2033"/>
      <c r="M335" s="2033"/>
      <c r="N335" s="2033"/>
      <c r="O335" s="2033"/>
      <c r="P335" s="2033"/>
      <c r="Q335" s="2033"/>
      <c r="R335" s="2033"/>
      <c r="T335" s="58" t="s">
        <v>503</v>
      </c>
      <c r="V335" s="58"/>
      <c r="W335" s="58"/>
      <c r="X335" s="58"/>
      <c r="Y335" s="58"/>
      <c r="AA335" s="2033" t="s">
        <v>2579</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2580</v>
      </c>
      <c r="I336" s="2033"/>
      <c r="J336" s="2033"/>
      <c r="K336" s="2033"/>
      <c r="L336" s="2033"/>
      <c r="M336" s="2033"/>
      <c r="N336" s="2033"/>
      <c r="O336" s="2033"/>
      <c r="P336" s="2033"/>
      <c r="Q336" s="2033"/>
      <c r="R336" s="2033"/>
      <c r="T336" s="58" t="s">
        <v>79</v>
      </c>
      <c r="V336" s="58"/>
      <c r="W336" s="58"/>
      <c r="X336" s="58"/>
      <c r="Y336" s="58"/>
      <c r="AA336" s="2033" t="s">
        <v>2581</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2582</v>
      </c>
      <c r="I337" s="2033"/>
      <c r="J337" s="2033"/>
      <c r="K337" s="2033"/>
      <c r="L337" s="2033"/>
      <c r="M337" s="2033"/>
      <c r="N337" s="2033"/>
      <c r="O337" s="2033"/>
      <c r="P337" s="2033"/>
      <c r="Q337" s="2033"/>
      <c r="R337" s="2033"/>
      <c r="T337" s="58" t="s">
        <v>92</v>
      </c>
      <c r="V337" s="58"/>
      <c r="W337" s="58"/>
      <c r="X337" s="58"/>
      <c r="Y337" s="58"/>
      <c r="AA337" s="2033" t="s">
        <v>2583</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43" t="s">
        <v>2584</v>
      </c>
      <c r="I338" s="2344"/>
      <c r="J338" s="2344"/>
      <c r="K338" s="2344"/>
      <c r="L338" s="2344"/>
      <c r="M338" s="2344"/>
      <c r="N338" s="7" t="s">
        <v>212</v>
      </c>
      <c r="O338" s="7"/>
      <c r="P338" s="2345"/>
      <c r="Q338" s="2345"/>
      <c r="R338" s="2345"/>
      <c r="S338" s="58"/>
      <c r="T338" s="58" t="s">
        <v>93</v>
      </c>
      <c r="V338" s="58"/>
      <c r="W338" s="58"/>
      <c r="X338" s="58"/>
      <c r="Y338" s="58"/>
      <c r="AA338" s="2343" t="s">
        <v>2585</v>
      </c>
      <c r="AB338" s="2344"/>
      <c r="AC338" s="2344"/>
      <c r="AD338" s="2344"/>
      <c r="AE338" s="2344"/>
      <c r="AF338" s="2344"/>
      <c r="AG338" s="7" t="s">
        <v>212</v>
      </c>
      <c r="AH338" s="7"/>
      <c r="AI338" s="2345"/>
      <c r="AJ338" s="2345"/>
      <c r="AK338" s="2345"/>
      <c r="AL338" s="39"/>
    </row>
    <row r="339" spans="1:66" ht="12.9">
      <c r="A339" s="39"/>
      <c r="B339" s="58" t="s">
        <v>94</v>
      </c>
      <c r="C339" s="240"/>
      <c r="D339" s="240"/>
      <c r="E339" s="240"/>
      <c r="F339" s="240"/>
      <c r="G339" s="240"/>
      <c r="H339" s="2318" t="s">
        <v>2586</v>
      </c>
      <c r="I339" s="2064"/>
      <c r="J339" s="2064"/>
      <c r="K339" s="2064"/>
      <c r="L339" s="2064"/>
      <c r="M339" s="2064"/>
      <c r="N339" s="60"/>
      <c r="O339" s="60"/>
      <c r="P339" s="62"/>
      <c r="Q339" s="62"/>
      <c r="R339" s="62"/>
      <c r="S339" s="58"/>
      <c r="T339" s="58" t="s">
        <v>94</v>
      </c>
      <c r="V339" s="58"/>
      <c r="W339" s="58"/>
      <c r="X339" s="58"/>
      <c r="Y339" s="58"/>
      <c r="AA339" s="2318" t="s">
        <v>2587</v>
      </c>
      <c r="AB339" s="2064"/>
      <c r="AC339" s="2064"/>
      <c r="AD339" s="2064"/>
      <c r="AE339" s="2064"/>
      <c r="AF339" s="2064"/>
      <c r="AG339" s="60"/>
      <c r="AH339" s="60"/>
      <c r="AI339" s="62"/>
      <c r="AJ339" s="62"/>
      <c r="AK339" s="62"/>
      <c r="AL339" s="39"/>
    </row>
    <row r="340" spans="1:66" ht="12.9">
      <c r="A340" s="39"/>
      <c r="B340" s="58" t="s">
        <v>80</v>
      </c>
      <c r="C340" s="237"/>
      <c r="D340" s="237"/>
      <c r="E340" s="237"/>
      <c r="F340" s="237"/>
      <c r="G340" s="237"/>
      <c r="H340" s="2033" t="s">
        <v>2588</v>
      </c>
      <c r="I340" s="2033"/>
      <c r="J340" s="2033"/>
      <c r="K340" s="2033"/>
      <c r="L340" s="2033"/>
      <c r="M340" s="2033"/>
      <c r="N340" s="2040"/>
      <c r="O340" s="2040"/>
      <c r="P340" s="2040"/>
      <c r="Q340" s="2040"/>
      <c r="R340" s="2040"/>
      <c r="S340" s="58"/>
      <c r="T340" s="58" t="s">
        <v>80</v>
      </c>
      <c r="V340" s="58"/>
      <c r="W340" s="58"/>
      <c r="X340" s="58"/>
      <c r="Y340" s="58"/>
      <c r="AA340" s="2033" t="s">
        <v>2589</v>
      </c>
      <c r="AB340" s="2033"/>
      <c r="AC340" s="2033"/>
      <c r="AD340" s="2033"/>
      <c r="AE340" s="2033"/>
      <c r="AF340" s="2033"/>
      <c r="AG340" s="2040"/>
      <c r="AH340" s="2040"/>
      <c r="AI340" s="2040"/>
      <c r="AJ340" s="2040"/>
      <c r="AK340" s="2040"/>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40" t="s">
        <v>2519</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9">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9">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574</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839</v>
      </c>
      <c r="K353" s="25"/>
      <c r="L353" s="25"/>
    </row>
    <row r="354" spans="1:37" ht="12.8" customHeight="1">
      <c r="D354" s="12" t="s">
        <v>379</v>
      </c>
      <c r="M354" s="2031" t="s">
        <v>577</v>
      </c>
      <c r="N354" s="2031"/>
      <c r="P354" s="12" t="s">
        <v>2002</v>
      </c>
      <c r="AJ354" s="2031" t="s">
        <v>705</v>
      </c>
      <c r="AK354" s="2031"/>
    </row>
    <row r="355" spans="1:37" ht="12.8" customHeight="1">
      <c r="D355" s="58" t="s">
        <v>1991</v>
      </c>
      <c r="M355" s="2031" t="s">
        <v>625</v>
      </c>
      <c r="N355" s="2031"/>
      <c r="P355" s="58" t="s">
        <v>2216</v>
      </c>
      <c r="AJ355" s="2042" t="s">
        <v>625</v>
      </c>
      <c r="AK355" s="2042"/>
    </row>
    <row r="356" spans="1:37" ht="12.8" customHeight="1">
      <c r="D356" s="12" t="s">
        <v>744</v>
      </c>
      <c r="M356" s="2031" t="s">
        <v>625</v>
      </c>
      <c r="N356" s="2031"/>
      <c r="P356" s="719" t="s">
        <v>2001</v>
      </c>
      <c r="AJ356" s="2031" t="s">
        <v>625</v>
      </c>
      <c r="AK356" s="2031"/>
    </row>
    <row r="357" spans="1:37" ht="12.8" customHeight="1">
      <c r="D357" s="12" t="s">
        <v>745</v>
      </c>
      <c r="M357" s="2031" t="s">
        <v>625</v>
      </c>
      <c r="N357" s="2031"/>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8" customHeight="1">
      <c r="E363" s="12" t="s">
        <v>381</v>
      </c>
      <c r="Y363" s="2031" t="s">
        <v>625</v>
      </c>
      <c r="Z363" s="2031"/>
    </row>
    <row r="364" spans="1:37" ht="12.8" customHeight="1">
      <c r="D364" s="7" t="s">
        <v>1057</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8" t="s">
        <v>746</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8"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8" customHeight="1">
      <c r="E369" s="7" t="s">
        <v>478</v>
      </c>
      <c r="F369" s="7"/>
      <c r="G369" s="7"/>
      <c r="H369" s="7"/>
      <c r="I369" s="7"/>
      <c r="J369" s="7"/>
      <c r="K369" s="7"/>
      <c r="L369" s="7"/>
      <c r="N369" s="2342"/>
      <c r="O369" s="2342"/>
      <c r="P369" s="2342"/>
      <c r="Q369" s="2342"/>
      <c r="R369" s="7"/>
      <c r="U369" s="7" t="s">
        <v>479</v>
      </c>
      <c r="V369" s="7"/>
      <c r="W369" s="7"/>
      <c r="X369" s="7"/>
      <c r="Y369" s="7"/>
      <c r="Z369" s="7"/>
      <c r="AA369" s="7"/>
      <c r="AB369" s="7"/>
      <c r="AC369" s="2342"/>
      <c r="AD369" s="2342"/>
      <c r="AE369" s="2342"/>
      <c r="AF369" s="2342"/>
    </row>
    <row r="370" spans="1:36" ht="12.8" customHeight="1">
      <c r="E370" s="7" t="s">
        <v>480</v>
      </c>
      <c r="F370" s="7"/>
      <c r="G370" s="7"/>
      <c r="H370" s="7"/>
      <c r="I370" s="7"/>
      <c r="J370" s="7"/>
      <c r="K370" s="7"/>
      <c r="L370" s="7"/>
      <c r="N370" s="2342"/>
      <c r="O370" s="2342"/>
      <c r="P370" s="2342"/>
      <c r="Q370" s="2342"/>
      <c r="R370" s="7"/>
      <c r="U370" s="7" t="s">
        <v>0</v>
      </c>
      <c r="V370" s="7"/>
      <c r="W370" s="7"/>
      <c r="X370" s="7"/>
      <c r="Y370" s="7"/>
      <c r="Z370" s="7"/>
      <c r="AA370" s="7"/>
      <c r="AB370" s="7"/>
      <c r="AC370" s="2342"/>
      <c r="AD370" s="2342"/>
      <c r="AE370" s="2342"/>
      <c r="AF370" s="2342"/>
    </row>
    <row r="371" spans="1:36" ht="12.8" customHeight="1">
      <c r="E371" s="7" t="s">
        <v>1</v>
      </c>
      <c r="F371" s="7"/>
      <c r="G371" s="7"/>
      <c r="H371" s="7"/>
      <c r="I371" s="7"/>
      <c r="J371" s="7"/>
      <c r="K371" s="7"/>
      <c r="L371" s="7"/>
      <c r="N371" s="2342"/>
      <c r="O371" s="2342"/>
      <c r="P371" s="2342"/>
      <c r="Q371" s="2342"/>
      <c r="R371" s="7"/>
      <c r="V371" s="7"/>
      <c r="W371" s="7"/>
      <c r="X371" s="7"/>
      <c r="Y371" s="7"/>
      <c r="Z371" s="7"/>
      <c r="AA371" s="7"/>
      <c r="AB371" s="7"/>
    </row>
    <row r="372" spans="1:36" ht="12.8"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8"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313</v>
      </c>
      <c r="P376" s="25"/>
      <c r="Q376" s="25" t="s">
        <v>314</v>
      </c>
      <c r="S376" s="2430"/>
      <c r="T376" s="2430"/>
      <c r="U376" s="4" t="s">
        <v>315</v>
      </c>
      <c r="V376" s="2430"/>
      <c r="W376" s="2430"/>
      <c r="Y376" s="25" t="s">
        <v>313</v>
      </c>
      <c r="AA376" s="25"/>
      <c r="AB376" s="25" t="s">
        <v>314</v>
      </c>
      <c r="AD376" s="2430"/>
      <c r="AE376" s="2430"/>
      <c r="AF376" s="4" t="s">
        <v>315</v>
      </c>
      <c r="AG376" s="2430"/>
      <c r="AH376" s="2430"/>
    </row>
    <row r="377" spans="1:36" ht="12.8" customHeight="1">
      <c r="E377" s="7" t="s">
        <v>1088</v>
      </c>
      <c r="F377" s="7"/>
      <c r="G377" s="7"/>
      <c r="H377" s="7"/>
      <c r="I377" s="7"/>
      <c r="J377" s="7"/>
      <c r="K377" s="7"/>
      <c r="L377" s="7"/>
      <c r="N377" s="2430"/>
      <c r="O377" s="2430"/>
      <c r="P377" s="2430"/>
    </row>
    <row r="378" spans="1:36" ht="12.8" customHeight="1">
      <c r="E378" s="382" t="s">
        <v>1089</v>
      </c>
      <c r="F378" s="7"/>
      <c r="G378" s="7"/>
      <c r="H378" s="7"/>
      <c r="I378" s="7"/>
      <c r="J378" s="7"/>
      <c r="K378" s="7"/>
      <c r="L378" s="7"/>
      <c r="AG378" s="2429" t="s">
        <v>625</v>
      </c>
      <c r="AH378" s="2429"/>
    </row>
    <row r="379" spans="1:36" ht="12.8" customHeight="1">
      <c r="E379" s="7"/>
      <c r="F379" s="7"/>
      <c r="G379" s="7" t="s">
        <v>1110</v>
      </c>
      <c r="H379" s="7"/>
      <c r="I379" s="7"/>
      <c r="J379" s="7"/>
      <c r="K379" s="7"/>
      <c r="L379" s="7"/>
      <c r="AG379" s="2429" t="s">
        <v>625</v>
      </c>
      <c r="AH379" s="2429"/>
    </row>
    <row r="380" spans="1:36" ht="12.8" customHeight="1">
      <c r="E380" s="7"/>
      <c r="F380" s="7"/>
      <c r="G380" s="509" t="s">
        <v>1090</v>
      </c>
      <c r="H380" s="7"/>
      <c r="I380" s="7"/>
      <c r="J380" s="7"/>
      <c r="K380" s="7"/>
      <c r="L380" s="7"/>
      <c r="V380" s="2031" t="s">
        <v>625</v>
      </c>
      <c r="W380" s="2031"/>
      <c r="Y380" s="35" t="s">
        <v>1059</v>
      </c>
    </row>
    <row r="381" spans="1:36" ht="12.8" customHeight="1">
      <c r="E381" s="7" t="s">
        <v>1060</v>
      </c>
      <c r="F381" s="7"/>
      <c r="G381" s="7"/>
      <c r="H381" s="7"/>
      <c r="I381" s="7"/>
      <c r="J381" s="7"/>
      <c r="K381" s="7"/>
      <c r="L381" s="7"/>
      <c r="V381" s="2031" t="s">
        <v>625</v>
      </c>
      <c r="W381" s="2031"/>
      <c r="Y381" s="7" t="s">
        <v>1061</v>
      </c>
    </row>
    <row r="382" spans="1:36" ht="12.8" customHeight="1"/>
    <row r="383" spans="1:36" ht="12.8" customHeight="1">
      <c r="A383" s="50" t="s">
        <v>82</v>
      </c>
      <c r="B383" s="50"/>
    </row>
    <row r="384" spans="1:36" ht="12.8" customHeight="1">
      <c r="D384" s="12" t="s">
        <v>449</v>
      </c>
      <c r="J384" s="2040" t="s">
        <v>2623</v>
      </c>
      <c r="K384" s="2040"/>
      <c r="L384" s="2040"/>
      <c r="M384" s="2040"/>
      <c r="N384" s="2040"/>
      <c r="O384" s="2040"/>
      <c r="P384" s="2040"/>
      <c r="Q384" s="2040"/>
      <c r="R384" s="2040"/>
      <c r="S384" s="2040"/>
      <c r="T384" s="2040"/>
      <c r="U384" s="2040"/>
      <c r="V384" s="14" t="s">
        <v>88</v>
      </c>
      <c r="W384" s="14"/>
      <c r="X384" s="14"/>
      <c r="Y384" s="14"/>
      <c r="Z384" s="14"/>
      <c r="AA384" s="14"/>
      <c r="AB384" s="14"/>
      <c r="AC384" s="2040" t="s">
        <v>2624</v>
      </c>
      <c r="AD384" s="2040"/>
      <c r="AE384" s="2040"/>
      <c r="AF384" s="2040"/>
      <c r="AG384" s="2040"/>
      <c r="AH384" s="2040"/>
      <c r="AI384" s="2040"/>
      <c r="AJ384" s="2040"/>
    </row>
    <row r="385" spans="1:96" ht="12.8" customHeight="1">
      <c r="A385" s="719"/>
      <c r="B385" s="719"/>
      <c r="C385" s="719"/>
      <c r="D385" s="58" t="s">
        <v>1380</v>
      </c>
      <c r="E385" s="719"/>
      <c r="F385" s="719"/>
      <c r="G385" s="719"/>
      <c r="H385" s="719"/>
      <c r="I385" s="719"/>
      <c r="J385" s="2033" t="s">
        <v>2590</v>
      </c>
      <c r="K385" s="2033"/>
      <c r="L385" s="2033"/>
      <c r="M385" s="2033"/>
      <c r="N385" s="2033"/>
      <c r="O385" s="2033"/>
      <c r="P385" s="2033"/>
      <c r="Q385" s="2033"/>
      <c r="R385" s="2033"/>
      <c r="S385" s="2033"/>
      <c r="T385" s="2033"/>
      <c r="U385" s="2033"/>
      <c r="V385" s="58" t="s">
        <v>1380</v>
      </c>
      <c r="W385" s="14"/>
      <c r="X385" s="14"/>
      <c r="Y385" s="14"/>
      <c r="Z385" s="14"/>
      <c r="AA385" s="14"/>
      <c r="AB385" s="14"/>
      <c r="AC385" s="2040"/>
      <c r="AD385" s="2040"/>
      <c r="AE385" s="2040"/>
      <c r="AF385" s="2040"/>
      <c r="AG385" s="2040"/>
      <c r="AH385" s="2040"/>
      <c r="AI385" s="2040"/>
      <c r="AJ385" s="2040"/>
      <c r="AK385" s="719"/>
      <c r="AL385" s="719"/>
    </row>
    <row r="386" spans="1:96" ht="12.8" customHeight="1">
      <c r="A386" s="719"/>
      <c r="B386" s="719"/>
      <c r="C386" s="719"/>
      <c r="D386" s="58" t="s">
        <v>463</v>
      </c>
      <c r="E386" s="719"/>
      <c r="F386" s="719"/>
      <c r="G386" s="719"/>
      <c r="H386" s="719"/>
      <c r="I386" s="719"/>
      <c r="J386" s="2033" t="s">
        <v>2625</v>
      </c>
      <c r="K386" s="2033"/>
      <c r="L386" s="2033"/>
      <c r="M386" s="2033"/>
      <c r="N386" s="2033"/>
      <c r="O386" s="2033"/>
      <c r="P386" s="2033"/>
      <c r="Q386" s="2033"/>
      <c r="R386" s="2033"/>
      <c r="S386" s="2033"/>
      <c r="T386" s="2033"/>
      <c r="U386" s="2033"/>
      <c r="V386" s="58" t="s">
        <v>463</v>
      </c>
      <c r="W386" s="14"/>
      <c r="X386" s="14"/>
      <c r="Y386" s="14"/>
      <c r="Z386" s="14"/>
      <c r="AA386" s="14"/>
      <c r="AB386" s="14"/>
      <c r="AC386" s="2040"/>
      <c r="AD386" s="2040"/>
      <c r="AE386" s="2040"/>
      <c r="AF386" s="2040"/>
      <c r="AG386" s="2040"/>
      <c r="AH386" s="2040"/>
      <c r="AI386" s="2040"/>
      <c r="AJ386" s="2040"/>
      <c r="AK386" s="719"/>
      <c r="AL386" s="719"/>
    </row>
    <row r="387" spans="1:96" ht="12.8" customHeight="1">
      <c r="A387" s="719"/>
      <c r="B387" s="719"/>
      <c r="C387" s="719"/>
      <c r="D387" s="479" t="s">
        <v>1376</v>
      </c>
      <c r="E387" s="719"/>
      <c r="F387" s="719"/>
      <c r="G387" s="719"/>
      <c r="H387" s="719"/>
      <c r="I387" s="88"/>
      <c r="J387" s="2195" t="s">
        <v>2648</v>
      </c>
      <c r="K387" s="2195"/>
      <c r="L387" s="2195"/>
      <c r="M387" s="2195"/>
      <c r="N387" s="2195"/>
      <c r="O387" s="2195"/>
      <c r="P387" s="2195"/>
      <c r="Q387" s="2195"/>
      <c r="R387" s="2195"/>
      <c r="S387" s="2195"/>
      <c r="T387" s="2195"/>
      <c r="U387" s="2195"/>
      <c r="V387" s="2040" t="s">
        <v>2649</v>
      </c>
      <c r="W387" s="2040"/>
      <c r="X387" s="2040"/>
      <c r="Y387" s="2040"/>
      <c r="Z387" s="2040"/>
      <c r="AA387" s="2040"/>
      <c r="AB387" s="2040"/>
      <c r="AC387" s="2040"/>
      <c r="AD387" s="2040"/>
      <c r="AE387" s="2040"/>
      <c r="AF387" s="2040"/>
      <c r="AG387" s="2040"/>
      <c r="AH387" s="2040"/>
      <c r="AI387" s="2040"/>
      <c r="AJ387" s="2040"/>
      <c r="AK387" s="719"/>
      <c r="AL387" s="719"/>
    </row>
    <row r="388" spans="1:96" ht="12.8" customHeight="1">
      <c r="D388" s="12" t="s">
        <v>4</v>
      </c>
      <c r="Q388" s="2438">
        <v>44231</v>
      </c>
      <c r="R388" s="2438"/>
      <c r="S388" s="2438"/>
      <c r="T388" s="2438"/>
      <c r="U388" s="2438"/>
      <c r="V388" s="12" t="s">
        <v>318</v>
      </c>
      <c r="AI388" s="2031" t="s">
        <v>705</v>
      </c>
      <c r="AJ388" s="2031"/>
    </row>
    <row r="389" spans="1:96" ht="12.8" customHeight="1">
      <c r="D389" s="12" t="s">
        <v>5</v>
      </c>
      <c r="Q389" s="2189">
        <v>44713</v>
      </c>
      <c r="R389" s="2347"/>
      <c r="S389" s="2347"/>
      <c r="T389" s="2347"/>
      <c r="U389" s="2347"/>
      <c r="W389" s="33" t="s">
        <v>78</v>
      </c>
      <c r="AG389" s="2439"/>
      <c r="AH389" s="2439"/>
      <c r="AI389" s="2439"/>
      <c r="AJ389" s="2439"/>
    </row>
    <row r="390" spans="1:96" ht="12.8" customHeight="1">
      <c r="D390" s="12" t="s">
        <v>448</v>
      </c>
      <c r="Q390" s="2440">
        <v>650000</v>
      </c>
      <c r="R390" s="2440"/>
      <c r="S390" s="2440"/>
      <c r="T390" s="2440"/>
      <c r="U390" s="2440"/>
      <c r="V390" s="58" t="s">
        <v>1379</v>
      </c>
      <c r="AG390" s="2549">
        <v>44621</v>
      </c>
      <c r="AH390" s="2549"/>
      <c r="AI390" s="2549"/>
      <c r="AJ390" s="2549"/>
    </row>
    <row r="391" spans="1:96" ht="12.8" customHeight="1">
      <c r="D391" s="12" t="s">
        <v>93</v>
      </c>
      <c r="I391" s="2343" t="s">
        <v>2628</v>
      </c>
      <c r="J391" s="2344"/>
      <c r="K391" s="2344"/>
      <c r="L391" s="2344"/>
      <c r="M391" s="2344"/>
      <c r="N391" s="2344"/>
      <c r="Q391" s="57" t="s">
        <v>212</v>
      </c>
      <c r="S391" s="2437"/>
      <c r="T391" s="2437"/>
      <c r="U391" s="2437"/>
      <c r="V391" s="12" t="s">
        <v>77</v>
      </c>
      <c r="AI391" s="2031" t="s">
        <v>705</v>
      </c>
      <c r="AJ391" s="2031"/>
    </row>
    <row r="392" spans="1:96" ht="12.8" customHeight="1">
      <c r="D392" s="12" t="s">
        <v>319</v>
      </c>
      <c r="Q392" s="2186">
        <v>1.0000000000000001E-5</v>
      </c>
      <c r="R392" s="2186"/>
      <c r="S392" s="2186"/>
      <c r="T392" s="2186"/>
      <c r="U392" s="2186"/>
      <c r="V392" s="12" t="s">
        <v>320</v>
      </c>
      <c r="AG392" s="2439">
        <v>1.0000000000000001E-5</v>
      </c>
      <c r="AH392" s="2439"/>
      <c r="AI392" s="2439"/>
      <c r="AJ392" s="2439"/>
    </row>
    <row r="393" spans="1:96" ht="12.8" customHeight="1">
      <c r="D393" s="12" t="s">
        <v>321</v>
      </c>
      <c r="Q393" s="2491">
        <v>9.9999999999999995E-8</v>
      </c>
      <c r="R393" s="2491"/>
      <c r="S393" s="2491"/>
      <c r="T393" s="2491"/>
      <c r="U393" s="2491"/>
      <c r="V393" s="719" t="s">
        <v>1356</v>
      </c>
      <c r="AG393" s="2439"/>
      <c r="AH393" s="2439"/>
      <c r="AI393" s="2439"/>
      <c r="AJ393" s="2439"/>
    </row>
    <row r="394" spans="1:96" ht="12.9">
      <c r="D394" s="719" t="s">
        <v>1355</v>
      </c>
      <c r="V394" s="719"/>
      <c r="AG394" s="2439"/>
      <c r="AH394" s="2439"/>
      <c r="AI394" s="2439"/>
      <c r="AJ394" s="2439"/>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9">
      <c r="D397" s="58" t="s">
        <v>2022</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9">
      <c r="D398" s="58" t="s">
        <v>2021</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528" t="s">
        <v>705</v>
      </c>
      <c r="T400" s="2528"/>
      <c r="U400" s="2528"/>
      <c r="V400" s="479" t="s">
        <v>2015</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2011</v>
      </c>
      <c r="S401" s="2528" t="s">
        <v>625</v>
      </c>
      <c r="T401" s="2528"/>
      <c r="U401" s="2528"/>
      <c r="V401" s="479" t="s">
        <v>2017</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9">
      <c r="D402" s="58" t="s">
        <v>2013</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9">
      <c r="D403" s="58" t="s">
        <v>2016</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524"/>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9">
      <c r="D405" s="2523" t="s">
        <v>2018</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9">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306" t="s">
        <v>2650</v>
      </c>
      <c r="J409" s="2306"/>
      <c r="K409" s="2306"/>
      <c r="L409" s="2306"/>
      <c r="M409" s="2306"/>
      <c r="N409" s="2306"/>
      <c r="O409" s="2306"/>
      <c r="P409" s="2306"/>
      <c r="Q409" s="2306"/>
      <c r="R409" s="2306"/>
      <c r="S409" s="2306"/>
      <c r="T409" s="2306"/>
      <c r="U409" s="2306"/>
      <c r="V409" s="2306"/>
      <c r="W409" s="2306"/>
      <c r="X409" s="2306"/>
      <c r="Y409" s="2306"/>
      <c r="Z409" s="2306"/>
      <c r="AA409" s="2306"/>
      <c r="AB409" s="2306"/>
      <c r="AC409" s="2306"/>
      <c r="AD409" s="2306"/>
      <c r="AE409" s="2306"/>
    </row>
    <row r="410" spans="1:96" ht="12.8"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42">
        <v>4</v>
      </c>
      <c r="AE410" s="2342"/>
      <c r="AF410" s="719"/>
    </row>
    <row r="411" spans="1:96" ht="12.9">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42"/>
      <c r="AE411" s="2342"/>
      <c r="AF411" s="719"/>
    </row>
    <row r="412" spans="1:96" ht="12.8"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t="s">
        <v>2700</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624</v>
      </c>
      <c r="B416" s="50"/>
      <c r="C416" s="50"/>
      <c r="D416" s="50" t="s">
        <v>119</v>
      </c>
      <c r="AF416" s="50" t="s">
        <v>1035</v>
      </c>
    </row>
    <row r="417" spans="1:96" ht="12.8" customHeight="1">
      <c r="E417" s="2430"/>
      <c r="F417" s="2430"/>
      <c r="G417" s="2430"/>
      <c r="H417" s="23" t="s">
        <v>120</v>
      </c>
      <c r="I417" s="2430"/>
      <c r="J417" s="2430"/>
      <c r="K417" s="2430"/>
      <c r="L417" s="12" t="s">
        <v>121</v>
      </c>
      <c r="N417" s="141" t="s">
        <v>609</v>
      </c>
      <c r="P417" s="2436">
        <v>2.1800000000000002</v>
      </c>
      <c r="Q417" s="2436"/>
      <c r="R417" s="2436"/>
      <c r="S417" s="12" t="s">
        <v>122</v>
      </c>
      <c r="W417" s="2552">
        <f>IF(E417&gt;0,(E417*I417),(P417*43560))</f>
        <v>94960.8</v>
      </c>
      <c r="X417" s="2552"/>
      <c r="Y417" s="2552"/>
      <c r="Z417" s="12" t="s">
        <v>123</v>
      </c>
      <c r="AF417" s="2421">
        <f>IF(P417&gt;0,(AG436/P417),(AG436/(W417/43560)))</f>
        <v>37.155963302752291</v>
      </c>
      <c r="AG417" s="2421"/>
      <c r="AH417" s="2421"/>
      <c r="AM417" s="239"/>
    </row>
    <row r="418" spans="1:96" ht="12.9">
      <c r="E418" s="12" t="s">
        <v>54</v>
      </c>
    </row>
    <row r="419" spans="1:96" ht="12.8"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8" customHeight="1">
      <c r="E420" s="254" t="s">
        <v>2233</v>
      </c>
      <c r="F420" s="1807"/>
      <c r="G420" s="1807"/>
      <c r="H420" s="1807"/>
      <c r="I420" s="2346">
        <v>2.1800000000000002</v>
      </c>
      <c r="J420" s="2346"/>
      <c r="K420" s="2346"/>
      <c r="L420" s="1807"/>
      <c r="M420" s="254"/>
      <c r="N420" s="1807"/>
      <c r="O420" s="1807"/>
      <c r="P420" s="2317">
        <f>(CS637+CS645+CS661)/I420</f>
        <v>66.055045871559628</v>
      </c>
      <c r="Q420" s="2317"/>
      <c r="R420" s="2317"/>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2</v>
      </c>
      <c r="Q423" s="2031"/>
      <c r="S423" s="12" t="s">
        <v>195</v>
      </c>
      <c r="AE423" s="2031">
        <v>2</v>
      </c>
      <c r="AF423" s="2031"/>
    </row>
    <row r="424" spans="1:96" ht="12.9">
      <c r="E424" s="12" t="s">
        <v>196</v>
      </c>
      <c r="P424" s="2031"/>
      <c r="Q424" s="2031"/>
      <c r="S424" s="12" t="s">
        <v>136</v>
      </c>
      <c r="AE424" s="2031" t="s">
        <v>625</v>
      </c>
      <c r="AF424" s="2031"/>
    </row>
    <row r="425" spans="1:96" ht="12.9">
      <c r="F425" s="67" t="s">
        <v>137</v>
      </c>
    </row>
    <row r="426" spans="1:96" ht="12.9">
      <c r="F426" s="2462" t="s">
        <v>2651</v>
      </c>
      <c r="G426" s="2462"/>
      <c r="H426" s="2462"/>
      <c r="I426" s="2462"/>
      <c r="J426" s="2462"/>
      <c r="K426" s="2462"/>
      <c r="L426" s="2462"/>
      <c r="M426" s="2462"/>
      <c r="N426" s="2462"/>
      <c r="O426" s="2462"/>
      <c r="P426" s="2462"/>
      <c r="Q426" s="2462"/>
      <c r="R426" s="2462"/>
      <c r="S426" s="2462"/>
      <c r="T426" s="2462"/>
      <c r="U426" s="2462"/>
      <c r="V426" s="2462"/>
      <c r="W426" s="2462"/>
      <c r="X426" s="2462"/>
      <c r="Y426" s="2462"/>
      <c r="Z426" s="2462"/>
      <c r="AA426" s="2462"/>
      <c r="AB426" s="2462"/>
      <c r="AC426" s="2462"/>
      <c r="AD426" s="2462"/>
      <c r="AE426" s="2462"/>
      <c r="AF426" s="2462"/>
      <c r="AG426" s="2462"/>
      <c r="AH426" s="2462"/>
    </row>
    <row r="427" spans="1:96" ht="12.8" customHeight="1">
      <c r="F427" s="2463"/>
      <c r="G427" s="2463"/>
      <c r="H427" s="2463"/>
      <c r="I427" s="2463"/>
      <c r="J427" s="2463"/>
      <c r="K427" s="2463"/>
      <c r="L427" s="2463"/>
      <c r="M427" s="2463"/>
      <c r="N427" s="2463"/>
      <c r="O427" s="2463"/>
      <c r="P427" s="2463"/>
      <c r="Q427" s="2463"/>
      <c r="R427" s="2463"/>
      <c r="S427" s="2463"/>
      <c r="T427" s="2463"/>
      <c r="U427" s="2463"/>
      <c r="V427" s="2463"/>
      <c r="W427" s="2463"/>
      <c r="X427" s="2463"/>
      <c r="Y427" s="2463"/>
      <c r="Z427" s="2463"/>
      <c r="AA427" s="2463"/>
      <c r="AB427" s="2463"/>
      <c r="AC427" s="2463"/>
      <c r="AD427" s="2463"/>
      <c r="AE427" s="2463"/>
      <c r="AF427" s="2463"/>
      <c r="AG427" s="2463"/>
      <c r="AH427" s="2463"/>
    </row>
    <row r="428" spans="1:96" ht="12.8"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48"/>
    </row>
    <row r="430" spans="1:96" ht="12.8" customHeight="1">
      <c r="S430" s="25"/>
      <c r="T430" s="25"/>
    </row>
    <row r="431" spans="1:96" ht="12.8" customHeight="1">
      <c r="A431" s="50"/>
      <c r="B431" s="50"/>
      <c r="C431" s="50"/>
      <c r="E431" s="7" t="s">
        <v>317</v>
      </c>
      <c r="Z431" s="2031" t="s">
        <v>705</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8" customHeight="1"/>
    <row r="435" spans="1:110" ht="12.8" customHeight="1">
      <c r="A435" s="50" t="s">
        <v>499</v>
      </c>
      <c r="B435" s="50"/>
      <c r="C435" s="50"/>
      <c r="D435" s="50" t="s">
        <v>821</v>
      </c>
      <c r="AF435" s="80"/>
    </row>
    <row r="436" spans="1:110" ht="12.8" customHeight="1">
      <c r="D436" s="2254" t="s">
        <v>46</v>
      </c>
      <c r="E436" s="2255"/>
      <c r="F436" s="2255"/>
      <c r="G436" s="2255"/>
      <c r="H436" s="2255"/>
      <c r="I436" s="2255"/>
      <c r="J436" s="2255"/>
      <c r="K436" s="2255"/>
      <c r="L436" s="2255"/>
      <c r="M436" s="2255"/>
      <c r="N436" s="2255"/>
      <c r="O436" s="2255"/>
      <c r="P436" s="2255"/>
      <c r="Q436" s="2255"/>
      <c r="R436" s="2255"/>
      <c r="S436" s="2255"/>
      <c r="T436" s="2255"/>
      <c r="U436" s="2255"/>
      <c r="V436" s="2255"/>
      <c r="W436" s="2255"/>
      <c r="X436" s="2255"/>
      <c r="Y436" s="2255"/>
      <c r="Z436" s="2255"/>
      <c r="AA436" s="2255"/>
      <c r="AB436" s="2255"/>
      <c r="AC436" s="2255"/>
      <c r="AD436" s="2255"/>
      <c r="AE436" s="2255"/>
      <c r="AF436" s="2541"/>
      <c r="AG436" s="2518">
        <v>81</v>
      </c>
      <c r="AH436" s="2518"/>
      <c r="AI436" s="2518"/>
      <c r="AJ436" s="2518"/>
    </row>
    <row r="437" spans="1:110" ht="12.8" customHeight="1">
      <c r="D437" s="2486" t="s">
        <v>1435</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56"/>
      <c r="AH437" s="2282"/>
      <c r="AI437" s="2282"/>
      <c r="AJ437" s="2282"/>
    </row>
    <row r="438" spans="1:110" ht="12.8" customHeight="1">
      <c r="D438" s="2486" t="s">
        <v>1143</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518">
        <v>80</v>
      </c>
      <c r="AH438" s="2518"/>
      <c r="AI438" s="2518"/>
      <c r="AJ438" s="2518"/>
    </row>
    <row r="439" spans="1:110" ht="12.8" customHeight="1">
      <c r="D439" s="2486" t="s">
        <v>1144</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518">
        <v>80</v>
      </c>
      <c r="AH439" s="2518"/>
      <c r="AI439" s="2518"/>
      <c r="AJ439" s="2518"/>
    </row>
    <row r="440" spans="1:110" ht="12.8" customHeight="1">
      <c r="D440" s="2486" t="s">
        <v>1146</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519">
        <f>IF(ISERROR(AG439/AG438),"",AG439/AG438)</f>
        <v>1</v>
      </c>
      <c r="AH440" s="2519"/>
      <c r="AI440" s="2519"/>
      <c r="AJ440" s="2519"/>
    </row>
    <row r="441" spans="1:110" ht="12.8" customHeight="1">
      <c r="D441" s="2486" t="s">
        <v>1145</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22">
        <v>57410</v>
      </c>
      <c r="AH441" s="2422"/>
      <c r="AI441" s="2422"/>
      <c r="AJ441" s="2422"/>
    </row>
    <row r="442" spans="1:110" ht="12.8" customHeight="1">
      <c r="D442" s="2486" t="s">
        <v>1147</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22">
        <v>57410</v>
      </c>
      <c r="AH442" s="2422"/>
      <c r="AI442" s="2422"/>
      <c r="AJ442" s="2422"/>
    </row>
    <row r="443" spans="1:110" ht="12.8" customHeight="1">
      <c r="D443" s="2486" t="s">
        <v>1148</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519">
        <f>IF(ISERROR(AG442/AG441),"",AG442/AG441)</f>
        <v>1</v>
      </c>
      <c r="AH443" s="2519"/>
      <c r="AI443" s="2519"/>
      <c r="AJ443" s="2519"/>
    </row>
    <row r="444" spans="1:110" ht="12.8" customHeight="1">
      <c r="D444" s="2486" t="s">
        <v>1149</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519">
        <f>MIN(IF(AG440&gt;AG443,AG443,AG440),1)</f>
        <v>1</v>
      </c>
      <c r="AH444" s="2519"/>
      <c r="AI444" s="2519"/>
      <c r="AJ444" s="2519"/>
    </row>
    <row r="445" spans="1:110" ht="12.8" customHeight="1">
      <c r="D445" s="2486" t="s">
        <v>1410</v>
      </c>
      <c r="E445" s="2255"/>
      <c r="F445" s="2255"/>
      <c r="G445" s="2255"/>
      <c r="H445" s="2255"/>
      <c r="I445" s="2255"/>
      <c r="J445" s="2255"/>
      <c r="K445" s="2255"/>
      <c r="L445" s="2255"/>
      <c r="M445" s="2255"/>
      <c r="N445" s="2255"/>
      <c r="O445" s="2255"/>
      <c r="P445" s="2255"/>
      <c r="Q445" s="2255"/>
      <c r="R445" s="2255"/>
      <c r="S445" s="2255"/>
      <c r="T445" s="2255"/>
      <c r="U445" s="2255"/>
      <c r="V445" s="2255"/>
      <c r="W445" s="2255"/>
      <c r="X445" s="2255"/>
      <c r="Y445" s="2255"/>
      <c r="Z445" s="2255"/>
      <c r="AA445" s="2255"/>
      <c r="AB445" s="2255"/>
      <c r="AC445" s="2255"/>
      <c r="AD445" s="2255"/>
      <c r="AE445" s="2255"/>
      <c r="AF445" s="2541"/>
      <c r="AG445" s="2422">
        <v>40603</v>
      </c>
      <c r="AH445" s="2422"/>
      <c r="AI445" s="2422"/>
      <c r="AJ445" s="2422"/>
    </row>
    <row r="446" spans="1:110" ht="12.8" customHeight="1">
      <c r="D446" s="2254" t="s">
        <v>601</v>
      </c>
      <c r="E446" s="2255"/>
      <c r="F446" s="2255"/>
      <c r="G446" s="2255"/>
      <c r="H446" s="2255"/>
      <c r="I446" s="2255"/>
      <c r="J446" s="2255"/>
      <c r="K446" s="2255"/>
      <c r="L446" s="2255"/>
      <c r="M446" s="2255"/>
      <c r="N446" s="2255"/>
      <c r="O446" s="2255"/>
      <c r="P446" s="2255"/>
      <c r="Q446" s="2255"/>
      <c r="R446" s="2255"/>
      <c r="S446" s="2255"/>
      <c r="T446" s="2255"/>
      <c r="U446" s="2255"/>
      <c r="V446" s="2255"/>
      <c r="W446" s="2255"/>
      <c r="X446" s="2255"/>
      <c r="Y446" s="2255"/>
      <c r="Z446" s="2255"/>
      <c r="AA446" s="2255"/>
      <c r="AB446" s="2255"/>
      <c r="AC446" s="2255"/>
      <c r="AD446" s="2255"/>
      <c r="AE446" s="2255"/>
      <c r="AF446" s="2541"/>
      <c r="AG446" s="2422">
        <v>0</v>
      </c>
      <c r="AH446" s="2422"/>
      <c r="AI446" s="2422"/>
      <c r="AJ446" s="24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6" t="s">
        <v>1411</v>
      </c>
      <c r="E447" s="2255"/>
      <c r="F447" s="2255"/>
      <c r="G447" s="2255"/>
      <c r="H447" s="2255"/>
      <c r="I447" s="2255"/>
      <c r="J447" s="2255"/>
      <c r="K447" s="2255"/>
      <c r="L447" s="2255"/>
      <c r="M447" s="2255"/>
      <c r="N447" s="2255"/>
      <c r="O447" s="2255"/>
      <c r="P447" s="2255"/>
      <c r="Q447" s="2255"/>
      <c r="R447" s="2255"/>
      <c r="S447" s="2255"/>
      <c r="T447" s="2255"/>
      <c r="U447" s="2255"/>
      <c r="V447" s="2255"/>
      <c r="W447" s="2255"/>
      <c r="X447" s="2255"/>
      <c r="Y447" s="2255"/>
      <c r="Z447" s="2255"/>
      <c r="AA447" s="2255"/>
      <c r="AB447" s="2255"/>
      <c r="AC447" s="2255"/>
      <c r="AD447" s="2255"/>
      <c r="AE447" s="2255"/>
      <c r="AF447" s="2541"/>
      <c r="AG447" s="2422">
        <v>760</v>
      </c>
      <c r="AH447" s="2422"/>
      <c r="AI447" s="2422"/>
      <c r="AJ447" s="24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6" t="s">
        <v>1150</v>
      </c>
      <c r="E448" s="2255"/>
      <c r="F448" s="2255"/>
      <c r="G448" s="2255"/>
      <c r="H448" s="2255"/>
      <c r="I448" s="2255"/>
      <c r="J448" s="2255"/>
      <c r="K448" s="2255"/>
      <c r="L448" s="2255"/>
      <c r="M448" s="2255"/>
      <c r="N448" s="2255"/>
      <c r="O448" s="2255"/>
      <c r="P448" s="2255"/>
      <c r="Q448" s="2255"/>
      <c r="R448" s="2255"/>
      <c r="S448" s="2255"/>
      <c r="T448" s="2255"/>
      <c r="U448" s="2255"/>
      <c r="V448" s="2255"/>
      <c r="W448" s="2255"/>
      <c r="X448" s="2255"/>
      <c r="Y448" s="2255"/>
      <c r="Z448" s="2255"/>
      <c r="AA448" s="2255"/>
      <c r="AB448" s="2255"/>
      <c r="AC448" s="2255"/>
      <c r="AD448" s="2255"/>
      <c r="AE448" s="2255"/>
      <c r="AF448" s="2541"/>
      <c r="AG448" s="2422">
        <v>0</v>
      </c>
      <c r="AH448" s="2422"/>
      <c r="AI448" s="2422"/>
      <c r="AJ448" s="24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81" t="s">
        <v>1151</v>
      </c>
      <c r="E449" s="2482"/>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2483"/>
      <c r="AG449" s="2547">
        <f>AG441+AG445+AG447+AG448</f>
        <v>98773</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84" t="s">
        <v>1412</v>
      </c>
      <c r="E450" s="2484"/>
      <c r="F450" s="2484"/>
      <c r="G450" s="2484"/>
      <c r="H450" s="2484"/>
      <c r="I450" s="2484"/>
      <c r="J450" s="2484"/>
      <c r="K450" s="2484"/>
      <c r="L450" s="2484"/>
      <c r="M450" s="2484"/>
      <c r="N450" s="2484"/>
      <c r="O450" s="2484"/>
      <c r="P450" s="2484"/>
      <c r="Q450" s="2484"/>
      <c r="R450" s="2484"/>
      <c r="S450" s="2484"/>
      <c r="T450" s="2484"/>
      <c r="U450" s="2484"/>
      <c r="V450" s="2484"/>
      <c r="W450" s="2484"/>
      <c r="X450" s="2484"/>
      <c r="Y450" s="2484"/>
      <c r="Z450" s="2484"/>
      <c r="AA450" s="2484"/>
      <c r="AB450" s="2484"/>
      <c r="AC450" s="2484"/>
      <c r="AD450" s="2484"/>
      <c r="AE450" s="2484"/>
      <c r="AF450" s="2484"/>
      <c r="AG450" s="2484"/>
      <c r="AH450" s="2484"/>
      <c r="AI450" s="2484"/>
      <c r="AJ450" s="248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85"/>
      <c r="E451" s="2485"/>
      <c r="F451" s="2485"/>
      <c r="G451" s="2485"/>
      <c r="H451" s="2485"/>
      <c r="I451" s="2485"/>
      <c r="J451" s="2485"/>
      <c r="K451" s="2485"/>
      <c r="L451" s="2485"/>
      <c r="M451" s="2485"/>
      <c r="N451" s="2485"/>
      <c r="O451" s="2485"/>
      <c r="P451" s="2485"/>
      <c r="Q451" s="2485"/>
      <c r="R451" s="2485"/>
      <c r="S451" s="2485"/>
      <c r="T451" s="2485"/>
      <c r="U451" s="2485"/>
      <c r="V451" s="2485"/>
      <c r="W451" s="2485"/>
      <c r="X451" s="2485"/>
      <c r="Y451" s="2485"/>
      <c r="Z451" s="2485"/>
      <c r="AA451" s="2485"/>
      <c r="AB451" s="2485"/>
      <c r="AC451" s="2485"/>
      <c r="AD451" s="2485"/>
      <c r="AE451" s="2485"/>
      <c r="AF451" s="2485"/>
      <c r="AG451" s="2485"/>
      <c r="AH451" s="2485"/>
      <c r="AI451" s="2485"/>
      <c r="AJ451" s="248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617336.97530864202</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617336.97530864202</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600059.81481481483</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23" t="s">
        <v>730</v>
      </c>
      <c r="E464" s="2424"/>
      <c r="F464" s="2424"/>
      <c r="G464" s="2424"/>
      <c r="H464" s="2424"/>
      <c r="I464" s="2424"/>
      <c r="J464" s="2424"/>
      <c r="K464" s="2424"/>
      <c r="L464" s="2424"/>
      <c r="M464" s="2424"/>
      <c r="N464" s="2424"/>
      <c r="O464" s="2424"/>
      <c r="P464" s="2424"/>
      <c r="Q464" s="2424"/>
      <c r="R464" s="2424"/>
      <c r="S464" s="2424"/>
      <c r="T464" s="2424"/>
      <c r="U464" s="2424"/>
      <c r="V464" s="2425"/>
      <c r="W464" s="2426">
        <v>8</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23" t="s">
        <v>731</v>
      </c>
      <c r="E465" s="2424"/>
      <c r="F465" s="2424"/>
      <c r="G465" s="2424"/>
      <c r="H465" s="2424"/>
      <c r="I465" s="2424"/>
      <c r="J465" s="2424"/>
      <c r="K465" s="2424"/>
      <c r="L465" s="2424"/>
      <c r="M465" s="2424"/>
      <c r="N465" s="2424"/>
      <c r="O465" s="2424"/>
      <c r="P465" s="2424"/>
      <c r="Q465" s="2424"/>
      <c r="R465" s="2424"/>
      <c r="S465" s="2424"/>
      <c r="T465" s="2424"/>
      <c r="U465" s="2424"/>
      <c r="V465" s="2425"/>
      <c r="W465" s="2426">
        <v>0</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23" t="s">
        <v>732</v>
      </c>
      <c r="E466" s="2424"/>
      <c r="F466" s="2424"/>
      <c r="G466" s="2424"/>
      <c r="H466" s="2424"/>
      <c r="I466" s="2424"/>
      <c r="J466" s="2424"/>
      <c r="K466" s="2424"/>
      <c r="L466" s="2424"/>
      <c r="M466" s="2424"/>
      <c r="N466" s="2424"/>
      <c r="O466" s="2424"/>
      <c r="P466" s="2424"/>
      <c r="Q466" s="2424"/>
      <c r="R466" s="2424"/>
      <c r="S466" s="2424"/>
      <c r="T466" s="2424"/>
      <c r="U466" s="2424"/>
      <c r="V466" s="2425"/>
      <c r="W466" s="2426">
        <v>13</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23" t="s">
        <v>733</v>
      </c>
      <c r="E467" s="2424"/>
      <c r="F467" s="2424"/>
      <c r="G467" s="2424"/>
      <c r="H467" s="2424"/>
      <c r="I467" s="2424"/>
      <c r="J467" s="2424"/>
      <c r="K467" s="2424"/>
      <c r="L467" s="2424"/>
      <c r="M467" s="2424"/>
      <c r="N467" s="2424"/>
      <c r="O467" s="2424"/>
      <c r="P467" s="2424"/>
      <c r="Q467" s="2424"/>
      <c r="R467" s="2424"/>
      <c r="S467" s="2424"/>
      <c r="T467" s="2424"/>
      <c r="U467" s="2424"/>
      <c r="V467" s="2425"/>
      <c r="W467" s="2426">
        <v>0</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23" t="s">
        <v>945</v>
      </c>
      <c r="E468" s="2424"/>
      <c r="F468" s="2424"/>
      <c r="G468" s="2424"/>
      <c r="H468" s="2424"/>
      <c r="I468" s="2424"/>
      <c r="J468" s="2424"/>
      <c r="K468" s="2424"/>
      <c r="L468" s="2424"/>
      <c r="M468" s="2424"/>
      <c r="N468" s="2424"/>
      <c r="O468" s="2424"/>
      <c r="P468" s="2424"/>
      <c r="Q468" s="2424"/>
      <c r="R468" s="2424"/>
      <c r="S468" s="2424"/>
      <c r="T468" s="2424"/>
      <c r="U468" s="2424"/>
      <c r="V468" s="2425"/>
      <c r="W468" s="2426">
        <v>8</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23" t="s">
        <v>734</v>
      </c>
      <c r="E469" s="2424"/>
      <c r="F469" s="2424"/>
      <c r="G469" s="2424"/>
      <c r="H469" s="2424"/>
      <c r="I469" s="2424"/>
      <c r="J469" s="2424"/>
      <c r="K469" s="2424"/>
      <c r="L469" s="2424"/>
      <c r="M469" s="2424"/>
      <c r="N469" s="2424"/>
      <c r="O469" s="2424"/>
      <c r="P469" s="2424"/>
      <c r="Q469" s="2424"/>
      <c r="R469" s="2424"/>
      <c r="S469" s="2424"/>
      <c r="T469" s="2424"/>
      <c r="U469" s="2424"/>
      <c r="V469" s="2425"/>
      <c r="W469" s="2426">
        <v>0</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23" t="s">
        <v>1117</v>
      </c>
      <c r="E470" s="2424"/>
      <c r="F470" s="2424"/>
      <c r="G470" s="2424"/>
      <c r="H470" s="2424"/>
      <c r="I470" s="2424"/>
      <c r="J470" s="2424"/>
      <c r="K470" s="2424"/>
      <c r="L470" s="2424"/>
      <c r="M470" s="2424"/>
      <c r="N470" s="2424"/>
      <c r="O470" s="2424"/>
      <c r="P470" s="2424"/>
      <c r="Q470" s="2424"/>
      <c r="R470" s="2424"/>
      <c r="S470" s="2424"/>
      <c r="T470" s="2424"/>
      <c r="U470" s="2424"/>
      <c r="V470" s="2425"/>
      <c r="W470" s="2426">
        <v>0</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6" t="s">
        <v>2006</v>
      </c>
      <c r="E471" s="2424"/>
      <c r="F471" s="2424"/>
      <c r="G471" s="2424"/>
      <c r="H471" s="2424"/>
      <c r="I471" s="2424"/>
      <c r="J471" s="2424"/>
      <c r="K471" s="2424"/>
      <c r="L471" s="2424"/>
      <c r="M471" s="2424"/>
      <c r="N471" s="2424"/>
      <c r="O471" s="2424"/>
      <c r="P471" s="2424"/>
      <c r="Q471" s="2424"/>
      <c r="R471" s="2424"/>
      <c r="S471" s="2424"/>
      <c r="T471" s="2424"/>
      <c r="U471" s="2424"/>
      <c r="V471" s="2425"/>
      <c r="W471" s="2426">
        <v>13</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3" t="s">
        <v>2591</v>
      </c>
      <c r="H472" s="2544"/>
      <c r="I472" s="2544"/>
      <c r="J472" s="2544"/>
      <c r="K472" s="2544"/>
      <c r="L472" s="2544"/>
      <c r="M472" s="2544"/>
      <c r="N472" s="2544"/>
      <c r="O472" s="2544"/>
      <c r="P472" s="2544"/>
      <c r="Q472" s="2544"/>
      <c r="R472" s="2544"/>
      <c r="S472" s="2544"/>
      <c r="T472" s="2544"/>
      <c r="U472" s="2544"/>
      <c r="V472" s="2545"/>
      <c r="W472" s="2426">
        <v>9</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t="s">
        <v>2652</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t="s">
        <v>2653</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t="s">
        <v>2654</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868</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42" t="s">
        <v>869</v>
      </c>
      <c r="U483" s="2443"/>
      <c r="V483" s="2443"/>
      <c r="W483" s="2443"/>
      <c r="X483" s="2443"/>
      <c r="Y483" s="2443"/>
      <c r="Z483" s="2443"/>
      <c r="AA483" s="2443"/>
      <c r="AB483" s="2443"/>
      <c r="AC483" s="2443"/>
      <c r="AD483" s="2443"/>
      <c r="AE483" s="2443"/>
      <c r="AF483" s="2443"/>
      <c r="AG483" s="2443"/>
      <c r="AH483" s="25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31" t="s">
        <v>36</v>
      </c>
      <c r="U484" s="2431"/>
      <c r="V484" s="2431"/>
      <c r="W484" s="2431"/>
      <c r="X484" s="2431"/>
      <c r="Y484" s="2431" t="s">
        <v>37</v>
      </c>
      <c r="Z484" s="2431"/>
      <c r="AA484" s="2431"/>
      <c r="AB484" s="2431"/>
      <c r="AC484" s="2431"/>
      <c r="AD484" s="2431" t="s">
        <v>348</v>
      </c>
      <c r="AE484" s="2431"/>
      <c r="AF484" s="2431"/>
      <c r="AG484" s="2431"/>
      <c r="AH484" s="24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31"/>
      <c r="U485" s="2431"/>
      <c r="V485" s="2431"/>
      <c r="W485" s="2431"/>
      <c r="X485" s="2431"/>
      <c r="Y485" s="2431"/>
      <c r="Z485" s="2431"/>
      <c r="AA485" s="2431"/>
      <c r="AB485" s="2431"/>
      <c r="AC485" s="2431"/>
      <c r="AD485" s="2431"/>
      <c r="AE485" s="2431"/>
      <c r="AF485" s="2431"/>
      <c r="AG485" s="2431"/>
      <c r="AH485" s="24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80">
        <v>44230</v>
      </c>
      <c r="U486" s="2480"/>
      <c r="V486" s="2480"/>
      <c r="W486" s="2480"/>
      <c r="X486" s="2480"/>
      <c r="Y486" s="2480"/>
      <c r="Z486" s="2480"/>
      <c r="AA486" s="2480"/>
      <c r="AB486" s="2480"/>
      <c r="AC486" s="2480"/>
      <c r="AD486" s="2480">
        <v>44230</v>
      </c>
      <c r="AE486" s="2480"/>
      <c r="AF486" s="2480"/>
      <c r="AG486" s="2480"/>
      <c r="AH486" s="24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80" t="s">
        <v>625</v>
      </c>
      <c r="U487" s="2480"/>
      <c r="V487" s="2480"/>
      <c r="W487" s="2480"/>
      <c r="X487" s="2480"/>
      <c r="Y487" s="2480" t="s">
        <v>625</v>
      </c>
      <c r="Z487" s="2480"/>
      <c r="AA487" s="2480"/>
      <c r="AB487" s="2480"/>
      <c r="AC487" s="2480"/>
      <c r="AD487" s="2480" t="s">
        <v>625</v>
      </c>
      <c r="AE487" s="2480"/>
      <c r="AF487" s="2480"/>
      <c r="AG487" s="2480"/>
      <c r="AH487" s="248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80" t="s">
        <v>625</v>
      </c>
      <c r="U488" s="2480"/>
      <c r="V488" s="2480"/>
      <c r="W488" s="2480"/>
      <c r="X488" s="2480"/>
      <c r="Y488" s="2480" t="s">
        <v>625</v>
      </c>
      <c r="Z488" s="2480"/>
      <c r="AA488" s="2480"/>
      <c r="AB488" s="2480"/>
      <c r="AC488" s="2480"/>
      <c r="AD488" s="2480" t="s">
        <v>625</v>
      </c>
      <c r="AE488" s="2480"/>
      <c r="AF488" s="2480"/>
      <c r="AG488" s="2480"/>
      <c r="AH488" s="24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80" t="s">
        <v>625</v>
      </c>
      <c r="U489" s="2480"/>
      <c r="V489" s="2480"/>
      <c r="W489" s="2480"/>
      <c r="X489" s="2480"/>
      <c r="Y489" s="2480" t="s">
        <v>625</v>
      </c>
      <c r="Z489" s="2480"/>
      <c r="AA489" s="2480"/>
      <c r="AB489" s="2480"/>
      <c r="AC489" s="2480"/>
      <c r="AD489" s="2480" t="s">
        <v>625</v>
      </c>
      <c r="AE489" s="2480"/>
      <c r="AF489" s="2480"/>
      <c r="AG489" s="2480"/>
      <c r="AH489" s="248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80" t="s">
        <v>625</v>
      </c>
      <c r="U490" s="2480"/>
      <c r="V490" s="2480"/>
      <c r="W490" s="2480"/>
      <c r="X490" s="2480"/>
      <c r="Y490" s="2480" t="s">
        <v>625</v>
      </c>
      <c r="Z490" s="2480"/>
      <c r="AA490" s="2480"/>
      <c r="AB490" s="2480"/>
      <c r="AC490" s="2480"/>
      <c r="AD490" s="2480" t="s">
        <v>625</v>
      </c>
      <c r="AE490" s="2480"/>
      <c r="AF490" s="2480"/>
      <c r="AG490" s="2480"/>
      <c r="AH490" s="24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80" t="s">
        <v>625</v>
      </c>
      <c r="U491" s="2480"/>
      <c r="V491" s="2480"/>
      <c r="W491" s="2480"/>
      <c r="X491" s="2480"/>
      <c r="Y491" s="2480" t="s">
        <v>625</v>
      </c>
      <c r="Z491" s="2480"/>
      <c r="AA491" s="2480"/>
      <c r="AB491" s="2480"/>
      <c r="AC491" s="2480"/>
      <c r="AD491" s="2480" t="s">
        <v>625</v>
      </c>
      <c r="AE491" s="2480"/>
      <c r="AF491" s="2480"/>
      <c r="AG491" s="2480"/>
      <c r="AH491" s="248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80" t="s">
        <v>625</v>
      </c>
      <c r="U492" s="2480"/>
      <c r="V492" s="2480"/>
      <c r="W492" s="2480"/>
      <c r="X492" s="2480"/>
      <c r="Y492" s="2480" t="s">
        <v>625</v>
      </c>
      <c r="Z492" s="2480"/>
      <c r="AA492" s="2480"/>
      <c r="AB492" s="2480"/>
      <c r="AC492" s="2480"/>
      <c r="AD492" s="2480" t="s">
        <v>625</v>
      </c>
      <c r="AE492" s="2480"/>
      <c r="AF492" s="2480"/>
      <c r="AG492" s="2480"/>
      <c r="AH492" s="248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80">
        <v>44230</v>
      </c>
      <c r="U493" s="2480"/>
      <c r="V493" s="2480"/>
      <c r="W493" s="2480"/>
      <c r="X493" s="2480"/>
      <c r="Y493" s="2480"/>
      <c r="Z493" s="2480"/>
      <c r="AA493" s="2480"/>
      <c r="AB493" s="2480"/>
      <c r="AC493" s="2480"/>
      <c r="AD493" s="2480">
        <v>44230</v>
      </c>
      <c r="AE493" s="2480"/>
      <c r="AF493" s="2480"/>
      <c r="AG493" s="2480"/>
      <c r="AH493" s="248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80" t="s">
        <v>625</v>
      </c>
      <c r="U494" s="2480"/>
      <c r="V494" s="2480"/>
      <c r="W494" s="2480"/>
      <c r="X494" s="2480"/>
      <c r="Y494" s="2480" t="s">
        <v>625</v>
      </c>
      <c r="Z494" s="2480"/>
      <c r="AA494" s="2480"/>
      <c r="AB494" s="2480"/>
      <c r="AC494" s="2480"/>
      <c r="AD494" s="2480" t="s">
        <v>625</v>
      </c>
      <c r="AE494" s="2480"/>
      <c r="AF494" s="2480"/>
      <c r="AG494" s="2480"/>
      <c r="AH494" s="248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480">
        <v>44230</v>
      </c>
      <c r="U495" s="2480"/>
      <c r="V495" s="2480"/>
      <c r="W495" s="2480"/>
      <c r="X495" s="2480"/>
      <c r="Y495" s="2480"/>
      <c r="Z495" s="2480"/>
      <c r="AA495" s="2480"/>
      <c r="AB495" s="2480"/>
      <c r="AC495" s="2480"/>
      <c r="AD495" s="2480">
        <v>44230</v>
      </c>
      <c r="AE495" s="2480"/>
      <c r="AF495" s="2480"/>
      <c r="AG495" s="2480"/>
      <c r="AH495" s="248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60" t="s">
        <v>2592</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60" t="s">
        <v>2655</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60" t="s">
        <v>2655</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418</v>
      </c>
      <c r="C501" s="2496"/>
      <c r="D501" s="2496"/>
      <c r="E501" s="2496"/>
      <c r="F501" s="2496"/>
      <c r="G501" s="2496"/>
      <c r="H501" s="2496"/>
      <c r="I501" s="2496"/>
      <c r="J501" s="2496"/>
      <c r="K501" s="2496"/>
      <c r="L501" s="2496"/>
      <c r="M501" s="2496"/>
      <c r="N501" s="2496"/>
      <c r="O501" s="2496"/>
      <c r="P501" s="2497"/>
      <c r="Q501" s="2513" t="s">
        <v>705</v>
      </c>
      <c r="R501" s="2514"/>
      <c r="S501" s="2300" t="s">
        <v>171</v>
      </c>
      <c r="T501" s="2301"/>
      <c r="U501" s="2301"/>
      <c r="V501" s="2301"/>
      <c r="W501" s="2301"/>
      <c r="X501" s="2301"/>
      <c r="Y501" s="2301"/>
      <c r="Z501" s="2301"/>
      <c r="AA501" s="2301"/>
      <c r="AB501" s="2301"/>
      <c r="AC501" s="2301"/>
      <c r="AD501" s="2301"/>
      <c r="AE501" s="2301"/>
      <c r="AF501" s="2301"/>
      <c r="AG501" s="2301"/>
      <c r="AH501" s="2301"/>
      <c r="AI501" s="2301"/>
      <c r="AJ501" s="2301"/>
      <c r="AK501" s="23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5"/>
      <c r="R502" s="2516"/>
      <c r="S502" s="2303"/>
      <c r="T502" s="2304"/>
      <c r="U502" s="2304"/>
      <c r="V502" s="2304"/>
      <c r="W502" s="2304"/>
      <c r="X502" s="2304"/>
      <c r="Y502" s="2304"/>
      <c r="Z502" s="2304"/>
      <c r="AA502" s="2304"/>
      <c r="AB502" s="2304"/>
      <c r="AC502" s="2304"/>
      <c r="AD502" s="2304"/>
      <c r="AE502" s="2304"/>
      <c r="AF502" s="2304"/>
      <c r="AG502" s="2304"/>
      <c r="AH502" s="2304"/>
      <c r="AI502" s="2304"/>
      <c r="AJ502" s="2304"/>
      <c r="AK502" s="23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53" t="s">
        <v>705</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0" t="s">
        <v>2656</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60" t="s">
        <v>2688</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360">
        <v>71</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041">
        <v>71</v>
      </c>
      <c r="N507" s="2042"/>
      <c r="O507" s="2042"/>
      <c r="P507" s="2043"/>
      <c r="Q507" s="1521" t="s">
        <v>2025</v>
      </c>
      <c r="R507" s="1522"/>
      <c r="S507" s="1522"/>
      <c r="T507" s="1522"/>
      <c r="U507" s="1522"/>
      <c r="V507" s="1522"/>
      <c r="W507" s="1522"/>
      <c r="X507" s="1522"/>
      <c r="Y507" s="1522"/>
      <c r="Z507" s="1522"/>
      <c r="AA507" s="1522"/>
      <c r="AB507" s="1522"/>
      <c r="AC507" s="1522"/>
      <c r="AD507" s="1522"/>
      <c r="AE507" s="1522"/>
      <c r="AF507" s="1522"/>
      <c r="AG507" s="1522"/>
      <c r="AH507" s="2041">
        <v>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2" t="s">
        <v>423</v>
      </c>
      <c r="AD512" s="2443"/>
      <c r="AE512" s="2443"/>
      <c r="AF512" s="2443"/>
      <c r="AG512" s="82" t="s">
        <v>424</v>
      </c>
      <c r="AH512" s="2443" t="s">
        <v>425</v>
      </c>
      <c r="AI512" s="2443"/>
      <c r="AJ512" s="2443"/>
      <c r="AK512" s="25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12" t="s">
        <v>426</v>
      </c>
      <c r="C513" s="2413"/>
      <c r="D513" s="2413"/>
      <c r="E513" s="2413"/>
      <c r="F513" s="2413"/>
      <c r="G513" s="2413"/>
      <c r="H513" s="2414"/>
      <c r="I513" s="72" t="s">
        <v>427</v>
      </c>
      <c r="J513" s="72"/>
      <c r="K513" s="72"/>
      <c r="L513" s="72"/>
      <c r="M513" s="72"/>
      <c r="N513" s="72"/>
      <c r="O513" s="72"/>
      <c r="P513" s="72"/>
      <c r="Q513" s="72"/>
      <c r="R513" s="72"/>
      <c r="S513" s="72"/>
      <c r="T513" s="72"/>
      <c r="U513" s="72"/>
      <c r="V513" s="72"/>
      <c r="W513" s="72"/>
      <c r="X513" s="25"/>
      <c r="Y513" s="25"/>
      <c r="AC513" s="2441" t="s">
        <v>625</v>
      </c>
      <c r="AD513" s="2342"/>
      <c r="AE513" s="2342"/>
      <c r="AF513" s="2342"/>
      <c r="AG513" s="75" t="s">
        <v>424</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15"/>
      <c r="C514" s="2416"/>
      <c r="D514" s="2416"/>
      <c r="E514" s="2416"/>
      <c r="F514" s="2416"/>
      <c r="G514" s="2416"/>
      <c r="H514" s="2417"/>
      <c r="I514" s="80" t="s">
        <v>428</v>
      </c>
      <c r="J514" s="80"/>
      <c r="K514" s="80"/>
      <c r="L514" s="80"/>
      <c r="M514" s="80"/>
      <c r="N514" s="80"/>
      <c r="O514" s="80"/>
      <c r="P514" s="80"/>
      <c r="Q514" s="80"/>
      <c r="R514" s="80"/>
      <c r="S514" s="80"/>
      <c r="T514" s="80"/>
      <c r="U514" s="80"/>
      <c r="V514" s="80"/>
      <c r="W514" s="80"/>
      <c r="X514" s="80"/>
      <c r="Y514" s="80"/>
      <c r="Z514" s="80"/>
      <c r="AA514" s="80"/>
      <c r="AB514" s="80"/>
      <c r="AC514" s="2441">
        <v>3</v>
      </c>
      <c r="AD514" s="2342"/>
      <c r="AE514" s="2342"/>
      <c r="AF514" s="2342"/>
      <c r="AG514" s="65" t="s">
        <v>424</v>
      </c>
      <c r="AH514" s="2195">
        <v>2022</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12" t="s">
        <v>429</v>
      </c>
      <c r="C515" s="2413"/>
      <c r="D515" s="2413"/>
      <c r="E515" s="2413"/>
      <c r="F515" s="2413"/>
      <c r="G515" s="2413"/>
      <c r="H515" s="2414"/>
      <c r="I515" s="72" t="s">
        <v>430</v>
      </c>
      <c r="J515" s="72"/>
      <c r="K515" s="72"/>
      <c r="L515" s="72"/>
      <c r="M515" s="72"/>
      <c r="N515" s="72"/>
      <c r="O515" s="72"/>
      <c r="P515" s="72"/>
      <c r="Q515" s="72"/>
      <c r="R515" s="72"/>
      <c r="S515" s="72"/>
      <c r="T515" s="72"/>
      <c r="U515" s="72"/>
      <c r="V515" s="72"/>
      <c r="W515" s="72"/>
      <c r="X515" s="25"/>
      <c r="Y515" s="25"/>
      <c r="AC515" s="2441">
        <v>2</v>
      </c>
      <c r="AD515" s="2342"/>
      <c r="AE515" s="2342"/>
      <c r="AF515" s="2342"/>
      <c r="AG515" s="75" t="s">
        <v>424</v>
      </c>
      <c r="AH515" s="2195">
        <v>2021</v>
      </c>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15"/>
      <c r="C516" s="2416"/>
      <c r="D516" s="2416"/>
      <c r="E516" s="2416"/>
      <c r="F516" s="2416"/>
      <c r="G516" s="2416"/>
      <c r="H516" s="2417"/>
      <c r="I516" s="25" t="s">
        <v>431</v>
      </c>
      <c r="J516" s="25"/>
      <c r="K516" s="25"/>
      <c r="L516" s="25"/>
      <c r="M516" s="25"/>
      <c r="N516" s="25"/>
      <c r="O516" s="25"/>
      <c r="P516" s="25"/>
      <c r="Q516" s="25"/>
      <c r="R516" s="25"/>
      <c r="S516" s="25"/>
      <c r="T516" s="25"/>
      <c r="U516" s="25"/>
      <c r="V516" s="25"/>
      <c r="W516" s="25"/>
      <c r="X516" s="25"/>
      <c r="Y516" s="25"/>
      <c r="AC516" s="2441" t="s">
        <v>625</v>
      </c>
      <c r="AD516" s="2342"/>
      <c r="AE516" s="2342"/>
      <c r="AF516" s="2342"/>
      <c r="AG516" s="75" t="s">
        <v>424</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15"/>
      <c r="C517" s="2416"/>
      <c r="D517" s="2416"/>
      <c r="E517" s="2416"/>
      <c r="F517" s="2416"/>
      <c r="G517" s="2416"/>
      <c r="H517" s="2417"/>
      <c r="I517" s="25" t="s">
        <v>432</v>
      </c>
      <c r="J517" s="25"/>
      <c r="K517" s="25"/>
      <c r="L517" s="25"/>
      <c r="M517" s="25"/>
      <c r="N517" s="25"/>
      <c r="O517" s="25"/>
      <c r="P517" s="25"/>
      <c r="Q517" s="25"/>
      <c r="R517" s="25"/>
      <c r="S517" s="25"/>
      <c r="T517" s="25"/>
      <c r="U517" s="25"/>
      <c r="V517" s="25"/>
      <c r="W517" s="25"/>
      <c r="X517" s="25"/>
      <c r="Y517" s="25"/>
      <c r="AC517" s="2511" t="s">
        <v>625</v>
      </c>
      <c r="AD517" s="2342"/>
      <c r="AE517" s="2342"/>
      <c r="AF517" s="2342"/>
      <c r="AG517" s="75" t="s">
        <v>424</v>
      </c>
      <c r="AH517" s="2195"/>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15"/>
      <c r="C518" s="2416"/>
      <c r="D518" s="2416"/>
      <c r="E518" s="2416"/>
      <c r="F518" s="2416"/>
      <c r="G518" s="2416"/>
      <c r="H518" s="2417"/>
      <c r="I518" s="25" t="s">
        <v>433</v>
      </c>
      <c r="J518" s="25"/>
      <c r="K518" s="25"/>
      <c r="L518" s="25"/>
      <c r="M518" s="25"/>
      <c r="N518" s="25"/>
      <c r="O518" s="25"/>
      <c r="P518" s="25"/>
      <c r="Q518" s="25"/>
      <c r="R518" s="25"/>
      <c r="S518" s="25"/>
      <c r="T518" s="25"/>
      <c r="U518" s="25"/>
      <c r="V518" s="25"/>
      <c r="W518" s="25"/>
      <c r="X518" s="25"/>
      <c r="Y518" s="25"/>
      <c r="AC518" s="2441">
        <v>3</v>
      </c>
      <c r="AD518" s="2342"/>
      <c r="AE518" s="2342"/>
      <c r="AF518" s="2342"/>
      <c r="AG518" s="75" t="s">
        <v>424</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15"/>
      <c r="C519" s="2416"/>
      <c r="D519" s="2416"/>
      <c r="E519" s="2416"/>
      <c r="F519" s="2416"/>
      <c r="G519" s="2416"/>
      <c r="H519" s="2417"/>
      <c r="I519" s="177" t="s">
        <v>434</v>
      </c>
      <c r="J519" s="25"/>
      <c r="K519" s="25"/>
      <c r="L519" s="25"/>
      <c r="M519" s="25"/>
      <c r="N519" s="25"/>
      <c r="O519" s="25"/>
      <c r="P519" s="25"/>
      <c r="Q519" s="25"/>
      <c r="R519" s="25"/>
      <c r="S519" s="25"/>
      <c r="T519" s="25"/>
      <c r="U519" s="25"/>
      <c r="V519" s="25"/>
      <c r="W519" s="25"/>
      <c r="X519" s="25"/>
      <c r="Y519" s="25"/>
      <c r="AC519" s="2227">
        <v>3</v>
      </c>
      <c r="AD519" s="2228"/>
      <c r="AE519" s="2228"/>
      <c r="AF519" s="2228"/>
      <c r="AG519" s="75" t="s">
        <v>424</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15"/>
      <c r="C520" s="2416"/>
      <c r="D520" s="2416"/>
      <c r="E520" s="2416"/>
      <c r="F520" s="2416"/>
      <c r="G520" s="2416"/>
      <c r="H520" s="2417"/>
      <c r="I520" s="1524" t="s">
        <v>175</v>
      </c>
      <c r="J520" s="80"/>
      <c r="K520" s="80"/>
      <c r="L520" s="2529" t="s">
        <v>343</v>
      </c>
      <c r="M520" s="2528"/>
      <c r="N520" s="2528"/>
      <c r="O520" s="2528"/>
      <c r="P520" s="2528"/>
      <c r="Q520" s="2528"/>
      <c r="R520" s="2528"/>
      <c r="S520" s="2528"/>
      <c r="T520" s="2528"/>
      <c r="U520" s="2528"/>
      <c r="V520" s="2528"/>
      <c r="W520" s="2528"/>
      <c r="X520" s="2528"/>
      <c r="Y520" s="2528"/>
      <c r="Z520" s="2528"/>
      <c r="AA520" s="2528"/>
      <c r="AB520" s="2530"/>
      <c r="AC520" s="2441" t="s">
        <v>625</v>
      </c>
      <c r="AD520" s="2342"/>
      <c r="AE520" s="2342"/>
      <c r="AF520" s="2342"/>
      <c r="AG520" s="1495" t="s">
        <v>424</v>
      </c>
      <c r="AH520" s="2195"/>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8" t="s">
        <v>705</v>
      </c>
      <c r="AD521" s="2518"/>
      <c r="AE521" s="2518"/>
      <c r="AF521" s="2518"/>
      <c r="AG521" s="1787"/>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27"/>
      <c r="AD522" s="2228"/>
      <c r="AE522" s="2228"/>
      <c r="AF522" s="2229"/>
      <c r="AG522" s="1787"/>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88"/>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423</v>
      </c>
      <c r="AD525" s="2526"/>
      <c r="AE525" s="2526"/>
      <c r="AF525" s="2526"/>
      <c r="AG525" s="1788" t="s">
        <v>424</v>
      </c>
      <c r="AH525" s="2526" t="s">
        <v>425</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12" t="s">
        <v>435</v>
      </c>
      <c r="C526" s="2413"/>
      <c r="D526" s="2413"/>
      <c r="E526" s="2413"/>
      <c r="F526" s="2413"/>
      <c r="G526" s="2413"/>
      <c r="H526" s="2414"/>
      <c r="I526" s="72" t="s">
        <v>436</v>
      </c>
      <c r="J526" s="72"/>
      <c r="K526" s="72"/>
      <c r="L526" s="72"/>
      <c r="M526" s="72"/>
      <c r="N526" s="72"/>
      <c r="O526" s="72"/>
      <c r="P526" s="72"/>
      <c r="Q526" s="72"/>
      <c r="R526" s="72"/>
      <c r="S526" s="72"/>
      <c r="T526" s="72"/>
      <c r="U526" s="72"/>
      <c r="V526" s="72"/>
      <c r="W526" s="72"/>
      <c r="X526" s="25"/>
      <c r="Y526" s="25"/>
      <c r="AC526" s="2441">
        <v>8</v>
      </c>
      <c r="AD526" s="2342"/>
      <c r="AE526" s="2342"/>
      <c r="AF526" s="2342"/>
      <c r="AG526" s="75" t="s">
        <v>424</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5"/>
      <c r="C527" s="2416"/>
      <c r="D527" s="2416"/>
      <c r="E527" s="2416"/>
      <c r="F527" s="2416"/>
      <c r="G527" s="2416"/>
      <c r="H527" s="2417"/>
      <c r="I527" s="25" t="s">
        <v>437</v>
      </c>
      <c r="J527" s="25"/>
      <c r="K527" s="25"/>
      <c r="L527" s="25"/>
      <c r="M527" s="25"/>
      <c r="N527" s="25"/>
      <c r="O527" s="25"/>
      <c r="P527" s="25"/>
      <c r="Q527" s="25"/>
      <c r="R527" s="25"/>
      <c r="S527" s="25"/>
      <c r="T527" s="25"/>
      <c r="U527" s="25"/>
      <c r="V527" s="25"/>
      <c r="W527" s="25"/>
      <c r="X527" s="25"/>
      <c r="Y527" s="25"/>
      <c r="AC527" s="2441">
        <v>9</v>
      </c>
      <c r="AD527" s="2342"/>
      <c r="AE527" s="2342"/>
      <c r="AF527" s="2342"/>
      <c r="AG527" s="75" t="s">
        <v>424</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15"/>
      <c r="C528" s="2416"/>
      <c r="D528" s="2416"/>
      <c r="E528" s="2416"/>
      <c r="F528" s="2416"/>
      <c r="G528" s="2416"/>
      <c r="H528" s="2417"/>
      <c r="I528" s="80" t="s">
        <v>438</v>
      </c>
      <c r="J528" s="80"/>
      <c r="K528" s="80"/>
      <c r="L528" s="80"/>
      <c r="M528" s="80"/>
      <c r="N528" s="80"/>
      <c r="O528" s="80"/>
      <c r="P528" s="80"/>
      <c r="Q528" s="80"/>
      <c r="R528" s="80"/>
      <c r="S528" s="80"/>
      <c r="T528" s="80"/>
      <c r="U528" s="80"/>
      <c r="V528" s="80"/>
      <c r="W528" s="80"/>
      <c r="X528" s="80"/>
      <c r="Y528" s="80"/>
      <c r="Z528" s="80"/>
      <c r="AA528" s="80"/>
      <c r="AB528" s="80"/>
      <c r="AC528" s="2441">
        <v>3</v>
      </c>
      <c r="AD528" s="2342"/>
      <c r="AE528" s="2342"/>
      <c r="AF528" s="2342"/>
      <c r="AG528" s="65" t="s">
        <v>424</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12" t="s">
        <v>439</v>
      </c>
      <c r="C529" s="2413"/>
      <c r="D529" s="2413"/>
      <c r="E529" s="2413"/>
      <c r="F529" s="2413"/>
      <c r="G529" s="2413"/>
      <c r="H529" s="2414"/>
      <c r="I529" s="72" t="s">
        <v>436</v>
      </c>
      <c r="J529" s="72"/>
      <c r="K529" s="72"/>
      <c r="L529" s="72"/>
      <c r="M529" s="72"/>
      <c r="N529" s="72"/>
      <c r="O529" s="72"/>
      <c r="P529" s="72"/>
      <c r="Q529" s="72"/>
      <c r="R529" s="72"/>
      <c r="S529" s="72"/>
      <c r="T529" s="72"/>
      <c r="U529" s="72"/>
      <c r="V529" s="72"/>
      <c r="W529" s="72"/>
      <c r="X529" s="72"/>
      <c r="Y529" s="72"/>
      <c r="Z529" s="72"/>
      <c r="AA529" s="72"/>
      <c r="AB529" s="72"/>
      <c r="AC529" s="2227">
        <v>8</v>
      </c>
      <c r="AD529" s="2228"/>
      <c r="AE529" s="2228"/>
      <c r="AF529" s="2228"/>
      <c r="AG529" s="196" t="s">
        <v>424</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15"/>
      <c r="C530" s="2416"/>
      <c r="D530" s="2416"/>
      <c r="E530" s="2416"/>
      <c r="F530" s="2416"/>
      <c r="G530" s="2416"/>
      <c r="H530" s="2417"/>
      <c r="I530" s="25" t="s">
        <v>437</v>
      </c>
      <c r="J530" s="25"/>
      <c r="K530" s="25"/>
      <c r="L530" s="25"/>
      <c r="M530" s="25"/>
      <c r="N530" s="25"/>
      <c r="O530" s="25"/>
      <c r="P530" s="25"/>
      <c r="Q530" s="25"/>
      <c r="R530" s="25"/>
      <c r="S530" s="25"/>
      <c r="T530" s="25"/>
      <c r="U530" s="25"/>
      <c r="V530" s="25"/>
      <c r="W530" s="25"/>
      <c r="X530" s="25"/>
      <c r="Y530" s="25"/>
      <c r="Z530" s="25"/>
      <c r="AA530" s="25"/>
      <c r="AB530" s="25"/>
      <c r="AC530" s="2441">
        <v>9</v>
      </c>
      <c r="AD530" s="2342"/>
      <c r="AE530" s="2342"/>
      <c r="AF530" s="2342"/>
      <c r="AG530" s="75" t="s">
        <v>424</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18"/>
      <c r="C531" s="2419"/>
      <c r="D531" s="2419"/>
      <c r="E531" s="2419"/>
      <c r="F531" s="2419"/>
      <c r="G531" s="2419"/>
      <c r="H531" s="2420"/>
      <c r="I531" s="80" t="s">
        <v>438</v>
      </c>
      <c r="J531" s="80"/>
      <c r="K531" s="80"/>
      <c r="L531" s="80"/>
      <c r="M531" s="80"/>
      <c r="N531" s="80"/>
      <c r="O531" s="80"/>
      <c r="P531" s="80"/>
      <c r="Q531" s="80"/>
      <c r="R531" s="80"/>
      <c r="S531" s="80"/>
      <c r="T531" s="80"/>
      <c r="U531" s="80"/>
      <c r="V531" s="80"/>
      <c r="W531" s="80"/>
      <c r="X531" s="80"/>
      <c r="Y531" s="80"/>
      <c r="Z531" s="80"/>
      <c r="AA531" s="80"/>
      <c r="AB531" s="80"/>
      <c r="AC531" s="2441">
        <v>9</v>
      </c>
      <c r="AD531" s="2342"/>
      <c r="AE531" s="2342"/>
      <c r="AF531" s="2342"/>
      <c r="AG531" s="65" t="s">
        <v>424</v>
      </c>
      <c r="AH531" s="2195">
        <v>2024</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12" t="s">
        <v>440</v>
      </c>
      <c r="C532" s="2413"/>
      <c r="D532" s="2413"/>
      <c r="E532" s="2413"/>
      <c r="F532" s="2413"/>
      <c r="G532" s="2413"/>
      <c r="H532" s="2414"/>
      <c r="I532" s="71" t="s">
        <v>441</v>
      </c>
      <c r="J532" s="72"/>
      <c r="K532" s="72"/>
      <c r="L532" s="72"/>
      <c r="M532" s="72"/>
      <c r="N532" s="72"/>
      <c r="O532" s="2033" t="s">
        <v>2657</v>
      </c>
      <c r="P532" s="2033"/>
      <c r="Q532" s="2033"/>
      <c r="R532" s="2033"/>
      <c r="S532" s="2033"/>
      <c r="T532" s="2033"/>
      <c r="U532" s="2033"/>
      <c r="V532" s="2033"/>
      <c r="W532" s="2033"/>
      <c r="X532" s="2033"/>
      <c r="Y532" s="2033"/>
      <c r="Z532" s="2033"/>
      <c r="AA532" s="2033"/>
      <c r="AB532" s="94"/>
      <c r="AC532" s="2227"/>
      <c r="AD532" s="2228"/>
      <c r="AE532" s="2228"/>
      <c r="AF532" s="2228"/>
      <c r="AG532" s="196" t="s">
        <v>424</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15"/>
      <c r="C533" s="2416"/>
      <c r="D533" s="2416"/>
      <c r="E533" s="2416"/>
      <c r="F533" s="2416"/>
      <c r="G533" s="2416"/>
      <c r="H533" s="2417"/>
      <c r="I533" s="171" t="s">
        <v>442</v>
      </c>
      <c r="J533" s="25"/>
      <c r="K533" s="25"/>
      <c r="L533" s="25"/>
      <c r="M533" s="25"/>
      <c r="N533" s="25"/>
      <c r="O533" s="25"/>
      <c r="P533" s="25"/>
      <c r="Q533" s="25"/>
      <c r="R533" s="25"/>
      <c r="S533" s="25"/>
      <c r="T533" s="25"/>
      <c r="U533" s="25"/>
      <c r="V533" s="25"/>
      <c r="W533" s="25"/>
      <c r="X533" s="25"/>
      <c r="Y533" s="25"/>
      <c r="Z533" s="25"/>
      <c r="AA533" s="25"/>
      <c r="AB533" s="101"/>
      <c r="AC533" s="2441">
        <v>1</v>
      </c>
      <c r="AD533" s="2342"/>
      <c r="AE533" s="2342"/>
      <c r="AF533" s="2342"/>
      <c r="AG533" s="75" t="s">
        <v>424</v>
      </c>
      <c r="AH533" s="2195">
        <v>2021</v>
      </c>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15"/>
      <c r="C534" s="2416"/>
      <c r="D534" s="2416"/>
      <c r="E534" s="2416"/>
      <c r="F534" s="2416"/>
      <c r="G534" s="2416"/>
      <c r="H534" s="2417"/>
      <c r="I534" s="79" t="s">
        <v>443</v>
      </c>
      <c r="J534" s="80"/>
      <c r="K534" s="80"/>
      <c r="L534" s="80"/>
      <c r="M534" s="80"/>
      <c r="N534" s="80"/>
      <c r="O534" s="80"/>
      <c r="P534" s="80"/>
      <c r="Q534" s="80"/>
      <c r="R534" s="80"/>
      <c r="S534" s="80"/>
      <c r="T534" s="80"/>
      <c r="U534" s="80"/>
      <c r="V534" s="80"/>
      <c r="W534" s="80"/>
      <c r="X534" s="80"/>
      <c r="Y534" s="80"/>
      <c r="Z534" s="80"/>
      <c r="AA534" s="80"/>
      <c r="AB534" s="81"/>
      <c r="AC534" s="2441">
        <v>3</v>
      </c>
      <c r="AD534" s="2342"/>
      <c r="AE534" s="2342"/>
      <c r="AF534" s="2342"/>
      <c r="AG534" s="65" t="s">
        <v>424</v>
      </c>
      <c r="AH534" s="2195">
        <v>2022</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15"/>
      <c r="C535" s="2416"/>
      <c r="D535" s="2416"/>
      <c r="E535" s="2416"/>
      <c r="F535" s="2416"/>
      <c r="G535" s="2416"/>
      <c r="H535" s="2417"/>
      <c r="I535" s="72" t="s">
        <v>444</v>
      </c>
      <c r="J535" s="72"/>
      <c r="K535" s="72"/>
      <c r="L535" s="72"/>
      <c r="M535" s="72"/>
      <c r="N535" s="72"/>
      <c r="O535" s="2040" t="s">
        <v>2658</v>
      </c>
      <c r="P535" s="2040"/>
      <c r="Q535" s="2040"/>
      <c r="R535" s="2040"/>
      <c r="S535" s="2040"/>
      <c r="T535" s="2040"/>
      <c r="U535" s="2040"/>
      <c r="V535" s="2040"/>
      <c r="W535" s="2040"/>
      <c r="X535" s="2040"/>
      <c r="Y535" s="2040"/>
      <c r="Z535" s="2040"/>
      <c r="AA535" s="2040"/>
      <c r="AC535" s="2441"/>
      <c r="AD535" s="2342"/>
      <c r="AE535" s="2342"/>
      <c r="AF535" s="2342"/>
      <c r="AG535" s="75" t="s">
        <v>424</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15"/>
      <c r="C536" s="2416"/>
      <c r="D536" s="2416"/>
      <c r="E536" s="2416"/>
      <c r="F536" s="2416"/>
      <c r="G536" s="2416"/>
      <c r="H536" s="2417"/>
      <c r="I536" s="25" t="s">
        <v>442</v>
      </c>
      <c r="J536" s="25"/>
      <c r="K536" s="25"/>
      <c r="L536" s="25"/>
      <c r="M536" s="25"/>
      <c r="N536" s="25"/>
      <c r="O536" s="25"/>
      <c r="P536" s="25"/>
      <c r="Q536" s="25"/>
      <c r="R536" s="25"/>
      <c r="S536" s="25"/>
      <c r="T536" s="25"/>
      <c r="U536" s="25"/>
      <c r="V536" s="25"/>
      <c r="W536" s="25"/>
      <c r="X536" s="25"/>
      <c r="Y536" s="25"/>
      <c r="AC536" s="2441">
        <v>1</v>
      </c>
      <c r="AD536" s="2342"/>
      <c r="AE536" s="2342"/>
      <c r="AF536" s="2342"/>
      <c r="AG536" s="75" t="s">
        <v>424</v>
      </c>
      <c r="AH536" s="2195">
        <v>2021</v>
      </c>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15"/>
      <c r="C537" s="2416"/>
      <c r="D537" s="2416"/>
      <c r="E537" s="2416"/>
      <c r="F537" s="2416"/>
      <c r="G537" s="2416"/>
      <c r="H537" s="2417"/>
      <c r="I537" s="80" t="s">
        <v>443</v>
      </c>
      <c r="J537" s="80"/>
      <c r="K537" s="80"/>
      <c r="L537" s="80"/>
      <c r="M537" s="80"/>
      <c r="N537" s="80"/>
      <c r="O537" s="80"/>
      <c r="P537" s="80"/>
      <c r="Q537" s="80"/>
      <c r="R537" s="80"/>
      <c r="S537" s="80"/>
      <c r="T537" s="80"/>
      <c r="U537" s="80"/>
      <c r="V537" s="80"/>
      <c r="W537" s="80"/>
      <c r="X537" s="80"/>
      <c r="Y537" s="80"/>
      <c r="Z537" s="80"/>
      <c r="AA537" s="80"/>
      <c r="AB537" s="80"/>
      <c r="AC537" s="2441">
        <v>3</v>
      </c>
      <c r="AD537" s="2342"/>
      <c r="AE537" s="2342"/>
      <c r="AF537" s="2342"/>
      <c r="AG537" s="65" t="s">
        <v>424</v>
      </c>
      <c r="AH537" s="2195">
        <v>2022</v>
      </c>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15"/>
      <c r="C538" s="2416"/>
      <c r="D538" s="2416"/>
      <c r="E538" s="2416"/>
      <c r="F538" s="2416"/>
      <c r="G538" s="2416"/>
      <c r="H538" s="2417"/>
      <c r="I538" s="72" t="s">
        <v>444</v>
      </c>
      <c r="J538" s="72"/>
      <c r="K538" s="72"/>
      <c r="L538" s="72"/>
      <c r="M538" s="72"/>
      <c r="N538" s="72"/>
      <c r="O538" s="2040" t="s">
        <v>2659</v>
      </c>
      <c r="P538" s="2040"/>
      <c r="Q538" s="2040"/>
      <c r="R538" s="2040"/>
      <c r="S538" s="2040"/>
      <c r="T538" s="2040"/>
      <c r="U538" s="2040"/>
      <c r="V538" s="2040"/>
      <c r="W538" s="2040"/>
      <c r="X538" s="2040"/>
      <c r="Y538" s="2040"/>
      <c r="Z538" s="2040"/>
      <c r="AA538" s="2040"/>
      <c r="AC538" s="2441"/>
      <c r="AD538" s="2342"/>
      <c r="AE538" s="2342"/>
      <c r="AF538" s="2342"/>
      <c r="AG538" s="75" t="s">
        <v>424</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15"/>
      <c r="C539" s="2416"/>
      <c r="D539" s="2416"/>
      <c r="E539" s="2416"/>
      <c r="F539" s="2416"/>
      <c r="G539" s="2416"/>
      <c r="H539" s="2417"/>
      <c r="I539" s="25" t="s">
        <v>442</v>
      </c>
      <c r="J539" s="25"/>
      <c r="K539" s="25"/>
      <c r="L539" s="25"/>
      <c r="M539" s="25"/>
      <c r="N539" s="25"/>
      <c r="O539" s="25"/>
      <c r="P539" s="25"/>
      <c r="Q539" s="25"/>
      <c r="R539" s="25"/>
      <c r="S539" s="25"/>
      <c r="T539" s="25"/>
      <c r="U539" s="25"/>
      <c r="V539" s="25"/>
      <c r="W539" s="25"/>
      <c r="X539" s="25"/>
      <c r="Y539" s="25"/>
      <c r="AC539" s="2441">
        <v>1</v>
      </c>
      <c r="AD539" s="2342"/>
      <c r="AE539" s="2342"/>
      <c r="AF539" s="2342"/>
      <c r="AG539" s="75" t="s">
        <v>424</v>
      </c>
      <c r="AH539" s="2195">
        <v>2021</v>
      </c>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15"/>
      <c r="C540" s="2416"/>
      <c r="D540" s="2416"/>
      <c r="E540" s="2416"/>
      <c r="F540" s="2416"/>
      <c r="G540" s="2416"/>
      <c r="H540" s="2417"/>
      <c r="I540" s="80" t="s">
        <v>443</v>
      </c>
      <c r="J540" s="80"/>
      <c r="K540" s="80"/>
      <c r="L540" s="80"/>
      <c r="M540" s="80"/>
      <c r="N540" s="80"/>
      <c r="O540" s="80"/>
      <c r="P540" s="80"/>
      <c r="Q540" s="80"/>
      <c r="R540" s="80"/>
      <c r="S540" s="80"/>
      <c r="T540" s="80"/>
      <c r="U540" s="80"/>
      <c r="V540" s="80"/>
      <c r="W540" s="80"/>
      <c r="X540" s="80"/>
      <c r="Y540" s="80"/>
      <c r="Z540" s="80"/>
      <c r="AA540" s="80"/>
      <c r="AB540" s="80"/>
      <c r="AC540" s="2441">
        <v>9</v>
      </c>
      <c r="AD540" s="2342"/>
      <c r="AE540" s="2342"/>
      <c r="AF540" s="2342"/>
      <c r="AG540" s="65" t="s">
        <v>424</v>
      </c>
      <c r="AH540" s="2195">
        <v>2024</v>
      </c>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15"/>
      <c r="C541" s="2416"/>
      <c r="D541" s="2416"/>
      <c r="E541" s="2416"/>
      <c r="F541" s="2416"/>
      <c r="G541" s="2416"/>
      <c r="H541" s="2417"/>
      <c r="I541" s="72" t="s">
        <v>444</v>
      </c>
      <c r="J541" s="72"/>
      <c r="K541" s="72"/>
      <c r="L541" s="72"/>
      <c r="M541" s="72"/>
      <c r="N541" s="72"/>
      <c r="O541" s="2040" t="s">
        <v>2660</v>
      </c>
      <c r="P541" s="2040"/>
      <c r="Q541" s="2040"/>
      <c r="R541" s="2040"/>
      <c r="S541" s="2040"/>
      <c r="T541" s="2040"/>
      <c r="U541" s="2040"/>
      <c r="V541" s="2040"/>
      <c r="W541" s="2040"/>
      <c r="X541" s="2040"/>
      <c r="Y541" s="2040"/>
      <c r="Z541" s="2040"/>
      <c r="AA541" s="2040"/>
      <c r="AC541" s="2441"/>
      <c r="AD541" s="2342"/>
      <c r="AE541" s="2342"/>
      <c r="AF541" s="2342"/>
      <c r="AG541" s="75" t="s">
        <v>424</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15"/>
      <c r="C542" s="2416"/>
      <c r="D542" s="2416"/>
      <c r="E542" s="2416"/>
      <c r="F542" s="2416"/>
      <c r="G542" s="2416"/>
      <c r="H542" s="2417"/>
      <c r="I542" s="25" t="s">
        <v>442</v>
      </c>
      <c r="J542" s="25"/>
      <c r="K542" s="25"/>
      <c r="L542" s="25"/>
      <c r="M542" s="25"/>
      <c r="N542" s="25"/>
      <c r="O542" s="25"/>
      <c r="P542" s="25"/>
      <c r="Q542" s="25"/>
      <c r="R542" s="25"/>
      <c r="S542" s="25"/>
      <c r="T542" s="25"/>
      <c r="U542" s="25"/>
      <c r="V542" s="25"/>
      <c r="W542" s="25"/>
      <c r="X542" s="25"/>
      <c r="Y542" s="25"/>
      <c r="AC542" s="2441">
        <v>3</v>
      </c>
      <c r="AD542" s="2342"/>
      <c r="AE542" s="2342"/>
      <c r="AF542" s="2342"/>
      <c r="AG542" s="75" t="s">
        <v>424</v>
      </c>
      <c r="AH542" s="2195">
        <v>2020</v>
      </c>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15"/>
      <c r="C543" s="2416"/>
      <c r="D543" s="2416"/>
      <c r="E543" s="2416"/>
      <c r="F543" s="2416"/>
      <c r="G543" s="2416"/>
      <c r="H543" s="2417"/>
      <c r="I543" s="80" t="s">
        <v>443</v>
      </c>
      <c r="J543" s="80"/>
      <c r="K543" s="80"/>
      <c r="L543" s="80"/>
      <c r="M543" s="80"/>
      <c r="N543" s="80"/>
      <c r="O543" s="80"/>
      <c r="P543" s="80"/>
      <c r="Q543" s="80"/>
      <c r="R543" s="80"/>
      <c r="S543" s="80"/>
      <c r="T543" s="80"/>
      <c r="U543" s="80"/>
      <c r="V543" s="80"/>
      <c r="W543" s="80"/>
      <c r="X543" s="80"/>
      <c r="Y543" s="80"/>
      <c r="Z543" s="80"/>
      <c r="AA543" s="80"/>
      <c r="AB543" s="80"/>
      <c r="AC543" s="2441">
        <v>3</v>
      </c>
      <c r="AD543" s="2342"/>
      <c r="AE543" s="2342"/>
      <c r="AF543" s="2342"/>
      <c r="AG543" s="65" t="s">
        <v>424</v>
      </c>
      <c r="AH543" s="2195">
        <v>2022</v>
      </c>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15"/>
      <c r="C544" s="2416"/>
      <c r="D544" s="2416"/>
      <c r="E544" s="2416"/>
      <c r="F544" s="2416"/>
      <c r="G544" s="2416"/>
      <c r="H544" s="2417"/>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1" t="s">
        <v>625</v>
      </c>
      <c r="AD544" s="2342"/>
      <c r="AE544" s="2342"/>
      <c r="AF544" s="2342"/>
      <c r="AG544" s="75" t="s">
        <v>424</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15"/>
      <c r="C545" s="2416"/>
      <c r="D545" s="2416"/>
      <c r="E545" s="2416"/>
      <c r="F545" s="2416"/>
      <c r="G545" s="2416"/>
      <c r="H545" s="2417"/>
      <c r="I545" s="25" t="s">
        <v>442</v>
      </c>
      <c r="J545" s="25"/>
      <c r="K545" s="25"/>
      <c r="L545" s="25"/>
      <c r="M545" s="25"/>
      <c r="N545" s="25"/>
      <c r="O545" s="25"/>
      <c r="P545" s="25"/>
      <c r="Q545" s="25"/>
      <c r="R545" s="25"/>
      <c r="S545" s="25"/>
      <c r="T545" s="25"/>
      <c r="U545" s="25"/>
      <c r="V545" s="25"/>
      <c r="W545" s="25"/>
      <c r="X545" s="25"/>
      <c r="Y545" s="25"/>
      <c r="AC545" s="2441" t="s">
        <v>625</v>
      </c>
      <c r="AD545" s="2342"/>
      <c r="AE545" s="2342"/>
      <c r="AF545" s="2342"/>
      <c r="AG545" s="65" t="s">
        <v>424</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15"/>
      <c r="C546" s="2416"/>
      <c r="D546" s="2416"/>
      <c r="E546" s="2416"/>
      <c r="F546" s="2416"/>
      <c r="G546" s="2416"/>
      <c r="H546" s="2417"/>
      <c r="I546" s="80" t="s">
        <v>443</v>
      </c>
      <c r="J546" s="80"/>
      <c r="K546" s="80"/>
      <c r="L546" s="80"/>
      <c r="M546" s="80"/>
      <c r="N546" s="80"/>
      <c r="O546" s="80"/>
      <c r="P546" s="80"/>
      <c r="Q546" s="80"/>
      <c r="R546" s="80"/>
      <c r="S546" s="80"/>
      <c r="T546" s="80"/>
      <c r="U546" s="80"/>
      <c r="V546" s="80"/>
      <c r="W546" s="80"/>
      <c r="X546" s="80"/>
      <c r="Y546" s="80"/>
      <c r="Z546" s="80"/>
      <c r="AA546" s="80"/>
      <c r="AB546" s="80"/>
      <c r="AC546" s="2441" t="s">
        <v>625</v>
      </c>
      <c r="AD546" s="2342"/>
      <c r="AE546" s="2342"/>
      <c r="AF546" s="2342"/>
      <c r="AG546" s="75" t="s">
        <v>424</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15"/>
      <c r="C547" s="2416"/>
      <c r="D547" s="2416"/>
      <c r="E547" s="2416"/>
      <c r="F547" s="2416"/>
      <c r="G547" s="2416"/>
      <c r="H547" s="2417"/>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1" t="s">
        <v>625</v>
      </c>
      <c r="AD547" s="2342"/>
      <c r="AE547" s="2342"/>
      <c r="AF547" s="2342"/>
      <c r="AG547" s="65" t="s">
        <v>424</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15"/>
      <c r="C548" s="2416"/>
      <c r="D548" s="2416"/>
      <c r="E548" s="2416"/>
      <c r="F548" s="2416"/>
      <c r="G548" s="2416"/>
      <c r="H548" s="2417"/>
      <c r="I548" s="25" t="s">
        <v>442</v>
      </c>
      <c r="J548" s="25"/>
      <c r="K548" s="25"/>
      <c r="L548" s="25"/>
      <c r="M548" s="25"/>
      <c r="N548" s="25"/>
      <c r="O548" s="25"/>
      <c r="P548" s="25"/>
      <c r="Q548" s="25"/>
      <c r="R548" s="25"/>
      <c r="S548" s="25"/>
      <c r="T548" s="25"/>
      <c r="U548" s="25"/>
      <c r="V548" s="25"/>
      <c r="W548" s="25"/>
      <c r="X548" s="25"/>
      <c r="Y548" s="25"/>
      <c r="AC548" s="2441" t="s">
        <v>625</v>
      </c>
      <c r="AD548" s="2342"/>
      <c r="AE548" s="2342"/>
      <c r="AF548" s="2342"/>
      <c r="AG548" s="75" t="s">
        <v>424</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15"/>
      <c r="C549" s="2416"/>
      <c r="D549" s="2416"/>
      <c r="E549" s="2416"/>
      <c r="F549" s="2416"/>
      <c r="G549" s="2416"/>
      <c r="H549" s="2417"/>
      <c r="I549" s="80" t="s">
        <v>443</v>
      </c>
      <c r="J549" s="80"/>
      <c r="K549" s="80"/>
      <c r="L549" s="80"/>
      <c r="M549" s="80"/>
      <c r="N549" s="80"/>
      <c r="O549" s="80"/>
      <c r="P549" s="80"/>
      <c r="Q549" s="80"/>
      <c r="R549" s="80"/>
      <c r="S549" s="80"/>
      <c r="T549" s="80"/>
      <c r="U549" s="80"/>
      <c r="V549" s="80"/>
      <c r="W549" s="80"/>
      <c r="X549" s="80"/>
      <c r="Y549" s="80"/>
      <c r="Z549" s="80"/>
      <c r="AA549" s="80"/>
      <c r="AB549" s="80"/>
      <c r="AC549" s="2441" t="s">
        <v>625</v>
      </c>
      <c r="AD549" s="2342"/>
      <c r="AE549" s="2342"/>
      <c r="AF549" s="2342"/>
      <c r="AG549" s="65" t="s">
        <v>424</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15"/>
      <c r="C550" s="2416"/>
      <c r="D550" s="2416"/>
      <c r="E550" s="2416"/>
      <c r="F550" s="2416"/>
      <c r="G550" s="2416"/>
      <c r="H550" s="2417"/>
      <c r="I550" s="72" t="s">
        <v>594</v>
      </c>
      <c r="J550" s="72"/>
      <c r="K550" s="72"/>
      <c r="L550" s="72"/>
      <c r="M550" s="72"/>
      <c r="N550" s="72"/>
      <c r="O550" s="72"/>
      <c r="P550" s="72"/>
      <c r="Q550" s="72"/>
      <c r="R550" s="72"/>
      <c r="S550" s="72"/>
      <c r="T550" s="72"/>
      <c r="U550" s="72"/>
      <c r="V550" s="72"/>
      <c r="W550" s="72"/>
      <c r="X550" s="25"/>
      <c r="Y550" s="25"/>
      <c r="AC550" s="2441">
        <v>6</v>
      </c>
      <c r="AD550" s="2342"/>
      <c r="AE550" s="2342"/>
      <c r="AF550" s="2342"/>
      <c r="AG550" s="65" t="s">
        <v>424</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15"/>
      <c r="C551" s="2416"/>
      <c r="D551" s="2416"/>
      <c r="E551" s="2416"/>
      <c r="F551" s="2416"/>
      <c r="G551" s="2416"/>
      <c r="H551" s="2417"/>
      <c r="I551" s="25" t="s">
        <v>595</v>
      </c>
      <c r="J551" s="25"/>
      <c r="K551" s="25"/>
      <c r="L551" s="25"/>
      <c r="M551" s="25"/>
      <c r="N551" s="25"/>
      <c r="O551" s="25"/>
      <c r="P551" s="25"/>
      <c r="Q551" s="25"/>
      <c r="R551" s="25"/>
      <c r="S551" s="25"/>
      <c r="T551" s="25"/>
      <c r="U551" s="25"/>
      <c r="V551" s="25"/>
      <c r="W551" s="25"/>
      <c r="X551" s="25"/>
      <c r="Y551" s="25"/>
      <c r="AC551" s="2441">
        <v>3</v>
      </c>
      <c r="AD551" s="2342"/>
      <c r="AE551" s="2342"/>
      <c r="AF551" s="2342"/>
      <c r="AG551" s="75" t="s">
        <v>424</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15"/>
      <c r="C552" s="2416"/>
      <c r="D552" s="2416"/>
      <c r="E552" s="2416"/>
      <c r="F552" s="2416"/>
      <c r="G552" s="2416"/>
      <c r="H552" s="2417"/>
      <c r="I552" s="25" t="s">
        <v>596</v>
      </c>
      <c r="J552" s="25"/>
      <c r="K552" s="25"/>
      <c r="L552" s="25"/>
      <c r="M552" s="25"/>
      <c r="N552" s="25"/>
      <c r="O552" s="25"/>
      <c r="P552" s="25"/>
      <c r="Q552" s="25"/>
      <c r="R552" s="25"/>
      <c r="S552" s="25"/>
      <c r="T552" s="25"/>
      <c r="U552" s="25"/>
      <c r="V552" s="25"/>
      <c r="W552" s="25"/>
      <c r="X552" s="25"/>
      <c r="Y552" s="25"/>
      <c r="AC552" s="2441">
        <v>9</v>
      </c>
      <c r="AD552" s="2342"/>
      <c r="AE552" s="2342"/>
      <c r="AF552" s="2342"/>
      <c r="AG552" s="65" t="s">
        <v>424</v>
      </c>
      <c r="AH552" s="2195">
        <v>2023</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15"/>
      <c r="C553" s="2416"/>
      <c r="D553" s="2416"/>
      <c r="E553" s="2416"/>
      <c r="F553" s="2416"/>
      <c r="G553" s="2416"/>
      <c r="H553" s="2417"/>
      <c r="I553" s="25" t="s">
        <v>597</v>
      </c>
      <c r="J553" s="25"/>
      <c r="K553" s="25"/>
      <c r="L553" s="25"/>
      <c r="M553" s="25"/>
      <c r="N553" s="25"/>
      <c r="O553" s="25"/>
      <c r="P553" s="25"/>
      <c r="Q553" s="25"/>
      <c r="R553" s="25"/>
      <c r="S553" s="25"/>
      <c r="T553" s="25"/>
      <c r="U553" s="25"/>
      <c r="V553" s="25"/>
      <c r="W553" s="25"/>
      <c r="X553" s="25"/>
      <c r="Y553" s="25"/>
      <c r="AC553" s="2441">
        <v>9</v>
      </c>
      <c r="AD553" s="2342"/>
      <c r="AE553" s="2342"/>
      <c r="AF553" s="2342"/>
      <c r="AG553" s="65" t="s">
        <v>424</v>
      </c>
      <c r="AH553" s="2195">
        <v>2023</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18"/>
      <c r="C554" s="2419"/>
      <c r="D554" s="2419"/>
      <c r="E554" s="2419"/>
      <c r="F554" s="2419"/>
      <c r="G554" s="2419"/>
      <c r="H554" s="2420"/>
      <c r="I554" s="80" t="s">
        <v>481</v>
      </c>
      <c r="J554" s="80"/>
      <c r="K554" s="80"/>
      <c r="L554" s="80"/>
      <c r="M554" s="80"/>
      <c r="N554" s="80"/>
      <c r="O554" s="80"/>
      <c r="P554" s="80"/>
      <c r="Q554" s="80"/>
      <c r="R554" s="80"/>
      <c r="S554" s="80"/>
      <c r="T554" s="80"/>
      <c r="U554" s="80"/>
      <c r="V554" s="80"/>
      <c r="W554" s="80"/>
      <c r="X554" s="80"/>
      <c r="Y554" s="80"/>
      <c r="Z554" s="80"/>
      <c r="AA554" s="80"/>
      <c r="AB554" s="80"/>
      <c r="AC554" s="2441">
        <v>3</v>
      </c>
      <c r="AD554" s="2342"/>
      <c r="AE554" s="2342"/>
      <c r="AF554" s="2342"/>
      <c r="AG554" s="65" t="s">
        <v>424</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2" t="s">
        <v>483</v>
      </c>
      <c r="C563" s="2091"/>
      <c r="D563" s="2091"/>
      <c r="E563" s="2091"/>
      <c r="F563" s="2091"/>
      <c r="G563" s="2091"/>
      <c r="H563" s="2091"/>
      <c r="I563" s="2091"/>
      <c r="J563" s="2091"/>
      <c r="K563" s="2091"/>
      <c r="L563" s="2091"/>
      <c r="M563" s="2091"/>
      <c r="N563" s="2091"/>
      <c r="O563" s="2091"/>
      <c r="P563" s="2092"/>
      <c r="Q563" s="2432" t="s">
        <v>2377</v>
      </c>
      <c r="R563" s="2433"/>
      <c r="S563" s="2434"/>
      <c r="T563" s="2432" t="s">
        <v>2375</v>
      </c>
      <c r="U563" s="2433"/>
      <c r="V563" s="2434"/>
      <c r="W563" s="2432" t="s">
        <v>484</v>
      </c>
      <c r="X563" s="2433"/>
      <c r="Y563" s="2434"/>
      <c r="Z563" s="2432" t="s">
        <v>2376</v>
      </c>
      <c r="AA563" s="2433"/>
      <c r="AB563" s="2433"/>
      <c r="AC563" s="2433"/>
      <c r="AD563" s="2433"/>
      <c r="AE563" s="2432" t="s">
        <v>2149</v>
      </c>
      <c r="AF563" s="2433"/>
      <c r="AG563" s="2433"/>
      <c r="AH563" s="2434"/>
      <c r="AI563" s="2432" t="s">
        <v>2150</v>
      </c>
      <c r="AJ563" s="2433"/>
      <c r="AK563" s="2433"/>
      <c r="AL563" s="2434"/>
      <c r="AM563" s="2432" t="s">
        <v>485</v>
      </c>
      <c r="AN563" s="2433"/>
      <c r="AO563" s="2433"/>
      <c r="AP563" s="2433"/>
      <c r="AQ563" s="2433"/>
      <c r="AR563" s="2433"/>
      <c r="AS563" s="24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8" t="s">
        <v>2661</v>
      </c>
      <c r="D564" s="2088"/>
      <c r="E564" s="2088"/>
      <c r="F564" s="2088"/>
      <c r="G564" s="2088"/>
      <c r="H564" s="2088"/>
      <c r="I564" s="2088"/>
      <c r="J564" s="2088"/>
      <c r="K564" s="2088"/>
      <c r="L564" s="2088"/>
      <c r="M564" s="2088"/>
      <c r="N564" s="2088"/>
      <c r="O564" s="2088"/>
      <c r="P564" s="2089"/>
      <c r="Q564" s="2046">
        <v>30</v>
      </c>
      <c r="R564" s="2046"/>
      <c r="S564" s="2047"/>
      <c r="T564" s="2045">
        <v>30</v>
      </c>
      <c r="U564" s="2046"/>
      <c r="V564" s="2047"/>
      <c r="W564" s="2508">
        <v>0.04</v>
      </c>
      <c r="X564" s="2509"/>
      <c r="Y564" s="2510"/>
      <c r="Z564" s="2507" t="s">
        <v>2593</v>
      </c>
      <c r="AA564" s="2507"/>
      <c r="AB564" s="2507"/>
      <c r="AC564" s="2507"/>
      <c r="AD564" s="2507"/>
      <c r="AE564" s="2501">
        <v>1</v>
      </c>
      <c r="AF564" s="2502"/>
      <c r="AG564" s="2502"/>
      <c r="AH564" s="2503"/>
      <c r="AI564" s="2504" t="s">
        <v>2594</v>
      </c>
      <c r="AJ564" s="2505"/>
      <c r="AK564" s="2505"/>
      <c r="AL564" s="2506"/>
      <c r="AM564" s="2022">
        <v>26000000</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8" t="s">
        <v>2662</v>
      </c>
      <c r="D565" s="2088"/>
      <c r="E565" s="2088"/>
      <c r="F565" s="2088"/>
      <c r="G565" s="2088"/>
      <c r="H565" s="2088"/>
      <c r="I565" s="2088"/>
      <c r="J565" s="2088"/>
      <c r="K565" s="2088"/>
      <c r="L565" s="2088"/>
      <c r="M565" s="2088"/>
      <c r="N565" s="2088"/>
      <c r="O565" s="2088"/>
      <c r="P565" s="2089"/>
      <c r="Q565" s="2045">
        <v>30</v>
      </c>
      <c r="R565" s="2046"/>
      <c r="S565" s="2047"/>
      <c r="T565" s="2045">
        <v>30</v>
      </c>
      <c r="U565" s="2046"/>
      <c r="V565" s="2047"/>
      <c r="W565" s="2508">
        <v>0.04</v>
      </c>
      <c r="X565" s="2509"/>
      <c r="Y565" s="2510"/>
      <c r="Z565" s="2507" t="s">
        <v>2593</v>
      </c>
      <c r="AA565" s="2507"/>
      <c r="AB565" s="2507"/>
      <c r="AC565" s="2507"/>
      <c r="AD565" s="2507"/>
      <c r="AE565" s="2501">
        <v>2</v>
      </c>
      <c r="AF565" s="2502"/>
      <c r="AG565" s="2502"/>
      <c r="AH565" s="2503"/>
      <c r="AI565" s="2504" t="s">
        <v>2594</v>
      </c>
      <c r="AJ565" s="2505"/>
      <c r="AK565" s="2505"/>
      <c r="AL565" s="2506"/>
      <c r="AM565" s="2022">
        <v>9000000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8" t="s">
        <v>2657</v>
      </c>
      <c r="D566" s="2088"/>
      <c r="E566" s="2088"/>
      <c r="F566" s="2088"/>
      <c r="G566" s="2088"/>
      <c r="H566" s="2088"/>
      <c r="I566" s="2088"/>
      <c r="J566" s="2088"/>
      <c r="K566" s="2088"/>
      <c r="L566" s="2088"/>
      <c r="M566" s="2088"/>
      <c r="N566" s="2088"/>
      <c r="O566" s="2088"/>
      <c r="P566" s="2089"/>
      <c r="Q566" s="2045">
        <v>30</v>
      </c>
      <c r="R566" s="2046"/>
      <c r="S566" s="2047"/>
      <c r="T566" s="2045">
        <v>30</v>
      </c>
      <c r="U566" s="2046"/>
      <c r="V566" s="2047"/>
      <c r="W566" s="2508">
        <v>9.9999999999999995E-8</v>
      </c>
      <c r="X566" s="2509"/>
      <c r="Y566" s="2510"/>
      <c r="Z566" s="2507" t="s">
        <v>2593</v>
      </c>
      <c r="AA566" s="2507"/>
      <c r="AB566" s="2507"/>
      <c r="AC566" s="2507"/>
      <c r="AD566" s="2507"/>
      <c r="AE566" s="2501">
        <v>3</v>
      </c>
      <c r="AF566" s="2502"/>
      <c r="AG566" s="2502"/>
      <c r="AH566" s="2503"/>
      <c r="AI566" s="2504" t="s">
        <v>2596</v>
      </c>
      <c r="AJ566" s="2505"/>
      <c r="AK566" s="2505"/>
      <c r="AL566" s="2506"/>
      <c r="AM566" s="2022">
        <v>650000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615</v>
      </c>
      <c r="C567" s="2088" t="s">
        <v>2663</v>
      </c>
      <c r="D567" s="2088"/>
      <c r="E567" s="2088"/>
      <c r="F567" s="2088"/>
      <c r="G567" s="2088"/>
      <c r="H567" s="2088"/>
      <c r="I567" s="2088"/>
      <c r="J567" s="2088"/>
      <c r="K567" s="2088"/>
      <c r="L567" s="2088"/>
      <c r="M567" s="2088"/>
      <c r="N567" s="2088"/>
      <c r="O567" s="2088"/>
      <c r="P567" s="2089"/>
      <c r="Q567" s="2045">
        <v>30</v>
      </c>
      <c r="R567" s="2046"/>
      <c r="S567" s="2047"/>
      <c r="T567" s="2045">
        <v>30</v>
      </c>
      <c r="U567" s="2046"/>
      <c r="V567" s="2047"/>
      <c r="W567" s="2508">
        <v>9.9999999999999995E-7</v>
      </c>
      <c r="X567" s="2509"/>
      <c r="Y567" s="2510"/>
      <c r="Z567" s="2507" t="s">
        <v>2593</v>
      </c>
      <c r="AA567" s="2507"/>
      <c r="AB567" s="2507"/>
      <c r="AC567" s="2507"/>
      <c r="AD567" s="2507"/>
      <c r="AE567" s="2501">
        <v>4</v>
      </c>
      <c r="AF567" s="2502"/>
      <c r="AG567" s="2502"/>
      <c r="AH567" s="2503"/>
      <c r="AI567" s="2504" t="s">
        <v>2596</v>
      </c>
      <c r="AJ567" s="2505"/>
      <c r="AK567" s="2505"/>
      <c r="AL567" s="2506"/>
      <c r="AM567" s="2022">
        <v>293600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088" t="s">
        <v>2664</v>
      </c>
      <c r="D568" s="2088"/>
      <c r="E568" s="2088"/>
      <c r="F568" s="2088"/>
      <c r="G568" s="2088"/>
      <c r="H568" s="2088"/>
      <c r="I568" s="2088"/>
      <c r="J568" s="2088"/>
      <c r="K568" s="2088"/>
      <c r="L568" s="2088"/>
      <c r="M568" s="2088"/>
      <c r="N568" s="2088"/>
      <c r="O568" s="2088"/>
      <c r="P568" s="2089"/>
      <c r="Q568" s="2045">
        <v>30</v>
      </c>
      <c r="R568" s="2046"/>
      <c r="S568" s="2047"/>
      <c r="T568" s="2045">
        <v>30</v>
      </c>
      <c r="U568" s="2046"/>
      <c r="V568" s="2047"/>
      <c r="W568" s="2508">
        <v>1E-8</v>
      </c>
      <c r="X568" s="2509"/>
      <c r="Y568" s="2510"/>
      <c r="Z568" s="2507" t="s">
        <v>2593</v>
      </c>
      <c r="AA568" s="2507"/>
      <c r="AB568" s="2507"/>
      <c r="AC568" s="2507"/>
      <c r="AD568" s="2507"/>
      <c r="AE568" s="2501">
        <v>5</v>
      </c>
      <c r="AF568" s="2502"/>
      <c r="AG568" s="2502"/>
      <c r="AH568" s="2503"/>
      <c r="AI568" s="2504" t="s">
        <v>2596</v>
      </c>
      <c r="AJ568" s="2505"/>
      <c r="AK568" s="2505"/>
      <c r="AL568" s="2506"/>
      <c r="AM568" s="2022">
        <v>6750000</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618</v>
      </c>
      <c r="C569" s="2088" t="s">
        <v>2595</v>
      </c>
      <c r="D569" s="2088"/>
      <c r="E569" s="2088"/>
      <c r="F569" s="2088"/>
      <c r="G569" s="2088"/>
      <c r="H569" s="2088"/>
      <c r="I569" s="2088"/>
      <c r="J569" s="2088"/>
      <c r="K569" s="2088"/>
      <c r="L569" s="2088"/>
      <c r="M569" s="2088"/>
      <c r="N569" s="2088"/>
      <c r="O569" s="2088"/>
      <c r="P569" s="2089"/>
      <c r="Q569" s="2045">
        <v>30</v>
      </c>
      <c r="R569" s="2046"/>
      <c r="S569" s="2047"/>
      <c r="T569" s="2045">
        <v>30</v>
      </c>
      <c r="U569" s="2046"/>
      <c r="V569" s="2047"/>
      <c r="W569" s="2508">
        <v>1E-8</v>
      </c>
      <c r="X569" s="2509"/>
      <c r="Y569" s="2510"/>
      <c r="Z569" s="2507" t="s">
        <v>2593</v>
      </c>
      <c r="AA569" s="2507"/>
      <c r="AB569" s="2507"/>
      <c r="AC569" s="2507"/>
      <c r="AD569" s="2507"/>
      <c r="AE569" s="2501" t="s">
        <v>625</v>
      </c>
      <c r="AF569" s="2502"/>
      <c r="AG569" s="2502"/>
      <c r="AH569" s="2503"/>
      <c r="AI569" s="2504" t="s">
        <v>2596</v>
      </c>
      <c r="AJ569" s="2505"/>
      <c r="AK569" s="2505"/>
      <c r="AL569" s="2506"/>
      <c r="AM569" s="2022">
        <v>3500000</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486</v>
      </c>
      <c r="C570" s="2088" t="s">
        <v>2665</v>
      </c>
      <c r="D570" s="2088"/>
      <c r="E570" s="2088"/>
      <c r="F570" s="2088"/>
      <c r="G570" s="2088"/>
      <c r="H570" s="2088"/>
      <c r="I570" s="2088"/>
      <c r="J570" s="2088"/>
      <c r="K570" s="2088"/>
      <c r="L570" s="2088"/>
      <c r="M570" s="2088"/>
      <c r="N570" s="2088"/>
      <c r="O570" s="2088"/>
      <c r="P570" s="2089"/>
      <c r="Q570" s="2045" t="s">
        <v>625</v>
      </c>
      <c r="R570" s="2046"/>
      <c r="S570" s="2047"/>
      <c r="T570" s="2045" t="s">
        <v>625</v>
      </c>
      <c r="U570" s="2046"/>
      <c r="V570" s="2047"/>
      <c r="W570" s="2508" t="s">
        <v>625</v>
      </c>
      <c r="X570" s="2509"/>
      <c r="Y570" s="2510"/>
      <c r="Z570" s="2507" t="s">
        <v>625</v>
      </c>
      <c r="AA570" s="2507"/>
      <c r="AB570" s="2507"/>
      <c r="AC570" s="2507"/>
      <c r="AD570" s="2507"/>
      <c r="AE570" s="2501" t="s">
        <v>625</v>
      </c>
      <c r="AF570" s="2502"/>
      <c r="AG570" s="2502"/>
      <c r="AH570" s="2503"/>
      <c r="AI570" s="2504" t="s">
        <v>2596</v>
      </c>
      <c r="AJ570" s="2505"/>
      <c r="AK570" s="2505"/>
      <c r="AL570" s="2506"/>
      <c r="AM570" s="2022">
        <v>396955</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487</v>
      </c>
      <c r="C571" s="2088" t="s">
        <v>2597</v>
      </c>
      <c r="D571" s="2088"/>
      <c r="E571" s="2088"/>
      <c r="F571" s="2088"/>
      <c r="G571" s="2088"/>
      <c r="H571" s="2088"/>
      <c r="I571" s="2088"/>
      <c r="J571" s="2088"/>
      <c r="K571" s="2088"/>
      <c r="L571" s="2088"/>
      <c r="M571" s="2088"/>
      <c r="N571" s="2088"/>
      <c r="O571" s="2088"/>
      <c r="P571" s="2089"/>
      <c r="Q571" s="2045" t="s">
        <v>625</v>
      </c>
      <c r="R571" s="2046"/>
      <c r="S571" s="2047"/>
      <c r="T571" s="2045" t="s">
        <v>625</v>
      </c>
      <c r="U571" s="2046"/>
      <c r="V571" s="2047"/>
      <c r="W571" s="2508" t="s">
        <v>625</v>
      </c>
      <c r="X571" s="2509"/>
      <c r="Y571" s="2510"/>
      <c r="Z571" s="2507" t="s">
        <v>625</v>
      </c>
      <c r="AA571" s="2507"/>
      <c r="AB571" s="2507"/>
      <c r="AC571" s="2507"/>
      <c r="AD571" s="2507"/>
      <c r="AE571" s="2501" t="s">
        <v>625</v>
      </c>
      <c r="AF571" s="2502"/>
      <c r="AG571" s="2502"/>
      <c r="AH571" s="2503"/>
      <c r="AI571" s="2504" t="s">
        <v>625</v>
      </c>
      <c r="AJ571" s="2505"/>
      <c r="AK571" s="2505"/>
      <c r="AL571" s="2506"/>
      <c r="AM571" s="2022">
        <v>3413740</v>
      </c>
      <c r="AN571" s="2023"/>
      <c r="AO571" s="2023"/>
      <c r="AP571" s="2023"/>
      <c r="AQ571" s="2023"/>
      <c r="AR571" s="2023"/>
      <c r="AS571" s="202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493</v>
      </c>
      <c r="C572" s="2088"/>
      <c r="D572" s="2088"/>
      <c r="E572" s="2088"/>
      <c r="F572" s="2088"/>
      <c r="G572" s="2088"/>
      <c r="H572" s="2088"/>
      <c r="I572" s="2088"/>
      <c r="J572" s="2088"/>
      <c r="K572" s="2088"/>
      <c r="L572" s="2088"/>
      <c r="M572" s="2088"/>
      <c r="N572" s="2088"/>
      <c r="O572" s="2088"/>
      <c r="P572" s="2089"/>
      <c r="Q572" s="2045"/>
      <c r="R572" s="2046"/>
      <c r="S572" s="2047"/>
      <c r="T572" s="2045"/>
      <c r="U572" s="2046"/>
      <c r="V572" s="2047"/>
      <c r="W572" s="2508"/>
      <c r="X572" s="2509"/>
      <c r="Y572" s="2510"/>
      <c r="Z572" s="2507"/>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088"/>
      <c r="D573" s="2088"/>
      <c r="E573" s="2088"/>
      <c r="F573" s="2088"/>
      <c r="G573" s="2088"/>
      <c r="H573" s="2088"/>
      <c r="I573" s="2088"/>
      <c r="J573" s="2088"/>
      <c r="K573" s="2088"/>
      <c r="L573" s="2088"/>
      <c r="M573" s="2088"/>
      <c r="N573" s="2088"/>
      <c r="O573" s="2088"/>
      <c r="P573" s="2089"/>
      <c r="Q573" s="2045"/>
      <c r="R573" s="2046"/>
      <c r="S573" s="2047"/>
      <c r="T573" s="2045"/>
      <c r="U573" s="2046"/>
      <c r="V573" s="2047"/>
      <c r="W573" s="2508"/>
      <c r="X573" s="2509"/>
      <c r="Y573" s="2510"/>
      <c r="Z573" s="2507"/>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8"/>
      <c r="D574" s="2088"/>
      <c r="E574" s="2088"/>
      <c r="F574" s="2088"/>
      <c r="G574" s="2088"/>
      <c r="H574" s="2088"/>
      <c r="I574" s="2088"/>
      <c r="J574" s="2088"/>
      <c r="K574" s="2088"/>
      <c r="L574" s="2088"/>
      <c r="M574" s="2088"/>
      <c r="N574" s="2088"/>
      <c r="O574" s="2088"/>
      <c r="P574" s="2089"/>
      <c r="Q574" s="2045"/>
      <c r="R574" s="2046"/>
      <c r="S574" s="2047"/>
      <c r="T574" s="2045"/>
      <c r="U574" s="2046"/>
      <c r="V574" s="2047"/>
      <c r="W574" s="2508"/>
      <c r="X574" s="2509"/>
      <c r="Y574" s="2510"/>
      <c r="Z574" s="2507"/>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8"/>
      <c r="D575" s="2088"/>
      <c r="E575" s="2088"/>
      <c r="F575" s="2088"/>
      <c r="G575" s="2088"/>
      <c r="H575" s="2088"/>
      <c r="I575" s="2088"/>
      <c r="J575" s="2088"/>
      <c r="K575" s="2088"/>
      <c r="L575" s="2088"/>
      <c r="M575" s="2088"/>
      <c r="N575" s="2088"/>
      <c r="O575" s="2088"/>
      <c r="P575" s="2089"/>
      <c r="Q575" s="2045"/>
      <c r="R575" s="2046"/>
      <c r="S575" s="2047"/>
      <c r="T575" s="2045"/>
      <c r="U575" s="2046"/>
      <c r="V575" s="2047"/>
      <c r="W575" s="2508"/>
      <c r="X575" s="2509"/>
      <c r="Y575" s="2510"/>
      <c r="Z575" s="2507"/>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0"/>
      <c r="V576" s="2285"/>
      <c r="W576" s="2285"/>
      <c r="X576" s="2285"/>
      <c r="Y576" s="2285"/>
      <c r="Z576" s="2285"/>
      <c r="AA576" s="2285"/>
      <c r="AB576" s="2285"/>
      <c r="AC576" s="2285"/>
      <c r="AD576" s="2285"/>
      <c r="AE576" s="2285"/>
      <c r="AF576" s="2285"/>
      <c r="AG576" s="2285"/>
      <c r="AH576" s="2285"/>
      <c r="AI576" s="2285"/>
      <c r="AJ576" s="2285"/>
      <c r="AK576" s="2285"/>
      <c r="AL576" s="2286"/>
      <c r="AM576" s="2191">
        <f>SUM(AM564:AS575)</f>
        <v>50004295</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495</v>
      </c>
      <c r="G578" s="2021" t="str">
        <f>C564</f>
        <v>Citibank - Tax-Exempt Bonds (Series A)</v>
      </c>
      <c r="H578" s="2021"/>
      <c r="I578" s="2021"/>
      <c r="J578" s="2021"/>
      <c r="K578" s="2021"/>
      <c r="L578" s="2021"/>
      <c r="M578" s="2021"/>
      <c r="N578" s="2021"/>
      <c r="O578" s="2021"/>
      <c r="P578" s="2021"/>
      <c r="Q578" s="2021"/>
      <c r="R578" s="2021"/>
      <c r="S578" s="14"/>
      <c r="T578" s="87" t="s">
        <v>118</v>
      </c>
      <c r="U578" s="12" t="s">
        <v>495</v>
      </c>
      <c r="Z578" s="2021" t="str">
        <f>C565</f>
        <v>Citibank - Taxable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0" t="s">
        <v>2666</v>
      </c>
      <c r="H579" s="2040"/>
      <c r="I579" s="2040"/>
      <c r="J579" s="2040"/>
      <c r="K579" s="2040"/>
      <c r="L579" s="2040"/>
      <c r="M579" s="2040"/>
      <c r="N579" s="2040"/>
      <c r="O579" s="2040"/>
      <c r="P579" s="2040"/>
      <c r="Q579" s="2040"/>
      <c r="R579" s="2040"/>
      <c r="S579" s="14"/>
      <c r="T579" s="35"/>
      <c r="U579" s="12" t="s">
        <v>90</v>
      </c>
      <c r="Z579" s="2040" t="s">
        <v>2666</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614</v>
      </c>
      <c r="G580" s="2040" t="s">
        <v>2667</v>
      </c>
      <c r="H580" s="2040"/>
      <c r="I580" s="2040"/>
      <c r="J580" s="2040"/>
      <c r="K580" s="2040"/>
      <c r="L580" s="2040"/>
      <c r="M580" s="2040"/>
      <c r="N580" s="2040"/>
      <c r="O580" s="2040"/>
      <c r="P580" s="2040"/>
      <c r="Q580" s="2040"/>
      <c r="R580" s="2040"/>
      <c r="S580" s="88"/>
      <c r="T580" s="35"/>
      <c r="U580" s="12" t="s">
        <v>614</v>
      </c>
      <c r="Z580" s="2033" t="s">
        <v>2667</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0" t="s">
        <v>2668</v>
      </c>
      <c r="H581" s="2040"/>
      <c r="I581" s="2040"/>
      <c r="J581" s="2040"/>
      <c r="K581" s="2040"/>
      <c r="L581" s="2040"/>
      <c r="M581" s="2040"/>
      <c r="N581" s="2040"/>
      <c r="O581" s="2040"/>
      <c r="P581" s="2040"/>
      <c r="Q581" s="2040"/>
      <c r="R581" s="2040"/>
      <c r="S581" s="14"/>
      <c r="T581" s="35"/>
      <c r="U581" s="12" t="s">
        <v>17</v>
      </c>
      <c r="Z581" s="2033" t="s">
        <v>2668</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18" t="s">
        <v>2701</v>
      </c>
      <c r="H582" s="2064"/>
      <c r="I582" s="2064"/>
      <c r="J582" s="2064"/>
      <c r="K582" s="2064"/>
      <c r="L582" s="2064"/>
      <c r="O582" s="137" t="s">
        <v>212</v>
      </c>
      <c r="P582" s="2032"/>
      <c r="Q582" s="2032"/>
      <c r="R582" s="2032"/>
      <c r="S582" s="16"/>
      <c r="T582" s="35"/>
      <c r="U582" s="12" t="s">
        <v>325</v>
      </c>
      <c r="Z582" s="2318" t="s">
        <v>2701</v>
      </c>
      <c r="AA582" s="2064"/>
      <c r="AB582" s="2064"/>
      <c r="AC582" s="2064"/>
      <c r="AD582" s="2064"/>
      <c r="AE582" s="2064"/>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0" t="s">
        <v>2598</v>
      </c>
      <c r="I583" s="2040"/>
      <c r="J583" s="2040"/>
      <c r="K583" s="2040"/>
      <c r="L583" s="2040"/>
      <c r="M583" s="2040"/>
      <c r="N583" s="2040"/>
      <c r="O583" s="2040"/>
      <c r="P583" s="2040"/>
      <c r="Q583" s="2040"/>
      <c r="R583" s="2040"/>
      <c r="S583" s="14"/>
      <c r="T583" s="35"/>
      <c r="U583" s="12" t="s">
        <v>18</v>
      </c>
      <c r="AA583" s="2040" t="s">
        <v>2599</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054" t="s">
        <v>625</v>
      </c>
      <c r="N584" s="2054"/>
      <c r="O584" s="2054"/>
      <c r="P584" s="2054"/>
      <c r="Q584" s="2054"/>
      <c r="R584" s="2054"/>
      <c r="S584" s="14"/>
      <c r="T584" s="35"/>
      <c r="U584" s="509" t="s">
        <v>1383</v>
      </c>
      <c r="V584" s="719"/>
      <c r="W584" s="719"/>
      <c r="X584" s="719"/>
      <c r="Y584" s="719"/>
      <c r="Z584" s="719"/>
      <c r="AA584" s="14"/>
      <c r="AB584" s="14"/>
      <c r="AC584" s="14"/>
      <c r="AD584" s="14"/>
      <c r="AE584" s="14"/>
      <c r="AF584" s="2054" t="s">
        <v>625</v>
      </c>
      <c r="AG584" s="2054"/>
      <c r="AH584" s="2054"/>
      <c r="AI584" s="2054"/>
      <c r="AJ584" s="2054"/>
      <c r="AK584" s="205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21" t="str">
        <f>C566</f>
        <v>Town of Mammoth Lakes - Land Loan</v>
      </c>
      <c r="H587" s="2021"/>
      <c r="I587" s="2021"/>
      <c r="J587" s="2021"/>
      <c r="K587" s="2021"/>
      <c r="L587" s="2021"/>
      <c r="M587" s="2021"/>
      <c r="N587" s="2021"/>
      <c r="O587" s="2021"/>
      <c r="P587" s="2021"/>
      <c r="Q587" s="2021"/>
      <c r="R587" s="2021"/>
      <c r="T587" s="87" t="s">
        <v>615</v>
      </c>
      <c r="U587" s="12" t="s">
        <v>495</v>
      </c>
      <c r="Z587" s="2021" t="str">
        <f>C567</f>
        <v>Town of Mammoth Lakes - Fee Deferral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0" t="s">
        <v>2648</v>
      </c>
      <c r="H588" s="2040"/>
      <c r="I588" s="2040"/>
      <c r="J588" s="2040"/>
      <c r="K588" s="2040"/>
      <c r="L588" s="2040"/>
      <c r="M588" s="2040"/>
      <c r="N588" s="2040"/>
      <c r="O588" s="2040"/>
      <c r="P588" s="2040"/>
      <c r="Q588" s="2040"/>
      <c r="R588" s="2040"/>
      <c r="T588" s="35"/>
      <c r="U588" s="12" t="s">
        <v>90</v>
      </c>
      <c r="Z588" s="2040" t="s">
        <v>2648</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33" t="s">
        <v>2649</v>
      </c>
      <c r="H589" s="2033"/>
      <c r="I589" s="2033"/>
      <c r="J589" s="2033"/>
      <c r="K589" s="2033"/>
      <c r="L589" s="2033"/>
      <c r="M589" s="2033"/>
      <c r="N589" s="2033"/>
      <c r="O589" s="2033"/>
      <c r="P589" s="2033"/>
      <c r="Q589" s="2033"/>
      <c r="R589" s="2033"/>
      <c r="T589" s="35"/>
      <c r="U589" s="12" t="s">
        <v>614</v>
      </c>
      <c r="Z589" s="2033" t="s">
        <v>2649</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2624</v>
      </c>
      <c r="H590" s="2033"/>
      <c r="I590" s="2033"/>
      <c r="J590" s="2033"/>
      <c r="K590" s="2033"/>
      <c r="L590" s="2033"/>
      <c r="M590" s="2033"/>
      <c r="N590" s="2033"/>
      <c r="O590" s="2033"/>
      <c r="P590" s="2033"/>
      <c r="Q590" s="2033"/>
      <c r="R590" s="2033"/>
      <c r="T590" s="35"/>
      <c r="U590" s="12" t="s">
        <v>17</v>
      </c>
      <c r="Z590" s="2033" t="s">
        <v>2624</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18" t="s">
        <v>2628</v>
      </c>
      <c r="H591" s="2064"/>
      <c r="I591" s="2064"/>
      <c r="J591" s="2064"/>
      <c r="K591" s="2064"/>
      <c r="L591" s="2064"/>
      <c r="O591" s="137" t="s">
        <v>212</v>
      </c>
      <c r="P591" s="2032"/>
      <c r="Q591" s="2032"/>
      <c r="R591" s="2032"/>
      <c r="T591" s="35"/>
      <c r="U591" s="12" t="s">
        <v>325</v>
      </c>
      <c r="Z591" s="2318" t="s">
        <v>2628</v>
      </c>
      <c r="AA591" s="2064"/>
      <c r="AB591" s="2064"/>
      <c r="AC591" s="2064"/>
      <c r="AD591" s="2064"/>
      <c r="AE591" s="2064"/>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0" t="s">
        <v>2669</v>
      </c>
      <c r="I592" s="2040"/>
      <c r="J592" s="2040"/>
      <c r="K592" s="2040"/>
      <c r="L592" s="2040"/>
      <c r="M592" s="2040"/>
      <c r="N592" s="2040"/>
      <c r="O592" s="2040"/>
      <c r="P592" s="2040"/>
      <c r="Q592" s="2040"/>
      <c r="R592" s="2040"/>
      <c r="T592" s="35"/>
      <c r="U592" s="12" t="s">
        <v>18</v>
      </c>
      <c r="AA592" s="2040" t="s">
        <v>2670</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21" t="str">
        <f>C568</f>
        <v>HCD - IIG Loan</v>
      </c>
      <c r="H595" s="2021"/>
      <c r="I595" s="2021"/>
      <c r="J595" s="2021"/>
      <c r="K595" s="2021"/>
      <c r="L595" s="2021"/>
      <c r="M595" s="2021"/>
      <c r="N595" s="2021"/>
      <c r="O595" s="2021"/>
      <c r="P595" s="2021"/>
      <c r="Q595" s="2021"/>
      <c r="R595" s="2021"/>
      <c r="T595" s="87" t="s">
        <v>618</v>
      </c>
      <c r="U595" s="12" t="s">
        <v>495</v>
      </c>
      <c r="Z595" s="2021" t="str">
        <f>C569</f>
        <v>Pacific West Communities, Inc. - DDF</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0" t="s">
        <v>2671</v>
      </c>
      <c r="H596" s="2040"/>
      <c r="I596" s="2040"/>
      <c r="J596" s="2040"/>
      <c r="K596" s="2040"/>
      <c r="L596" s="2040"/>
      <c r="M596" s="2040"/>
      <c r="N596" s="2040"/>
      <c r="O596" s="2040"/>
      <c r="P596" s="2040"/>
      <c r="Q596" s="2040"/>
      <c r="R596" s="2040"/>
      <c r="T596" s="35"/>
      <c r="U596" s="12" t="s">
        <v>90</v>
      </c>
      <c r="Z596" s="2040" t="s">
        <v>2533</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40" t="s">
        <v>2603</v>
      </c>
      <c r="H597" s="2040"/>
      <c r="I597" s="2040"/>
      <c r="J597" s="2040"/>
      <c r="K597" s="2040"/>
      <c r="L597" s="2040"/>
      <c r="M597" s="2040"/>
      <c r="N597" s="2040"/>
      <c r="O597" s="2040"/>
      <c r="P597" s="2040"/>
      <c r="Q597" s="2040"/>
      <c r="R597" s="2040"/>
      <c r="T597" s="35"/>
      <c r="U597" s="12" t="s">
        <v>614</v>
      </c>
      <c r="Z597" s="2033" t="s">
        <v>2548</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0" t="s">
        <v>2672</v>
      </c>
      <c r="H598" s="2040"/>
      <c r="I598" s="2040"/>
      <c r="J598" s="2040"/>
      <c r="K598" s="2040"/>
      <c r="L598" s="2040"/>
      <c r="M598" s="2040"/>
      <c r="N598" s="2040"/>
      <c r="O598" s="2040"/>
      <c r="P598" s="2040"/>
      <c r="Q598" s="2040"/>
      <c r="R598" s="2040"/>
      <c r="T598" s="35"/>
      <c r="U598" s="12" t="s">
        <v>17</v>
      </c>
      <c r="Z598" s="2033" t="s">
        <v>2536</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18" t="s">
        <v>2673</v>
      </c>
      <c r="H599" s="2064"/>
      <c r="I599" s="2064"/>
      <c r="J599" s="2064"/>
      <c r="K599" s="2064"/>
      <c r="L599" s="2064"/>
      <c r="O599" s="137" t="s">
        <v>212</v>
      </c>
      <c r="P599" s="2032"/>
      <c r="Q599" s="2032"/>
      <c r="R599" s="2032"/>
      <c r="T599" s="35"/>
      <c r="U599" s="12" t="s">
        <v>325</v>
      </c>
      <c r="Z599" s="2318" t="s">
        <v>2537</v>
      </c>
      <c r="AA599" s="2064"/>
      <c r="AB599" s="2064"/>
      <c r="AC599" s="2064"/>
      <c r="AD599" s="2064"/>
      <c r="AE599" s="2064"/>
      <c r="AH599" s="137" t="s">
        <v>212</v>
      </c>
      <c r="AI599" s="2032">
        <v>3015</v>
      </c>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0" t="s">
        <v>2674</v>
      </c>
      <c r="I600" s="2040"/>
      <c r="J600" s="2040"/>
      <c r="K600" s="2040"/>
      <c r="L600" s="2040"/>
      <c r="M600" s="2040"/>
      <c r="N600" s="2040"/>
      <c r="O600" s="2040"/>
      <c r="P600" s="2040"/>
      <c r="Q600" s="2040"/>
      <c r="R600" s="2040"/>
      <c r="T600" s="35"/>
      <c r="U600" s="12" t="s">
        <v>18</v>
      </c>
      <c r="AA600" s="2040" t="s">
        <v>2125</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577</v>
      </c>
      <c r="O601" s="2031"/>
      <c r="T601" s="35"/>
      <c r="U601" s="12" t="s">
        <v>20</v>
      </c>
      <c r="AG601" s="2031" t="s">
        <v>577</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486</v>
      </c>
      <c r="B603" s="12" t="s">
        <v>495</v>
      </c>
      <c r="G603" s="2021" t="str">
        <f>C570</f>
        <v>Mammoth Lakes Pacific Assoc - Def. Costs</v>
      </c>
      <c r="H603" s="2021"/>
      <c r="I603" s="2021"/>
      <c r="J603" s="2021"/>
      <c r="K603" s="2021"/>
      <c r="L603" s="2021"/>
      <c r="M603" s="2021"/>
      <c r="N603" s="2021"/>
      <c r="O603" s="2021"/>
      <c r="P603" s="2021"/>
      <c r="Q603" s="2021"/>
      <c r="R603" s="2021"/>
      <c r="T603" s="87" t="s">
        <v>487</v>
      </c>
      <c r="U603" s="12" t="s">
        <v>495</v>
      </c>
      <c r="Z603" s="2021" t="str">
        <f>C571</f>
        <v>Boston Financial - LIHTC Equity</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0" t="s">
        <v>2533</v>
      </c>
      <c r="H604" s="2040"/>
      <c r="I604" s="2040"/>
      <c r="J604" s="2040"/>
      <c r="K604" s="2040"/>
      <c r="L604" s="2040"/>
      <c r="M604" s="2040"/>
      <c r="N604" s="2040"/>
      <c r="O604" s="2040"/>
      <c r="P604" s="2040"/>
      <c r="Q604" s="2040"/>
      <c r="R604" s="2040"/>
      <c r="T604" s="35"/>
      <c r="U604" s="12" t="s">
        <v>90</v>
      </c>
      <c r="Z604" s="2040" t="s">
        <v>2564</v>
      </c>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40" t="s">
        <v>2548</v>
      </c>
      <c r="H605" s="2040"/>
      <c r="I605" s="2040"/>
      <c r="J605" s="2040"/>
      <c r="K605" s="2040"/>
      <c r="L605" s="2040"/>
      <c r="M605" s="2040"/>
      <c r="N605" s="2040"/>
      <c r="O605" s="2040"/>
      <c r="P605" s="2040"/>
      <c r="Q605" s="2040"/>
      <c r="R605" s="2040"/>
      <c r="T605" s="35"/>
      <c r="U605" s="12" t="s">
        <v>614</v>
      </c>
      <c r="Z605" s="2033" t="s">
        <v>2566</v>
      </c>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0" t="s">
        <v>2536</v>
      </c>
      <c r="H606" s="2040"/>
      <c r="I606" s="2040"/>
      <c r="J606" s="2040"/>
      <c r="K606" s="2040"/>
      <c r="L606" s="2040"/>
      <c r="M606" s="2040"/>
      <c r="N606" s="2040"/>
      <c r="O606" s="2040"/>
      <c r="P606" s="2040"/>
      <c r="Q606" s="2040"/>
      <c r="R606" s="2040"/>
      <c r="T606" s="35"/>
      <c r="U606" s="12" t="s">
        <v>17</v>
      </c>
      <c r="Z606" s="2033" t="s">
        <v>2565</v>
      </c>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318" t="s">
        <v>2537</v>
      </c>
      <c r="H607" s="2064"/>
      <c r="I607" s="2064"/>
      <c r="J607" s="2064"/>
      <c r="K607" s="2064"/>
      <c r="L607" s="2064"/>
      <c r="M607" s="12"/>
      <c r="N607" s="12"/>
      <c r="O607" s="137" t="s">
        <v>212</v>
      </c>
      <c r="P607" s="2032">
        <v>3015</v>
      </c>
      <c r="Q607" s="2032"/>
      <c r="R607" s="2032"/>
      <c r="S607" s="12"/>
      <c r="T607" s="35"/>
      <c r="U607" s="12" t="s">
        <v>325</v>
      </c>
      <c r="V607" s="12"/>
      <c r="W607" s="12"/>
      <c r="X607" s="12"/>
      <c r="Y607" s="12"/>
      <c r="Z607" s="2318" t="s">
        <v>2567</v>
      </c>
      <c r="AA607" s="2064"/>
      <c r="AB607" s="2064"/>
      <c r="AC607" s="2064"/>
      <c r="AD607" s="2064"/>
      <c r="AE607" s="2064"/>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0" t="s">
        <v>2600</v>
      </c>
      <c r="I608" s="2040"/>
      <c r="J608" s="2040"/>
      <c r="K608" s="2040"/>
      <c r="L608" s="2040"/>
      <c r="M608" s="2040"/>
      <c r="N608" s="2040"/>
      <c r="O608" s="2040"/>
      <c r="P608" s="2040"/>
      <c r="Q608" s="2040"/>
      <c r="R608" s="2040"/>
      <c r="S608" s="12"/>
      <c r="T608" s="35"/>
      <c r="U608" s="12" t="s">
        <v>18</v>
      </c>
      <c r="V608" s="12"/>
      <c r="W608" s="12"/>
      <c r="X608" s="12"/>
      <c r="Y608" s="12"/>
      <c r="Z608" s="12"/>
      <c r="AA608" s="2040" t="s">
        <v>2601</v>
      </c>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98" t="s">
        <v>667</v>
      </c>
      <c r="BO609" s="2199"/>
      <c r="BP609" s="2199"/>
      <c r="BQ609" s="2199"/>
      <c r="BR609" s="2200"/>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492</v>
      </c>
      <c r="CI609" s="2071"/>
      <c r="CJ609" s="2071"/>
      <c r="CK609" s="2071"/>
      <c r="CL609" s="2071"/>
      <c r="CM609" s="2071" t="s">
        <v>31</v>
      </c>
      <c r="CN609" s="2071"/>
      <c r="CO609" s="2071"/>
      <c r="CP609" s="2071"/>
      <c r="CQ609" s="2071"/>
      <c r="CR609" s="1804"/>
      <c r="CS609" s="2071" t="s">
        <v>667</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492</v>
      </c>
      <c r="DN609" s="2071"/>
      <c r="DO609" s="2071"/>
      <c r="DP609" s="2071"/>
      <c r="DQ609" s="2071"/>
      <c r="DR609" s="2071" t="s">
        <v>31</v>
      </c>
      <c r="DS609" s="2071"/>
      <c r="DT609" s="2071"/>
      <c r="DU609" s="2071"/>
      <c r="DV609" s="2071"/>
      <c r="DX609" s="2071" t="s">
        <v>667</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492</v>
      </c>
      <c r="ES609" s="2071"/>
      <c r="ET609" s="2071"/>
      <c r="EU609" s="2071"/>
      <c r="EV609" s="2071"/>
      <c r="EW609" s="2071" t="s">
        <v>31</v>
      </c>
      <c r="EX609" s="2071"/>
      <c r="EY609" s="2071"/>
      <c r="EZ609" s="2071"/>
      <c r="FA609" s="207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4</v>
      </c>
      <c r="BL610" s="2019"/>
      <c r="BM610" s="58"/>
      <c r="BN610" s="2010">
        <f t="shared" ref="BN610:BN634" si="4">IF(B728="SRO/Studio",G728,0)</f>
        <v>4</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4</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f t="shared" ref="DX610:DX634" si="16">IF(BN610&gt;0,O728," ")</f>
        <v>348</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v>
      </c>
      <c r="BH611" s="2019"/>
      <c r="BI611" s="2035">
        <f t="shared" si="2"/>
        <v>0</v>
      </c>
      <c r="BJ611" s="2037"/>
      <c r="BK611" s="2017">
        <f t="shared" si="3"/>
        <v>0</v>
      </c>
      <c r="BL611" s="2019"/>
      <c r="BM611" s="58"/>
      <c r="BN611" s="2010">
        <f t="shared" si="4"/>
        <v>1</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f t="shared" si="16"/>
        <v>625</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12</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f t="shared" si="16"/>
        <v>763</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614</v>
      </c>
      <c r="G613" s="2040"/>
      <c r="H613" s="2040"/>
      <c r="I613" s="2040"/>
      <c r="J613" s="2040"/>
      <c r="K613" s="2040"/>
      <c r="L613" s="2040"/>
      <c r="M613" s="2040"/>
      <c r="N613" s="2040"/>
      <c r="O613" s="2040"/>
      <c r="P613" s="2040"/>
      <c r="Q613" s="2040"/>
      <c r="R613" s="2040"/>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4</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f t="shared" si="16"/>
        <v>1040</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40"/>
      <c r="H614" s="2040"/>
      <c r="I614" s="2040"/>
      <c r="J614" s="2040"/>
      <c r="K614" s="2040"/>
      <c r="L614" s="2040"/>
      <c r="M614" s="2040"/>
      <c r="N614" s="2040"/>
      <c r="O614" s="2040"/>
      <c r="P614" s="2040"/>
      <c r="Q614" s="2040"/>
      <c r="R614" s="2040"/>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1</v>
      </c>
      <c r="BJ614" s="2037"/>
      <c r="BK614" s="2017">
        <f t="shared" si="3"/>
        <v>2</v>
      </c>
      <c r="BL614" s="2019"/>
      <c r="BM614" s="58"/>
      <c r="BN614" s="2010">
        <f t="shared" si="4"/>
        <v>0</v>
      </c>
      <c r="BO614" s="2011"/>
      <c r="BP614" s="2011"/>
      <c r="BQ614" s="2011"/>
      <c r="BR614" s="2012"/>
      <c r="BS614" s="2016">
        <f t="shared" si="5"/>
        <v>2</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2</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f t="shared" si="17"/>
        <v>366</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64"/>
      <c r="H615" s="2064"/>
      <c r="I615" s="2064"/>
      <c r="J615" s="2064"/>
      <c r="K615" s="2064"/>
      <c r="L615" s="2064"/>
      <c r="O615" s="137" t="s">
        <v>212</v>
      </c>
      <c r="P615" s="2032"/>
      <c r="Q615" s="2032"/>
      <c r="R615" s="2032"/>
      <c r="T615" s="35"/>
      <c r="U615" s="12" t="s">
        <v>325</v>
      </c>
      <c r="Z615" s="2064"/>
      <c r="AA615" s="2064"/>
      <c r="AB615" s="2064"/>
      <c r="AC615" s="2064"/>
      <c r="AD615" s="2064"/>
      <c r="AE615" s="2064"/>
      <c r="AH615" s="137" t="s">
        <v>212</v>
      </c>
      <c r="AI615" s="2032"/>
      <c r="AJ615" s="2032"/>
      <c r="AK615" s="2032"/>
      <c r="AZ615" s="58"/>
      <c r="BA615" s="58"/>
      <c r="BB615" s="58"/>
      <c r="BC615" s="58"/>
      <c r="BD615" s="58"/>
      <c r="BE615" s="2035">
        <f t="shared" si="0"/>
        <v>1</v>
      </c>
      <c r="BF615" s="2037"/>
      <c r="BG615" s="2017">
        <f t="shared" si="1"/>
        <v>2</v>
      </c>
      <c r="BH615" s="2019"/>
      <c r="BI615" s="2035">
        <f t="shared" si="2"/>
        <v>0</v>
      </c>
      <c r="BJ615" s="2037"/>
      <c r="BK615" s="2017">
        <f t="shared" si="3"/>
        <v>0</v>
      </c>
      <c r="BL615" s="2019"/>
      <c r="BM615" s="58"/>
      <c r="BN615" s="2010">
        <f t="shared" si="4"/>
        <v>0</v>
      </c>
      <c r="BO615" s="2011"/>
      <c r="BP615" s="2011"/>
      <c r="BQ615" s="2011"/>
      <c r="BR615" s="2012"/>
      <c r="BS615" s="2016">
        <f t="shared" si="5"/>
        <v>2</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f t="shared" si="17"/>
        <v>662</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12</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f t="shared" si="17"/>
        <v>810</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2</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f t="shared" si="17"/>
        <v>1107</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1</v>
      </c>
      <c r="BJ618" s="2037"/>
      <c r="BK618" s="2017">
        <f t="shared" si="3"/>
        <v>1</v>
      </c>
      <c r="BL618" s="2019"/>
      <c r="BM618" s="58"/>
      <c r="BN618" s="2010">
        <f t="shared" si="4"/>
        <v>0</v>
      </c>
      <c r="BO618" s="2011"/>
      <c r="BP618" s="2011"/>
      <c r="BQ618" s="2011"/>
      <c r="BR618" s="2012"/>
      <c r="BS618" s="2016">
        <f t="shared" si="5"/>
        <v>0</v>
      </c>
      <c r="BT618" s="2016"/>
      <c r="BU618" s="2016"/>
      <c r="BV618" s="2016"/>
      <c r="BW618" s="2016"/>
      <c r="BX618" s="2016">
        <f t="shared" si="6"/>
        <v>1</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1</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428</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1</v>
      </c>
      <c r="BF619" s="2037"/>
      <c r="BG619" s="2017">
        <f t="shared" si="1"/>
        <v>2</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2</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f t="shared" si="18"/>
        <v>783</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12</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f t="shared" si="18"/>
        <v>961</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614</v>
      </c>
      <c r="G621" s="2040"/>
      <c r="H621" s="2040"/>
      <c r="I621" s="2040"/>
      <c r="J621" s="2040"/>
      <c r="K621" s="2040"/>
      <c r="L621" s="2040"/>
      <c r="M621" s="2040"/>
      <c r="N621" s="2040"/>
      <c r="O621" s="2040"/>
      <c r="P621" s="2040"/>
      <c r="Q621" s="2040"/>
      <c r="R621" s="2040"/>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5</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f t="shared" si="18"/>
        <v>1317</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40"/>
      <c r="H622" s="2040"/>
      <c r="I622" s="2040"/>
      <c r="J622" s="2040"/>
      <c r="K622" s="2040"/>
      <c r="L622" s="2040"/>
      <c r="M622" s="2040"/>
      <c r="N622" s="2040"/>
      <c r="O622" s="2040"/>
      <c r="P622" s="2040"/>
      <c r="Q622" s="2040"/>
      <c r="R622" s="2040"/>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1</v>
      </c>
      <c r="BJ622" s="2037"/>
      <c r="BK622" s="2017">
        <f t="shared" si="3"/>
        <v>1</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1</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1</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f t="shared" si="19"/>
        <v>484</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64"/>
      <c r="H623" s="2064"/>
      <c r="I623" s="2064"/>
      <c r="J623" s="2064"/>
      <c r="K623" s="2064"/>
      <c r="L623" s="2064"/>
      <c r="O623" s="137" t="s">
        <v>212</v>
      </c>
      <c r="P623" s="2032"/>
      <c r="Q623" s="2032"/>
      <c r="R623" s="2032"/>
      <c r="U623" s="12" t="s">
        <v>325</v>
      </c>
      <c r="Z623" s="2064"/>
      <c r="AA623" s="2064"/>
      <c r="AB623" s="2064"/>
      <c r="AC623" s="2064"/>
      <c r="AD623" s="2064"/>
      <c r="AE623" s="2064"/>
      <c r="AH623" s="137" t="s">
        <v>212</v>
      </c>
      <c r="AI623" s="2032"/>
      <c r="AJ623" s="2032"/>
      <c r="AK623" s="2032"/>
      <c r="AZ623" s="58"/>
      <c r="BA623" s="58"/>
      <c r="BB623" s="58"/>
      <c r="BC623" s="58"/>
      <c r="BD623" s="58"/>
      <c r="BE623" s="2035">
        <f t="shared" si="0"/>
        <v>1</v>
      </c>
      <c r="BF623" s="2037"/>
      <c r="BG623" s="2017">
        <f t="shared" si="1"/>
        <v>3</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3</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f t="shared" si="19"/>
        <v>895</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12</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f t="shared" si="19"/>
        <v>1100</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5</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f t="shared" si="19"/>
        <v>1511</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99" t="s">
        <v>483</v>
      </c>
      <c r="C634" s="2100"/>
      <c r="D634" s="2100"/>
      <c r="E634" s="2100"/>
      <c r="F634" s="2100"/>
      <c r="G634" s="2100"/>
      <c r="H634" s="2100"/>
      <c r="I634" s="2100"/>
      <c r="J634" s="2100"/>
      <c r="K634" s="2100"/>
      <c r="L634" s="2100"/>
      <c r="M634" s="2100"/>
      <c r="N634" s="2101"/>
      <c r="O634" s="2090" t="s">
        <v>2377</v>
      </c>
      <c r="P634" s="2091"/>
      <c r="Q634" s="2092"/>
      <c r="R634" s="2090" t="s">
        <v>2375</v>
      </c>
      <c r="S634" s="2091"/>
      <c r="T634" s="2092"/>
      <c r="U634" s="2048" t="s">
        <v>484</v>
      </c>
      <c r="V634" s="2048"/>
      <c r="W634" s="2049"/>
      <c r="X634" s="2090" t="s">
        <v>2151</v>
      </c>
      <c r="Y634" s="2091"/>
      <c r="Z634" s="2091"/>
      <c r="AA634" s="2091"/>
      <c r="AB634" s="2092"/>
      <c r="AC634" s="2319" t="s">
        <v>2149</v>
      </c>
      <c r="AD634" s="2320"/>
      <c r="AE634" s="2321"/>
      <c r="AF634" s="2090" t="s">
        <v>2152</v>
      </c>
      <c r="AG634" s="2091"/>
      <c r="AH634" s="2091"/>
      <c r="AI634" s="2091"/>
      <c r="AJ634" s="2092"/>
      <c r="AK634" s="2308" t="s">
        <v>2153</v>
      </c>
      <c r="AL634" s="2309"/>
      <c r="AM634" s="2309"/>
      <c r="AN634" s="2310"/>
      <c r="AO634" s="2435" t="s">
        <v>485</v>
      </c>
      <c r="AP634" s="2435"/>
      <c r="AQ634" s="2435"/>
      <c r="AR634" s="2435"/>
      <c r="AS634" s="2435"/>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102"/>
      <c r="C635" s="2103"/>
      <c r="D635" s="2103"/>
      <c r="E635" s="2103"/>
      <c r="F635" s="2103"/>
      <c r="G635" s="2103"/>
      <c r="H635" s="2103"/>
      <c r="I635" s="2103"/>
      <c r="J635" s="2103"/>
      <c r="K635" s="2103"/>
      <c r="L635" s="2103"/>
      <c r="M635" s="2103"/>
      <c r="N635" s="2104"/>
      <c r="O635" s="2093"/>
      <c r="P635" s="2094"/>
      <c r="Q635" s="2095"/>
      <c r="R635" s="2093"/>
      <c r="S635" s="2094"/>
      <c r="T635" s="2095"/>
      <c r="U635" s="2050"/>
      <c r="V635" s="2050"/>
      <c r="W635" s="2051"/>
      <c r="X635" s="2093"/>
      <c r="Y635" s="2094"/>
      <c r="Z635" s="2094"/>
      <c r="AA635" s="2094"/>
      <c r="AB635" s="2095"/>
      <c r="AC635" s="2322"/>
      <c r="AD635" s="2323"/>
      <c r="AE635" s="2324"/>
      <c r="AF635" s="2093"/>
      <c r="AG635" s="2094"/>
      <c r="AH635" s="2094"/>
      <c r="AI635" s="2094"/>
      <c r="AJ635" s="2095"/>
      <c r="AK635" s="2311"/>
      <c r="AL635" s="2312"/>
      <c r="AM635" s="2312"/>
      <c r="AN635" s="2313"/>
      <c r="AO635" s="2435"/>
      <c r="AP635" s="2435"/>
      <c r="AQ635" s="2435"/>
      <c r="AR635" s="2435"/>
      <c r="AS635" s="2435"/>
      <c r="AT635" s="1822"/>
      <c r="AU635" s="1822"/>
      <c r="AV635" s="1822"/>
      <c r="AW635" s="1822"/>
      <c r="AX635" s="1822"/>
      <c r="AY635" s="1822"/>
      <c r="AZ635" s="181"/>
      <c r="BA635" s="181"/>
      <c r="BB635" s="181"/>
      <c r="BC635" s="181"/>
      <c r="BD635" s="181"/>
      <c r="BE635" s="181"/>
      <c r="BF635" s="181"/>
      <c r="BG635" s="2035">
        <f>SUM(BG610:BH634)</f>
        <v>8</v>
      </c>
      <c r="BH635" s="2037"/>
      <c r="BI635" s="181"/>
      <c r="BJ635" s="181"/>
      <c r="BK635" s="2035">
        <f>SUM(BK610:BL634)</f>
        <v>8</v>
      </c>
      <c r="BL635" s="2037"/>
      <c r="BM635" s="181"/>
      <c r="BN635" s="2035">
        <f>SUM(BN610:BR634)</f>
        <v>21</v>
      </c>
      <c r="BO635" s="2036"/>
      <c r="BP635" s="2036"/>
      <c r="BQ635" s="2036"/>
      <c r="BR635" s="2037"/>
      <c r="BS635" s="2039">
        <f>SUM(BS610:BW634)</f>
        <v>18</v>
      </c>
      <c r="BT635" s="2039"/>
      <c r="BU635" s="2039"/>
      <c r="BV635" s="2039"/>
      <c r="BW635" s="2039"/>
      <c r="BX635" s="2039">
        <f>SUM(BX610:CB634)</f>
        <v>20</v>
      </c>
      <c r="BY635" s="2039"/>
      <c r="BZ635" s="2039"/>
      <c r="CA635" s="2039"/>
      <c r="CB635" s="2039"/>
      <c r="CC635" s="2039">
        <f>SUM(CC610:CG634)</f>
        <v>21</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4</v>
      </c>
      <c r="CT635" s="2039"/>
      <c r="CU635" s="2039"/>
      <c r="CV635" s="2039"/>
      <c r="CW635" s="2039"/>
      <c r="CX635" s="2039">
        <f>SUM(CX610:DB634)</f>
        <v>2</v>
      </c>
      <c r="CY635" s="2039"/>
      <c r="CZ635" s="2039"/>
      <c r="DA635" s="2039"/>
      <c r="DB635" s="2039"/>
      <c r="DC635" s="2039">
        <f>SUM(DC610:DG634)</f>
        <v>1</v>
      </c>
      <c r="DD635" s="2039"/>
      <c r="DE635" s="2039"/>
      <c r="DF635" s="2039"/>
      <c r="DG635" s="2039"/>
      <c r="DH635" s="2039">
        <f>SUM(DH610:DL634)</f>
        <v>1</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2776</v>
      </c>
      <c r="DY635" s="2039"/>
      <c r="DZ635" s="2039"/>
      <c r="EA635" s="2039"/>
      <c r="EB635" s="2039"/>
      <c r="EC635" s="2039">
        <f>SUM(EC610:EG634)</f>
        <v>2945</v>
      </c>
      <c r="ED635" s="2039"/>
      <c r="EE635" s="2039"/>
      <c r="EF635" s="2039"/>
      <c r="EG635" s="2039"/>
      <c r="EH635" s="2039">
        <f>SUM(EH610:EL634)</f>
        <v>3489</v>
      </c>
      <c r="EI635" s="2039"/>
      <c r="EJ635" s="2039"/>
      <c r="EK635" s="2039"/>
      <c r="EL635" s="2039"/>
      <c r="EM635" s="2039">
        <f>SUM(EM610:EQ634)</f>
        <v>3990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9">
      <c r="B636" s="2105"/>
      <c r="C636" s="2103"/>
      <c r="D636" s="2103"/>
      <c r="E636" s="2103"/>
      <c r="F636" s="2103"/>
      <c r="G636" s="2103"/>
      <c r="H636" s="2103"/>
      <c r="I636" s="2103"/>
      <c r="J636" s="2103"/>
      <c r="K636" s="2103"/>
      <c r="L636" s="2103"/>
      <c r="M636" s="2103"/>
      <c r="N636" s="2104"/>
      <c r="O636" s="2096"/>
      <c r="P636" s="2097"/>
      <c r="Q636" s="2098"/>
      <c r="R636" s="2096"/>
      <c r="S636" s="2097"/>
      <c r="T636" s="2098"/>
      <c r="U636" s="2052"/>
      <c r="V636" s="2052"/>
      <c r="W636" s="2053"/>
      <c r="X636" s="2096"/>
      <c r="Y636" s="2097"/>
      <c r="Z636" s="2097"/>
      <c r="AA636" s="2097"/>
      <c r="AB636" s="2098"/>
      <c r="AC636" s="2325"/>
      <c r="AD636" s="2326"/>
      <c r="AE636" s="2327"/>
      <c r="AF636" s="2096"/>
      <c r="AG636" s="2097"/>
      <c r="AH636" s="2097"/>
      <c r="AI636" s="2097"/>
      <c r="AJ636" s="2098"/>
      <c r="AK636" s="2314"/>
      <c r="AL636" s="2315"/>
      <c r="AM636" s="2315"/>
      <c r="AN636" s="2316"/>
      <c r="AO636" s="2435"/>
      <c r="AP636" s="2435"/>
      <c r="AQ636" s="2435"/>
      <c r="AR636" s="2435"/>
      <c r="AS636" s="243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5">
        <f>BN635+BS635+BX635+CC635+CH635+CM635</f>
        <v>80</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8" t="s">
        <v>2661</v>
      </c>
      <c r="D637" s="2032"/>
      <c r="E637" s="2032"/>
      <c r="F637" s="2032"/>
      <c r="G637" s="2032"/>
      <c r="H637" s="2032"/>
      <c r="I637" s="2032"/>
      <c r="J637" s="2032"/>
      <c r="K637" s="2032"/>
      <c r="L637" s="2032"/>
      <c r="M637" s="2032"/>
      <c r="N637" s="2106"/>
      <c r="O637" s="2065">
        <v>360</v>
      </c>
      <c r="P637" s="2066"/>
      <c r="Q637" s="2067"/>
      <c r="R637" s="2045">
        <v>480</v>
      </c>
      <c r="S637" s="2046"/>
      <c r="T637" s="2047"/>
      <c r="U637" s="2058">
        <v>4.4999999999999998E-2</v>
      </c>
      <c r="V637" s="2059"/>
      <c r="W637" s="2060"/>
      <c r="X637" s="2055" t="s">
        <v>2150</v>
      </c>
      <c r="Y637" s="2056"/>
      <c r="Z637" s="2056"/>
      <c r="AA637" s="2056"/>
      <c r="AB637" s="2057"/>
      <c r="AC637" s="2041">
        <v>1</v>
      </c>
      <c r="AD637" s="2042"/>
      <c r="AE637" s="2043"/>
      <c r="AF637" s="2061">
        <v>323688</v>
      </c>
      <c r="AG637" s="2062"/>
      <c r="AH637" s="2062"/>
      <c r="AI637" s="2062"/>
      <c r="AJ637" s="2063"/>
      <c r="AK637" s="2068"/>
      <c r="AL637" s="2069"/>
      <c r="AM637" s="2069"/>
      <c r="AN637" s="2070"/>
      <c r="AO637" s="2044">
        <v>6000000</v>
      </c>
      <c r="AP637" s="2044"/>
      <c r="AQ637" s="2044"/>
      <c r="AR637" s="2044"/>
      <c r="AS637" s="2044"/>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21</v>
      </c>
      <c r="BS637" s="58"/>
      <c r="BT637" s="58"/>
      <c r="BU637" s="58"/>
      <c r="BV637" s="58"/>
      <c r="BW637" s="1470">
        <f>BS635*1</f>
        <v>18</v>
      </c>
      <c r="BX637" s="58"/>
      <c r="BY637" s="58"/>
      <c r="BZ637" s="58"/>
      <c r="CA637" s="58"/>
      <c r="CB637" s="1470">
        <f>BX635*2</f>
        <v>40</v>
      </c>
      <c r="CC637" s="58"/>
      <c r="CD637" s="58"/>
      <c r="CE637" s="58"/>
      <c r="CF637" s="58"/>
      <c r="CG637" s="1470">
        <f>CC635*3</f>
        <v>63</v>
      </c>
      <c r="CH637" s="58"/>
      <c r="CI637" s="58"/>
      <c r="CJ637" s="58"/>
      <c r="CK637" s="58"/>
      <c r="CL637" s="1470">
        <f>CH635*4</f>
        <v>0</v>
      </c>
      <c r="CM637" s="58"/>
      <c r="CN637" s="58"/>
      <c r="CO637" s="58"/>
      <c r="CP637" s="58"/>
      <c r="CQ637" s="1470">
        <f>CM635*5</f>
        <v>0</v>
      </c>
      <c r="CS637" s="1470">
        <f>BR637+BW637+CB637+CG637+CL637+CQ637</f>
        <v>142</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8" t="s">
        <v>2675</v>
      </c>
      <c r="D638" s="2032"/>
      <c r="E638" s="2032"/>
      <c r="F638" s="2032"/>
      <c r="G638" s="2032"/>
      <c r="H638" s="2032"/>
      <c r="I638" s="2032"/>
      <c r="J638" s="2032"/>
      <c r="K638" s="2032"/>
      <c r="L638" s="2032"/>
      <c r="M638" s="2032"/>
      <c r="N638" s="2106"/>
      <c r="O638" s="2065">
        <v>660</v>
      </c>
      <c r="P638" s="2066"/>
      <c r="Q638" s="2067"/>
      <c r="R638" s="2045">
        <v>660</v>
      </c>
      <c r="S638" s="2046"/>
      <c r="T638" s="2047"/>
      <c r="U638" s="2058">
        <v>0.03</v>
      </c>
      <c r="V638" s="2059"/>
      <c r="W638" s="2060"/>
      <c r="X638" s="2055" t="s">
        <v>489</v>
      </c>
      <c r="Y638" s="2056"/>
      <c r="Z638" s="2056"/>
      <c r="AA638" s="2056"/>
      <c r="AB638" s="2057"/>
      <c r="AC638" s="2041">
        <v>2</v>
      </c>
      <c r="AD638" s="2042"/>
      <c r="AE638" s="2043"/>
      <c r="AF638" s="2061" t="s">
        <v>2602</v>
      </c>
      <c r="AG638" s="2062"/>
      <c r="AH638" s="2062"/>
      <c r="AI638" s="2062"/>
      <c r="AJ638" s="2063"/>
      <c r="AK638" s="2068"/>
      <c r="AL638" s="2069"/>
      <c r="AM638" s="2069"/>
      <c r="AN638" s="2070"/>
      <c r="AO638" s="2044">
        <v>2300000</v>
      </c>
      <c r="AP638" s="2044"/>
      <c r="AQ638" s="2044"/>
      <c r="AR638" s="2044"/>
      <c r="AS638" s="204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66.285714285714278</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8" t="s">
        <v>2657</v>
      </c>
      <c r="D639" s="2032"/>
      <c r="E639" s="2032"/>
      <c r="F639" s="2032"/>
      <c r="G639" s="2032"/>
      <c r="H639" s="2032"/>
      <c r="I639" s="2032"/>
      <c r="J639" s="2032"/>
      <c r="K639" s="2032"/>
      <c r="L639" s="2032"/>
      <c r="M639" s="2032"/>
      <c r="N639" s="2106"/>
      <c r="O639" s="2065">
        <v>660</v>
      </c>
      <c r="P639" s="2066"/>
      <c r="Q639" s="2067"/>
      <c r="R639" s="2045">
        <v>660</v>
      </c>
      <c r="S639" s="2046"/>
      <c r="T639" s="2047"/>
      <c r="U639" s="2058">
        <v>0.03</v>
      </c>
      <c r="V639" s="2059"/>
      <c r="W639" s="2060"/>
      <c r="X639" s="2055" t="s">
        <v>489</v>
      </c>
      <c r="Y639" s="2056"/>
      <c r="Z639" s="2056"/>
      <c r="AA639" s="2056"/>
      <c r="AB639" s="2057"/>
      <c r="AC639" s="2041">
        <v>3</v>
      </c>
      <c r="AD639" s="2042"/>
      <c r="AE639" s="2043"/>
      <c r="AF639" s="2061" t="s">
        <v>2602</v>
      </c>
      <c r="AG639" s="2062"/>
      <c r="AH639" s="2062"/>
      <c r="AI639" s="2062"/>
      <c r="AJ639" s="2063"/>
      <c r="AK639" s="2068"/>
      <c r="AL639" s="2069"/>
      <c r="AM639" s="2069"/>
      <c r="AN639" s="2070"/>
      <c r="AO639" s="2044">
        <v>650000</v>
      </c>
      <c r="AP639" s="2044"/>
      <c r="AQ639" s="2044"/>
      <c r="AR639" s="2044"/>
      <c r="AS639" s="204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29.761904761904759</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615</v>
      </c>
      <c r="C640" s="2088" t="s">
        <v>2663</v>
      </c>
      <c r="D640" s="2032"/>
      <c r="E640" s="2032"/>
      <c r="F640" s="2032"/>
      <c r="G640" s="2032"/>
      <c r="H640" s="2032"/>
      <c r="I640" s="2032"/>
      <c r="J640" s="2032"/>
      <c r="K640" s="2032"/>
      <c r="L640" s="2032"/>
      <c r="M640" s="2032"/>
      <c r="N640" s="2106"/>
      <c r="O640" s="2065">
        <v>660</v>
      </c>
      <c r="P640" s="2066"/>
      <c r="Q640" s="2067"/>
      <c r="R640" s="2045">
        <v>660</v>
      </c>
      <c r="S640" s="2046"/>
      <c r="T640" s="2047"/>
      <c r="U640" s="2058">
        <v>0.03</v>
      </c>
      <c r="V640" s="2059"/>
      <c r="W640" s="2060"/>
      <c r="X640" s="2055" t="s">
        <v>489</v>
      </c>
      <c r="Y640" s="2056"/>
      <c r="Z640" s="2056"/>
      <c r="AA640" s="2056"/>
      <c r="AB640" s="2057"/>
      <c r="AC640" s="2041">
        <v>4</v>
      </c>
      <c r="AD640" s="2042"/>
      <c r="AE640" s="2043"/>
      <c r="AF640" s="2061" t="s">
        <v>2602</v>
      </c>
      <c r="AG640" s="2062"/>
      <c r="AH640" s="2062"/>
      <c r="AI640" s="2062"/>
      <c r="AJ640" s="2063"/>
      <c r="AK640" s="2068"/>
      <c r="AL640" s="2069"/>
      <c r="AM640" s="2069"/>
      <c r="AN640" s="2070"/>
      <c r="AO640" s="2044">
        <v>293600</v>
      </c>
      <c r="AP640" s="2044"/>
      <c r="AQ640" s="2044"/>
      <c r="AR640" s="2044"/>
      <c r="AS640" s="204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436</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820</v>
      </c>
      <c r="C641" s="2088" t="s">
        <v>2664</v>
      </c>
      <c r="D641" s="2032"/>
      <c r="E641" s="2032"/>
      <c r="F641" s="2032"/>
      <c r="G641" s="2032"/>
      <c r="H641" s="2032"/>
      <c r="I641" s="2032"/>
      <c r="J641" s="2032"/>
      <c r="K641" s="2032"/>
      <c r="L641" s="2032"/>
      <c r="M641" s="2032"/>
      <c r="N641" s="2106"/>
      <c r="O641" s="2065">
        <v>660</v>
      </c>
      <c r="P641" s="2066"/>
      <c r="Q641" s="2067"/>
      <c r="R641" s="2045">
        <v>660</v>
      </c>
      <c r="S641" s="2046"/>
      <c r="T641" s="2047"/>
      <c r="U641" s="2058">
        <v>0.03</v>
      </c>
      <c r="V641" s="2059"/>
      <c r="W641" s="2060"/>
      <c r="X641" s="2055" t="s">
        <v>489</v>
      </c>
      <c r="Y641" s="2056"/>
      <c r="Z641" s="2056"/>
      <c r="AA641" s="2056"/>
      <c r="AB641" s="2057"/>
      <c r="AC641" s="2041">
        <v>5</v>
      </c>
      <c r="AD641" s="2042"/>
      <c r="AE641" s="2043"/>
      <c r="AF641" s="2061" t="s">
        <v>2602</v>
      </c>
      <c r="AG641" s="2062"/>
      <c r="AH641" s="2062"/>
      <c r="AI641" s="2062"/>
      <c r="AJ641" s="2063"/>
      <c r="AK641" s="2068"/>
      <c r="AL641" s="2069"/>
      <c r="AM641" s="2069"/>
      <c r="AN641" s="2070"/>
      <c r="AO641" s="2044">
        <v>6750000</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198.09523809523807</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618</v>
      </c>
      <c r="C642" s="2088" t="s">
        <v>2595</v>
      </c>
      <c r="D642" s="2032"/>
      <c r="E642" s="2032"/>
      <c r="F642" s="2032"/>
      <c r="G642" s="2032"/>
      <c r="H642" s="2032"/>
      <c r="I642" s="2032"/>
      <c r="J642" s="2032"/>
      <c r="K642" s="2032"/>
      <c r="L642" s="2032"/>
      <c r="M642" s="2032"/>
      <c r="N642" s="2106"/>
      <c r="O642" s="2065">
        <v>156</v>
      </c>
      <c r="P642" s="2066"/>
      <c r="Q642" s="2067"/>
      <c r="R642" s="2045">
        <v>156</v>
      </c>
      <c r="S642" s="2046"/>
      <c r="T642" s="2047"/>
      <c r="U642" s="2058">
        <v>9.9999999999999995E-8</v>
      </c>
      <c r="V642" s="2059"/>
      <c r="W642" s="2060"/>
      <c r="X642" s="2055" t="s">
        <v>489</v>
      </c>
      <c r="Y642" s="2056"/>
      <c r="Z642" s="2056"/>
      <c r="AA642" s="2056"/>
      <c r="AB642" s="2057"/>
      <c r="AC642" s="2041" t="s">
        <v>625</v>
      </c>
      <c r="AD642" s="2042"/>
      <c r="AE642" s="2043"/>
      <c r="AF642" s="2061" t="s">
        <v>2602</v>
      </c>
      <c r="AG642" s="2062"/>
      <c r="AH642" s="2062"/>
      <c r="AI642" s="2062"/>
      <c r="AJ642" s="2063"/>
      <c r="AK642" s="2068"/>
      <c r="AL642" s="2069"/>
      <c r="AM642" s="2069"/>
      <c r="AN642" s="2070"/>
      <c r="AO642" s="2044">
        <v>1000000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40.666666666666664</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486</v>
      </c>
      <c r="C643" s="2032"/>
      <c r="D643" s="2032"/>
      <c r="E643" s="2032"/>
      <c r="F643" s="2032"/>
      <c r="G643" s="2032"/>
      <c r="H643" s="2032"/>
      <c r="I643" s="2032"/>
      <c r="J643" s="2032"/>
      <c r="K643" s="2032"/>
      <c r="L643" s="2032"/>
      <c r="M643" s="2032"/>
      <c r="N643" s="2106"/>
      <c r="O643" s="2065"/>
      <c r="P643" s="2066"/>
      <c r="Q643" s="2067"/>
      <c r="R643" s="2045"/>
      <c r="S643" s="2046"/>
      <c r="T643" s="2047"/>
      <c r="U643" s="2058"/>
      <c r="V643" s="2059"/>
      <c r="W643" s="2060"/>
      <c r="X643" s="2055"/>
      <c r="Y643" s="2056"/>
      <c r="Z643" s="2056"/>
      <c r="AA643" s="2056"/>
      <c r="AB643" s="205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f t="shared" si="23"/>
        <v>73.555555555555557</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487</v>
      </c>
      <c r="C644" s="2032"/>
      <c r="D644" s="2032"/>
      <c r="E644" s="2032"/>
      <c r="F644" s="2032"/>
      <c r="G644" s="2032"/>
      <c r="H644" s="2032"/>
      <c r="I644" s="2032"/>
      <c r="J644" s="2032"/>
      <c r="K644" s="2032"/>
      <c r="L644" s="2032"/>
      <c r="M644" s="2032"/>
      <c r="N644" s="2106"/>
      <c r="O644" s="2065"/>
      <c r="P644" s="2066"/>
      <c r="Q644" s="2067"/>
      <c r="R644" s="2045"/>
      <c r="S644" s="2046"/>
      <c r="T644" s="2047"/>
      <c r="U644" s="2058"/>
      <c r="V644" s="2059"/>
      <c r="W644" s="2060"/>
      <c r="X644" s="2055"/>
      <c r="Y644" s="2056"/>
      <c r="Z644" s="2056"/>
      <c r="AA644" s="2056"/>
      <c r="AB644" s="205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2386</v>
      </c>
      <c r="CU644" s="58"/>
      <c r="CV644" s="58"/>
      <c r="CW644" s="58"/>
      <c r="CX644" s="58"/>
      <c r="CY644" s="58"/>
      <c r="CZ644" s="58"/>
      <c r="DA644" s="58"/>
      <c r="DB644" s="58"/>
      <c r="DC644" s="58"/>
      <c r="DD644" s="58"/>
      <c r="DE644" s="58"/>
      <c r="DF644" s="58"/>
      <c r="DX644" s="2020" t="e">
        <f t="shared" si="22"/>
        <v>#VALUE!</v>
      </c>
      <c r="DY644" s="2020"/>
      <c r="DZ644" s="2020"/>
      <c r="EA644" s="2020"/>
      <c r="EB644" s="2020"/>
      <c r="EC644" s="2020">
        <f t="shared" si="23"/>
        <v>540</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493</v>
      </c>
      <c r="C645" s="2032"/>
      <c r="D645" s="2032"/>
      <c r="E645" s="2032"/>
      <c r="F645" s="2032"/>
      <c r="G645" s="2032"/>
      <c r="H645" s="2032"/>
      <c r="I645" s="2032"/>
      <c r="J645" s="2032"/>
      <c r="K645" s="2032"/>
      <c r="L645" s="2032"/>
      <c r="M645" s="2032"/>
      <c r="N645" s="2106"/>
      <c r="O645" s="2065"/>
      <c r="P645" s="2066"/>
      <c r="Q645" s="2067"/>
      <c r="R645" s="2045"/>
      <c r="S645" s="2046"/>
      <c r="T645" s="2047"/>
      <c r="U645" s="2058"/>
      <c r="V645" s="2059"/>
      <c r="W645" s="2060"/>
      <c r="X645" s="2055"/>
      <c r="Y645" s="2056"/>
      <c r="Z645" s="2056"/>
      <c r="AA645" s="2056"/>
      <c r="AB645" s="205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123</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680</v>
      </c>
      <c r="C646" s="2032"/>
      <c r="D646" s="2032"/>
      <c r="E646" s="2032"/>
      <c r="F646" s="2032"/>
      <c r="G646" s="2032"/>
      <c r="H646" s="2032"/>
      <c r="I646" s="2032"/>
      <c r="J646" s="2032"/>
      <c r="K646" s="2032"/>
      <c r="L646" s="2032"/>
      <c r="M646" s="2032"/>
      <c r="N646" s="2106"/>
      <c r="O646" s="2065"/>
      <c r="P646" s="2066"/>
      <c r="Q646" s="2067"/>
      <c r="R646" s="2045"/>
      <c r="S646" s="2046"/>
      <c r="T646" s="2047"/>
      <c r="U646" s="2058"/>
      <c r="V646" s="2059"/>
      <c r="W646" s="2060"/>
      <c r="X646" s="2055"/>
      <c r="Y646" s="2056"/>
      <c r="Z646" s="2056"/>
      <c r="AA646" s="2056"/>
      <c r="AB646" s="205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21.400000000000002</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106"/>
      <c r="O647" s="2065"/>
      <c r="P647" s="2066"/>
      <c r="Q647" s="2067"/>
      <c r="R647" s="2045"/>
      <c r="S647" s="2046"/>
      <c r="T647" s="2047"/>
      <c r="U647" s="2058"/>
      <c r="V647" s="2059"/>
      <c r="W647" s="2060"/>
      <c r="X647" s="2055"/>
      <c r="Y647" s="2056"/>
      <c r="Z647" s="2056"/>
      <c r="AA647" s="2056"/>
      <c r="AB647" s="205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f t="shared" si="24"/>
        <v>78.300000000000011</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106"/>
      <c r="O648" s="2065"/>
      <c r="P648" s="2066"/>
      <c r="Q648" s="2067"/>
      <c r="R648" s="2045"/>
      <c r="S648" s="2046"/>
      <c r="T648" s="2047"/>
      <c r="U648" s="2058"/>
      <c r="V648" s="2059"/>
      <c r="W648" s="2060"/>
      <c r="X648" s="2055"/>
      <c r="Y648" s="2056"/>
      <c r="Z648" s="2056"/>
      <c r="AA648" s="2056"/>
      <c r="AB648" s="205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576.6</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1">
        <f>SUM(AO637:AR648)</f>
        <v>16993600</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329.25</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2">
        <v>33010695</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23.047619047619047</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191">
        <f>AO649+AO650</f>
        <v>50004295</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127.85714285714285</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f t="shared" si="25"/>
        <v>628.57142857142856</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495</v>
      </c>
      <c r="G653" s="2021" t="str">
        <f>C637</f>
        <v>Citibank - Tax-Exempt Bonds (Series A)</v>
      </c>
      <c r="H653" s="2021"/>
      <c r="I653" s="2021"/>
      <c r="J653" s="2021"/>
      <c r="K653" s="2021"/>
      <c r="L653" s="2021"/>
      <c r="M653" s="2021"/>
      <c r="N653" s="2021"/>
      <c r="O653" s="2021"/>
      <c r="P653" s="2021"/>
      <c r="Q653" s="2021"/>
      <c r="R653" s="2021"/>
      <c r="S653" s="14"/>
      <c r="T653" s="87" t="s">
        <v>118</v>
      </c>
      <c r="U653" s="12" t="s">
        <v>495</v>
      </c>
      <c r="Z653" s="2021" t="str">
        <f>C638</f>
        <v>Mono County - MHSA / NPLH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f t="shared" si="25"/>
        <v>359.76190476190476</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40" t="s">
        <v>2666</v>
      </c>
      <c r="H654" s="2040"/>
      <c r="I654" s="2040"/>
      <c r="J654" s="2040"/>
      <c r="K654" s="2040"/>
      <c r="L654" s="2040"/>
      <c r="M654" s="2040"/>
      <c r="N654" s="2040"/>
      <c r="O654" s="2040"/>
      <c r="P654" s="2040"/>
      <c r="Q654" s="2040"/>
      <c r="R654" s="2040"/>
      <c r="S654" s="14"/>
      <c r="T654" s="35"/>
      <c r="U654" s="12" t="s">
        <v>90</v>
      </c>
      <c r="Z654" s="2040" t="s">
        <v>2676</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614</v>
      </c>
      <c r="G655" s="2040" t="s">
        <v>2667</v>
      </c>
      <c r="H655" s="2040"/>
      <c r="I655" s="2040"/>
      <c r="J655" s="2040"/>
      <c r="K655" s="2040"/>
      <c r="L655" s="2040"/>
      <c r="M655" s="2040"/>
      <c r="N655" s="2040"/>
      <c r="O655" s="2040"/>
      <c r="P655" s="2040"/>
      <c r="Q655" s="2040"/>
      <c r="R655" s="2040"/>
      <c r="S655" s="88"/>
      <c r="T655" s="35"/>
      <c r="U655" s="12" t="s">
        <v>614</v>
      </c>
      <c r="Z655" s="2033" t="s">
        <v>2677</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40" t="s">
        <v>2668</v>
      </c>
      <c r="H656" s="2040"/>
      <c r="I656" s="2040"/>
      <c r="J656" s="2040"/>
      <c r="K656" s="2040"/>
      <c r="L656" s="2040"/>
      <c r="M656" s="2040"/>
      <c r="N656" s="2040"/>
      <c r="O656" s="2040"/>
      <c r="P656" s="2040"/>
      <c r="Q656" s="2040"/>
      <c r="R656" s="2040"/>
      <c r="S656" s="14"/>
      <c r="T656" s="35"/>
      <c r="U656" s="12" t="s">
        <v>17</v>
      </c>
      <c r="Z656" s="2033" t="s">
        <v>2678</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18" t="s">
        <v>2701</v>
      </c>
      <c r="H657" s="2064"/>
      <c r="I657" s="2064"/>
      <c r="J657" s="2064"/>
      <c r="K657" s="2064"/>
      <c r="L657" s="2064"/>
      <c r="O657" s="137" t="s">
        <v>212</v>
      </c>
      <c r="P657" s="2032"/>
      <c r="Q657" s="2032"/>
      <c r="R657" s="2032"/>
      <c r="S657" s="16"/>
      <c r="T657" s="35"/>
      <c r="U657" s="12" t="s">
        <v>325</v>
      </c>
      <c r="Z657" s="2318" t="s">
        <v>2679</v>
      </c>
      <c r="AA657" s="2064"/>
      <c r="AB657" s="2064"/>
      <c r="AC657" s="2064"/>
      <c r="AD657" s="2064"/>
      <c r="AE657" s="2064"/>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40" t="s">
        <v>2604</v>
      </c>
      <c r="I658" s="2040"/>
      <c r="J658" s="2040"/>
      <c r="K658" s="2040"/>
      <c r="L658" s="2040"/>
      <c r="M658" s="2040"/>
      <c r="N658" s="2040"/>
      <c r="O658" s="2040"/>
      <c r="P658" s="2040"/>
      <c r="Q658" s="2040"/>
      <c r="R658" s="2040"/>
      <c r="S658" s="14"/>
      <c r="T658" s="35"/>
      <c r="U658" s="12" t="s">
        <v>18</v>
      </c>
      <c r="AA658" s="2040" t="s">
        <v>2680</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495</v>
      </c>
      <c r="G661" s="2021" t="str">
        <f>C639</f>
        <v>Town of Mammoth Lakes - Land Loan</v>
      </c>
      <c r="H661" s="2021"/>
      <c r="I661" s="2021"/>
      <c r="J661" s="2021"/>
      <c r="K661" s="2021"/>
      <c r="L661" s="2021"/>
      <c r="M661" s="2021"/>
      <c r="N661" s="2021"/>
      <c r="O661" s="2021"/>
      <c r="P661" s="2021"/>
      <c r="Q661" s="2021"/>
      <c r="R661" s="2021"/>
      <c r="T661" s="87" t="s">
        <v>615</v>
      </c>
      <c r="U661" s="12" t="s">
        <v>495</v>
      </c>
      <c r="Z661" s="2021" t="str">
        <f>C640</f>
        <v>Town of Mammoth Lakes - Fee Deferral Loan</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40" t="s">
        <v>2648</v>
      </c>
      <c r="H662" s="2040"/>
      <c r="I662" s="2040"/>
      <c r="J662" s="2040"/>
      <c r="K662" s="2040"/>
      <c r="L662" s="2040"/>
      <c r="M662" s="2040"/>
      <c r="N662" s="2040"/>
      <c r="O662" s="2040"/>
      <c r="P662" s="2040"/>
      <c r="Q662" s="2040"/>
      <c r="R662" s="2040"/>
      <c r="T662" s="35"/>
      <c r="U662" s="12" t="s">
        <v>90</v>
      </c>
      <c r="Z662" s="2040" t="s">
        <v>2648</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614</v>
      </c>
      <c r="G663" s="2033" t="s">
        <v>2649</v>
      </c>
      <c r="H663" s="2033"/>
      <c r="I663" s="2033"/>
      <c r="J663" s="2033"/>
      <c r="K663" s="2033"/>
      <c r="L663" s="2033"/>
      <c r="M663" s="2033"/>
      <c r="N663" s="2033"/>
      <c r="O663" s="2033"/>
      <c r="P663" s="2033"/>
      <c r="Q663" s="2033"/>
      <c r="R663" s="2033"/>
      <c r="T663" s="35"/>
      <c r="U663" s="12" t="s">
        <v>614</v>
      </c>
      <c r="Z663" s="2033" t="s">
        <v>2649</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21</v>
      </c>
      <c r="BO663" s="2014"/>
      <c r="BP663" s="2014"/>
      <c r="BQ663" s="2014"/>
      <c r="BR663" s="2015"/>
      <c r="BS663" s="2013">
        <f>BS635+BS644+BS658</f>
        <v>18</v>
      </c>
      <c r="BT663" s="2014"/>
      <c r="BU663" s="2014"/>
      <c r="BV663" s="2014"/>
      <c r="BW663" s="2015"/>
      <c r="BX663" s="2013">
        <f>BX635+BX644+BX658</f>
        <v>21</v>
      </c>
      <c r="BY663" s="2014"/>
      <c r="BZ663" s="2014"/>
      <c r="CA663" s="2014"/>
      <c r="CB663" s="2015"/>
      <c r="CC663" s="2013">
        <f>CC635+CC644+CC658</f>
        <v>21</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142</v>
      </c>
      <c r="CT663" s="134" t="s">
        <v>2390</v>
      </c>
      <c r="CU663" s="58"/>
      <c r="CV663" s="58"/>
      <c r="CW663" s="58"/>
      <c r="CX663" s="58"/>
      <c r="CY663" s="58"/>
      <c r="CZ663" s="58"/>
      <c r="DA663" s="58"/>
      <c r="DB663" s="58"/>
      <c r="DC663" s="58"/>
      <c r="DD663" s="58"/>
      <c r="DE663" s="58"/>
      <c r="DF663" s="58"/>
      <c r="DX663" s="2020">
        <f>SUMIF(DX638:EB662,"&gt;0")</f>
        <v>730.14285714285711</v>
      </c>
      <c r="DY663" s="2020"/>
      <c r="DZ663" s="2020"/>
      <c r="EA663" s="2020"/>
      <c r="EB663" s="2020"/>
      <c r="EC663" s="2020">
        <f>SUMIF(EC638:EG662,"&gt;0")</f>
        <v>777.22222222222217</v>
      </c>
      <c r="ED663" s="2020"/>
      <c r="EE663" s="2020"/>
      <c r="EF663" s="2020"/>
      <c r="EG663" s="2020"/>
      <c r="EH663" s="2020">
        <f>SUMIF(EH638:EL662,"&gt;0")</f>
        <v>1005.5500000000001</v>
      </c>
      <c r="EI663" s="2020"/>
      <c r="EJ663" s="2020"/>
      <c r="EK663" s="2020"/>
      <c r="EL663" s="2020"/>
      <c r="EM663" s="2020">
        <f>SUMIF(EM638:EQ662,"&gt;0")</f>
        <v>1139.2380952380952</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t="s">
        <v>2624</v>
      </c>
      <c r="H664" s="2033"/>
      <c r="I664" s="2033"/>
      <c r="J664" s="2033"/>
      <c r="K664" s="2033"/>
      <c r="L664" s="2033"/>
      <c r="M664" s="2033"/>
      <c r="N664" s="2033"/>
      <c r="O664" s="2033"/>
      <c r="P664" s="2033"/>
      <c r="Q664" s="2033"/>
      <c r="R664" s="2033"/>
      <c r="T664" s="35"/>
      <c r="U664" s="12" t="s">
        <v>17</v>
      </c>
      <c r="Z664" s="2033" t="s">
        <v>2624</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18" t="s">
        <v>2628</v>
      </c>
      <c r="H665" s="2064"/>
      <c r="I665" s="2064"/>
      <c r="J665" s="2064"/>
      <c r="K665" s="2064"/>
      <c r="L665" s="2064"/>
      <c r="O665" s="137" t="s">
        <v>212</v>
      </c>
      <c r="P665" s="2032"/>
      <c r="Q665" s="2032"/>
      <c r="R665" s="2032"/>
      <c r="T665" s="35"/>
      <c r="U665" s="12" t="s">
        <v>325</v>
      </c>
      <c r="Z665" s="2318" t="s">
        <v>2628</v>
      </c>
      <c r="AA665" s="2064"/>
      <c r="AB665" s="2064"/>
      <c r="AC665" s="2064"/>
      <c r="AD665" s="2064"/>
      <c r="AE665" s="2064"/>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40" t="s">
        <v>2669</v>
      </c>
      <c r="I666" s="2040"/>
      <c r="J666" s="2040"/>
      <c r="K666" s="2040"/>
      <c r="L666" s="2040"/>
      <c r="M666" s="2040"/>
      <c r="N666" s="2040"/>
      <c r="O666" s="2040"/>
      <c r="P666" s="2040"/>
      <c r="Q666" s="2040"/>
      <c r="R666" s="2040"/>
      <c r="T666" s="35"/>
      <c r="U666" s="12" t="s">
        <v>18</v>
      </c>
      <c r="AA666" s="2040" t="s">
        <v>2670</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495</v>
      </c>
      <c r="G669" s="2021" t="str">
        <f>C641</f>
        <v>HCD - IIG Loan</v>
      </c>
      <c r="H669" s="2021"/>
      <c r="I669" s="2021"/>
      <c r="J669" s="2021"/>
      <c r="K669" s="2021"/>
      <c r="L669" s="2021"/>
      <c r="M669" s="2021"/>
      <c r="N669" s="2021"/>
      <c r="O669" s="2021"/>
      <c r="P669" s="2021"/>
      <c r="Q669" s="2021"/>
      <c r="R669" s="2021"/>
      <c r="T669" s="87" t="s">
        <v>618</v>
      </c>
      <c r="U669" s="12" t="s">
        <v>495</v>
      </c>
      <c r="Z669" s="2021" t="str">
        <f>C642</f>
        <v>Pacific West Communities, Inc. - DDF</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0" t="s">
        <v>2671</v>
      </c>
      <c r="H670" s="2040"/>
      <c r="I670" s="2040"/>
      <c r="J670" s="2040"/>
      <c r="K670" s="2040"/>
      <c r="L670" s="2040"/>
      <c r="M670" s="2040"/>
      <c r="N670" s="2040"/>
      <c r="O670" s="2040"/>
      <c r="P670" s="2040"/>
      <c r="Q670" s="2040"/>
      <c r="R670" s="2040"/>
      <c r="T670" s="35"/>
      <c r="U670" s="12" t="s">
        <v>90</v>
      </c>
      <c r="Z670" s="2040" t="s">
        <v>2533</v>
      </c>
      <c r="AA670" s="2040"/>
      <c r="AB670" s="2040"/>
      <c r="AC670" s="2040"/>
      <c r="AD670" s="2040"/>
      <c r="AE670" s="2040"/>
      <c r="AF670" s="2040"/>
      <c r="AG670" s="2040"/>
      <c r="AH670" s="2040"/>
      <c r="AI670" s="2040"/>
      <c r="AJ670" s="2040"/>
      <c r="AK670" s="2040"/>
      <c r="AZ670" s="58"/>
      <c r="BA670" s="446">
        <f t="shared" ref="BA670:BA694" si="40">IF($G728=0,"N/A",VLOOKUP($T$189,TC_Rent,(MATCH($B728,bedrooms,FALSE))))</f>
        <v>1382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614</v>
      </c>
      <c r="G671" s="2040" t="s">
        <v>2603</v>
      </c>
      <c r="H671" s="2040"/>
      <c r="I671" s="2040"/>
      <c r="J671" s="2040"/>
      <c r="K671" s="2040"/>
      <c r="L671" s="2040"/>
      <c r="M671" s="2040"/>
      <c r="N671" s="2040"/>
      <c r="O671" s="2040"/>
      <c r="P671" s="2040"/>
      <c r="Q671" s="2040"/>
      <c r="R671" s="2040"/>
      <c r="T671" s="35"/>
      <c r="U671" s="12" t="s">
        <v>614</v>
      </c>
      <c r="Z671" s="2033" t="s">
        <v>2548</v>
      </c>
      <c r="AA671" s="2033"/>
      <c r="AB671" s="2033"/>
      <c r="AC671" s="2033"/>
      <c r="AD671" s="2033"/>
      <c r="AE671" s="2033"/>
      <c r="AF671" s="2033"/>
      <c r="AG671" s="2033"/>
      <c r="AH671" s="2033"/>
      <c r="AI671" s="2033"/>
      <c r="AJ671" s="2033"/>
      <c r="AK671" s="2033"/>
      <c r="AZ671" s="58"/>
      <c r="BA671" s="446">
        <f t="shared" si="40"/>
        <v>1382</v>
      </c>
      <c r="BB671" s="58"/>
      <c r="BC671" s="58"/>
      <c r="BD671" s="58"/>
      <c r="BE671" s="58"/>
      <c r="BF671" s="382"/>
      <c r="BG671" s="456">
        <f t="shared" ref="BG671:BG695" si="41">G728</f>
        <v>4</v>
      </c>
      <c r="BH671" s="460">
        <f>BG671/$BG$696</f>
        <v>0.05</v>
      </c>
      <c r="BI671" s="461">
        <f t="shared" ref="BI671:BI695" si="42">IF(BH671=0," ",BH671*AH728)</f>
        <v>1.4999999999999999E-2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0" t="s">
        <v>2672</v>
      </c>
      <c r="H672" s="2040"/>
      <c r="I672" s="2040"/>
      <c r="J672" s="2040"/>
      <c r="K672" s="2040"/>
      <c r="L672" s="2040"/>
      <c r="M672" s="2040"/>
      <c r="N672" s="2040"/>
      <c r="O672" s="2040"/>
      <c r="P672" s="2040"/>
      <c r="Q672" s="2040"/>
      <c r="R672" s="2040"/>
      <c r="T672" s="35"/>
      <c r="U672" s="12" t="s">
        <v>17</v>
      </c>
      <c r="Z672" s="2033" t="s">
        <v>2536</v>
      </c>
      <c r="AA672" s="2033"/>
      <c r="AB672" s="2033"/>
      <c r="AC672" s="2033"/>
      <c r="AD672" s="2033"/>
      <c r="AE672" s="2033"/>
      <c r="AF672" s="2033"/>
      <c r="AG672" s="2033"/>
      <c r="AH672" s="2033"/>
      <c r="AI672" s="2033"/>
      <c r="AJ672" s="2033"/>
      <c r="AK672" s="2033"/>
      <c r="AZ672" s="58"/>
      <c r="BA672" s="446">
        <f t="shared" si="40"/>
        <v>1382</v>
      </c>
      <c r="BB672" s="58"/>
      <c r="BC672" s="58"/>
      <c r="BD672" s="58"/>
      <c r="BE672" s="58"/>
      <c r="BF672" s="382"/>
      <c r="BG672" s="457">
        <f t="shared" si="41"/>
        <v>1</v>
      </c>
      <c r="BH672" s="460">
        <f t="shared" ref="BH672:BH695" si="43">BG672/$BG$696</f>
        <v>1.2500000000000001E-2</v>
      </c>
      <c r="BI672" s="461">
        <f t="shared" si="42"/>
        <v>6.2500000000000003E-3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318" t="s">
        <v>2673</v>
      </c>
      <c r="H673" s="2064"/>
      <c r="I673" s="2064"/>
      <c r="J673" s="2064"/>
      <c r="K673" s="2064"/>
      <c r="L673" s="2064"/>
      <c r="O673" s="137" t="s">
        <v>212</v>
      </c>
      <c r="P673" s="2032"/>
      <c r="Q673" s="2032"/>
      <c r="R673" s="2032"/>
      <c r="T673" s="35"/>
      <c r="U673" s="12" t="s">
        <v>325</v>
      </c>
      <c r="Z673" s="2318" t="s">
        <v>2537</v>
      </c>
      <c r="AA673" s="2064"/>
      <c r="AB673" s="2064"/>
      <c r="AC673" s="2064"/>
      <c r="AD673" s="2064"/>
      <c r="AE673" s="2064"/>
      <c r="AH673" s="137" t="s">
        <v>212</v>
      </c>
      <c r="AI673" s="2032">
        <v>3015</v>
      </c>
      <c r="AJ673" s="2032"/>
      <c r="AK673" s="2032"/>
      <c r="AZ673" s="58"/>
      <c r="BA673" s="446">
        <f t="shared" si="40"/>
        <v>1382</v>
      </c>
      <c r="BB673" s="58"/>
      <c r="BC673" s="58"/>
      <c r="BD673" s="58"/>
      <c r="BE673" s="58"/>
      <c r="BF673" s="382"/>
      <c r="BG673" s="457">
        <f t="shared" si="41"/>
        <v>12</v>
      </c>
      <c r="BH673" s="460">
        <f t="shared" si="43"/>
        <v>0.15</v>
      </c>
      <c r="BI673" s="461">
        <f t="shared" si="42"/>
        <v>0.09</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0" t="s">
        <v>2674</v>
      </c>
      <c r="I674" s="2040"/>
      <c r="J674" s="2040"/>
      <c r="K674" s="2040"/>
      <c r="L674" s="2040"/>
      <c r="M674" s="2040"/>
      <c r="N674" s="2040"/>
      <c r="O674" s="2040"/>
      <c r="P674" s="2040"/>
      <c r="Q674" s="2040"/>
      <c r="R674" s="2040"/>
      <c r="T674" s="35"/>
      <c r="U674" s="12" t="s">
        <v>18</v>
      </c>
      <c r="AA674" s="2040" t="s">
        <v>2125</v>
      </c>
      <c r="AB674" s="2040"/>
      <c r="AC674" s="2040"/>
      <c r="AD674" s="2040"/>
      <c r="AE674" s="2040"/>
      <c r="AF674" s="2040"/>
      <c r="AG674" s="2040"/>
      <c r="AH674" s="2040"/>
      <c r="AI674" s="2040"/>
      <c r="AJ674" s="2040"/>
      <c r="AK674" s="2040"/>
      <c r="AZ674" s="58"/>
      <c r="BA674" s="446">
        <f t="shared" si="40"/>
        <v>1480</v>
      </c>
      <c r="BB674" s="58"/>
      <c r="BC674" s="58"/>
      <c r="BD674" s="58"/>
      <c r="BE674" s="58"/>
      <c r="BF674" s="382"/>
      <c r="BG674" s="457">
        <f t="shared" si="41"/>
        <v>4</v>
      </c>
      <c r="BH674" s="460">
        <f t="shared" si="43"/>
        <v>0.05</v>
      </c>
      <c r="BI674" s="461">
        <f t="shared" si="42"/>
        <v>4.0000000000000008E-2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577</v>
      </c>
      <c r="O675" s="2031"/>
      <c r="T675" s="35"/>
      <c r="U675" s="12" t="s">
        <v>20</v>
      </c>
      <c r="AG675" s="2031" t="s">
        <v>577</v>
      </c>
      <c r="AH675" s="2031"/>
      <c r="AZ675" s="58"/>
      <c r="BA675" s="446">
        <f t="shared" si="40"/>
        <v>1480</v>
      </c>
      <c r="BB675" s="58"/>
      <c r="BC675" s="58"/>
      <c r="BD675" s="58"/>
      <c r="BE675" s="58"/>
      <c r="BF675" s="382"/>
      <c r="BG675" s="457">
        <f t="shared" si="41"/>
        <v>2</v>
      </c>
      <c r="BH675" s="460">
        <f t="shared" si="43"/>
        <v>2.5000000000000001E-2</v>
      </c>
      <c r="BI675" s="461">
        <f t="shared" si="42"/>
        <v>7.4999999999999997E-3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1480</v>
      </c>
      <c r="BB676" s="58"/>
      <c r="BC676" s="58"/>
      <c r="BD676" s="58"/>
      <c r="BE676" s="58"/>
      <c r="BF676" s="382"/>
      <c r="BG676" s="457">
        <f t="shared" si="41"/>
        <v>2</v>
      </c>
      <c r="BH676" s="460">
        <f t="shared" si="43"/>
        <v>2.5000000000000001E-2</v>
      </c>
      <c r="BI676" s="461">
        <f t="shared" si="42"/>
        <v>1.2500000000000001E-2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1480</v>
      </c>
      <c r="BB677" s="58"/>
      <c r="BC677" s="58"/>
      <c r="BD677" s="58"/>
      <c r="BE677" s="58"/>
      <c r="BF677" s="382"/>
      <c r="BG677" s="457">
        <f t="shared" si="41"/>
        <v>12</v>
      </c>
      <c r="BH677" s="460">
        <f t="shared" si="43"/>
        <v>0.15</v>
      </c>
      <c r="BI677" s="461">
        <f t="shared" si="42"/>
        <v>0.09</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1776</v>
      </c>
      <c r="BB678" s="58"/>
      <c r="BC678" s="58"/>
      <c r="BD678" s="58"/>
      <c r="BE678" s="58"/>
      <c r="BF678" s="382"/>
      <c r="BG678" s="457">
        <f t="shared" si="41"/>
        <v>2</v>
      </c>
      <c r="BH678" s="460">
        <f t="shared" si="43"/>
        <v>2.5000000000000001E-2</v>
      </c>
      <c r="BI678" s="461">
        <f t="shared" si="42"/>
        <v>2.0000000000000004E-2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614</v>
      </c>
      <c r="G679" s="2040"/>
      <c r="H679" s="2040"/>
      <c r="I679" s="2040"/>
      <c r="J679" s="2040"/>
      <c r="K679" s="2040"/>
      <c r="L679" s="2040"/>
      <c r="M679" s="2040"/>
      <c r="N679" s="2040"/>
      <c r="O679" s="2040"/>
      <c r="P679" s="2040"/>
      <c r="Q679" s="2040"/>
      <c r="R679" s="2040"/>
      <c r="T679" s="35"/>
      <c r="U679" s="12" t="s">
        <v>614</v>
      </c>
      <c r="Z679" s="2033"/>
      <c r="AA679" s="2033"/>
      <c r="AB679" s="2033"/>
      <c r="AC679" s="2033"/>
      <c r="AD679" s="2033"/>
      <c r="AE679" s="2033"/>
      <c r="AF679" s="2033"/>
      <c r="AG679" s="2033"/>
      <c r="AH679" s="2033"/>
      <c r="AI679" s="2033"/>
      <c r="AJ679" s="2033"/>
      <c r="AK679" s="2033"/>
      <c r="AZ679" s="58"/>
      <c r="BA679" s="446">
        <f t="shared" si="40"/>
        <v>1776</v>
      </c>
      <c r="BB679" s="58"/>
      <c r="BC679" s="58"/>
      <c r="BD679" s="58"/>
      <c r="BE679" s="58"/>
      <c r="BF679" s="382"/>
      <c r="BG679" s="457">
        <f t="shared" si="41"/>
        <v>1</v>
      </c>
      <c r="BH679" s="460">
        <f t="shared" si="43"/>
        <v>1.2500000000000001E-2</v>
      </c>
      <c r="BI679" s="461">
        <f t="shared" si="42"/>
        <v>3.7499999999999999E-3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0"/>
      <c r="H680" s="2040"/>
      <c r="I680" s="2040"/>
      <c r="J680" s="2040"/>
      <c r="K680" s="2040"/>
      <c r="L680" s="2040"/>
      <c r="M680" s="2040"/>
      <c r="N680" s="2040"/>
      <c r="O680" s="2040"/>
      <c r="P680" s="2040"/>
      <c r="Q680" s="2040"/>
      <c r="R680" s="2040"/>
      <c r="T680" s="35"/>
      <c r="U680" s="12" t="s">
        <v>17</v>
      </c>
      <c r="Z680" s="2033"/>
      <c r="AA680" s="2033"/>
      <c r="AB680" s="2033"/>
      <c r="AC680" s="2033"/>
      <c r="AD680" s="2033"/>
      <c r="AE680" s="2033"/>
      <c r="AF680" s="2033"/>
      <c r="AG680" s="2033"/>
      <c r="AH680" s="2033"/>
      <c r="AI680" s="2033"/>
      <c r="AJ680" s="2033"/>
      <c r="AK680" s="2033"/>
      <c r="AZ680" s="58"/>
      <c r="BA680" s="446">
        <f t="shared" si="40"/>
        <v>1776</v>
      </c>
      <c r="BB680" s="58"/>
      <c r="BC680" s="58"/>
      <c r="BD680" s="58"/>
      <c r="BE680" s="58"/>
      <c r="BF680" s="382"/>
      <c r="BG680" s="457">
        <f t="shared" si="41"/>
        <v>2</v>
      </c>
      <c r="BH680" s="460">
        <f t="shared" si="43"/>
        <v>2.5000000000000001E-2</v>
      </c>
      <c r="BI680" s="461">
        <f t="shared" si="42"/>
        <v>1.2500000000000001E-2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64"/>
      <c r="H681" s="2064"/>
      <c r="I681" s="2064"/>
      <c r="J681" s="2064"/>
      <c r="K681" s="2064"/>
      <c r="L681" s="2064"/>
      <c r="O681" s="137" t="s">
        <v>212</v>
      </c>
      <c r="P681" s="2032"/>
      <c r="Q681" s="2032"/>
      <c r="R681" s="2032"/>
      <c r="T681" s="35"/>
      <c r="U681" s="12" t="s">
        <v>325</v>
      </c>
      <c r="Z681" s="2064"/>
      <c r="AA681" s="2064"/>
      <c r="AB681" s="2064"/>
      <c r="AC681" s="2064"/>
      <c r="AD681" s="2064"/>
      <c r="AE681" s="2064"/>
      <c r="AH681" s="137" t="s">
        <v>212</v>
      </c>
      <c r="AI681" s="2032"/>
      <c r="AJ681" s="2032"/>
      <c r="AK681" s="2032"/>
      <c r="AZ681" s="58"/>
      <c r="BA681" s="446">
        <f t="shared" si="40"/>
        <v>1776</v>
      </c>
      <c r="BB681" s="58"/>
      <c r="BC681" s="58"/>
      <c r="BD681" s="58"/>
      <c r="BE681" s="58"/>
      <c r="BF681" s="382"/>
      <c r="BG681" s="457">
        <f t="shared" si="41"/>
        <v>12</v>
      </c>
      <c r="BH681" s="460">
        <f t="shared" si="43"/>
        <v>0.15</v>
      </c>
      <c r="BI681" s="461">
        <f t="shared" si="42"/>
        <v>0.09</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f t="shared" si="40"/>
        <v>2052</v>
      </c>
      <c r="BB682" s="58"/>
      <c r="BC682" s="58"/>
      <c r="BD682" s="58"/>
      <c r="BE682" s="58"/>
      <c r="BF682" s="382"/>
      <c r="BG682" s="457">
        <f t="shared" si="41"/>
        <v>5</v>
      </c>
      <c r="BH682" s="460">
        <f t="shared" si="43"/>
        <v>6.25E-2</v>
      </c>
      <c r="BI682" s="461">
        <f t="shared" si="42"/>
        <v>0.05</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705</v>
      </c>
      <c r="O683" s="2031"/>
      <c r="T683" s="35"/>
      <c r="U683" s="12" t="s">
        <v>20</v>
      </c>
      <c r="AG683" s="2031" t="s">
        <v>705</v>
      </c>
      <c r="AH683" s="2031"/>
      <c r="AZ683" s="58"/>
      <c r="BA683" s="446">
        <f t="shared" si="40"/>
        <v>2052</v>
      </c>
      <c r="BB683" s="58"/>
      <c r="BC683" s="58"/>
      <c r="BD683" s="58"/>
      <c r="BE683" s="58"/>
      <c r="BF683" s="382"/>
      <c r="BG683" s="457">
        <f t="shared" si="41"/>
        <v>1</v>
      </c>
      <c r="BH683" s="460">
        <f t="shared" si="43"/>
        <v>1.2500000000000001E-2</v>
      </c>
      <c r="BI683" s="461">
        <f t="shared" si="42"/>
        <v>3.7499999999999999E-3</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f t="shared" si="40"/>
        <v>2052</v>
      </c>
      <c r="BB684" s="58"/>
      <c r="BC684" s="58"/>
      <c r="BD684" s="58"/>
      <c r="BE684" s="58"/>
      <c r="BF684" s="382"/>
      <c r="BG684" s="457">
        <f t="shared" si="41"/>
        <v>3</v>
      </c>
      <c r="BH684" s="460">
        <f t="shared" si="43"/>
        <v>3.7499999999999999E-2</v>
      </c>
      <c r="BI684" s="461">
        <f t="shared" si="42"/>
        <v>1.8749999999999999E-2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f t="shared" si="40"/>
        <v>2052</v>
      </c>
      <c r="BB685" s="58"/>
      <c r="BC685" s="58"/>
      <c r="BD685" s="58"/>
      <c r="BE685" s="58"/>
      <c r="BF685" s="382"/>
      <c r="BG685" s="457">
        <f t="shared" si="41"/>
        <v>12</v>
      </c>
      <c r="BH685" s="460">
        <f t="shared" si="43"/>
        <v>0.15</v>
      </c>
      <c r="BI685" s="461">
        <f t="shared" si="42"/>
        <v>0.09</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5</v>
      </c>
      <c r="BH686" s="460">
        <f t="shared" si="43"/>
        <v>6.25E-2</v>
      </c>
      <c r="BI686" s="461">
        <f t="shared" si="42"/>
        <v>0.05</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614</v>
      </c>
      <c r="G687" s="2040"/>
      <c r="H687" s="2040"/>
      <c r="I687" s="2040"/>
      <c r="J687" s="2040"/>
      <c r="K687" s="2040"/>
      <c r="L687" s="2040"/>
      <c r="M687" s="2040"/>
      <c r="N687" s="2040"/>
      <c r="O687" s="2040"/>
      <c r="P687" s="2040"/>
      <c r="Q687" s="2040"/>
      <c r="R687" s="2040"/>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0"/>
      <c r="H688" s="2040"/>
      <c r="I688" s="2040"/>
      <c r="J688" s="2040"/>
      <c r="K688" s="2040"/>
      <c r="L688" s="2040"/>
      <c r="M688" s="2040"/>
      <c r="N688" s="2040"/>
      <c r="O688" s="2040"/>
      <c r="P688" s="2040"/>
      <c r="Q688" s="2040"/>
      <c r="R688" s="2040"/>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64"/>
      <c r="H689" s="2064"/>
      <c r="I689" s="2064"/>
      <c r="J689" s="2064"/>
      <c r="K689" s="2064"/>
      <c r="L689" s="2064"/>
      <c r="O689" s="137" t="s">
        <v>212</v>
      </c>
      <c r="P689" s="2032"/>
      <c r="Q689" s="2032"/>
      <c r="R689" s="2032"/>
      <c r="T689" s="35"/>
      <c r="U689" s="12" t="s">
        <v>325</v>
      </c>
      <c r="Z689" s="2064"/>
      <c r="AA689" s="2064"/>
      <c r="AB689" s="2064"/>
      <c r="AC689" s="2064"/>
      <c r="AD689" s="2064"/>
      <c r="AE689" s="2064"/>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614</v>
      </c>
      <c r="G695" s="2040"/>
      <c r="H695" s="2040"/>
      <c r="I695" s="2040"/>
      <c r="J695" s="2040"/>
      <c r="K695" s="2040"/>
      <c r="L695" s="2040"/>
      <c r="M695" s="2040"/>
      <c r="N695" s="2040"/>
      <c r="O695" s="2040"/>
      <c r="P695" s="2040"/>
      <c r="Q695" s="2040"/>
      <c r="R695" s="2040"/>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0"/>
      <c r="H696" s="2040"/>
      <c r="I696" s="2040"/>
      <c r="J696" s="2040"/>
      <c r="K696" s="2040"/>
      <c r="L696" s="2040"/>
      <c r="M696" s="2040"/>
      <c r="N696" s="2040"/>
      <c r="O696" s="2040"/>
      <c r="P696" s="2040"/>
      <c r="Q696" s="2040"/>
      <c r="R696" s="2040"/>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80</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64"/>
      <c r="H697" s="2064"/>
      <c r="I697" s="2064"/>
      <c r="J697" s="2064"/>
      <c r="K697" s="2064"/>
      <c r="L697" s="2064"/>
      <c r="O697" s="137" t="s">
        <v>212</v>
      </c>
      <c r="P697" s="2032"/>
      <c r="Q697" s="2032"/>
      <c r="R697" s="2032"/>
      <c r="U697" s="12" t="s">
        <v>325</v>
      </c>
      <c r="Z697" s="2064"/>
      <c r="AA697" s="2064"/>
      <c r="AB697" s="2064"/>
      <c r="AC697" s="2064"/>
      <c r="AD697" s="2064"/>
      <c r="AE697" s="2064"/>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0.05</v>
      </c>
      <c r="BI703" s="461">
        <f t="shared" ref="BI703:BI727" si="45">IF(BH703=0," ",BH703*AM728)</f>
        <v>1.4978292329956587E-2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1.2500000000000001E-2</v>
      </c>
      <c r="BI704" s="461">
        <f t="shared" si="45"/>
        <v>6.2500000000000003E-3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1">
        <v>44448</v>
      </c>
      <c r="AF705" s="2331"/>
      <c r="AG705" s="2331"/>
      <c r="AH705" s="2331"/>
      <c r="AI705" s="23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0.15</v>
      </c>
      <c r="BI705" s="461">
        <f t="shared" si="45"/>
        <v>8.9978292329956577E-2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0">
        <v>44538</v>
      </c>
      <c r="AF706" s="2330"/>
      <c r="AG706" s="2330"/>
      <c r="AH706" s="2330"/>
      <c r="AI706" s="233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0.05</v>
      </c>
      <c r="BI706" s="461">
        <f t="shared" si="45"/>
        <v>4.0014471780028947E-2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2.5000000000000001E-2</v>
      </c>
      <c r="BI707" s="461">
        <f t="shared" si="45"/>
        <v>7.4999999999999997E-3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1">
        <v>44621</v>
      </c>
      <c r="AF708" s="2331"/>
      <c r="AG708" s="2331"/>
      <c r="AH708" s="2331"/>
      <c r="AI708" s="23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2.5000000000000001E-2</v>
      </c>
      <c r="BI708" s="461">
        <f t="shared" si="45"/>
        <v>1.2500000000000001E-2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7">
        <v>0.52790000000000004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12</v>
      </c>
      <c r="BH709" s="460">
        <f t="shared" si="46"/>
        <v>0.15</v>
      </c>
      <c r="BI709" s="461">
        <f t="shared" si="45"/>
        <v>0.09</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2.5000000000000001E-2</v>
      </c>
      <c r="BI710" s="461">
        <f t="shared" si="45"/>
        <v>2.0016891891891892E-2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1.2500000000000001E-2</v>
      </c>
      <c r="BI711" s="461">
        <f t="shared" si="45"/>
        <v>3.7514076576576579E-3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2.5000000000000001E-2</v>
      </c>
      <c r="BI712" s="461">
        <f t="shared" si="45"/>
        <v>1.2500000000000001E-2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12</v>
      </c>
      <c r="BH713" s="460">
        <f t="shared" si="46"/>
        <v>0.15</v>
      </c>
      <c r="BI713" s="461">
        <f t="shared" si="45"/>
        <v>9.003378378378378E-2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6.25E-2</v>
      </c>
      <c r="BI714" s="461">
        <f t="shared" si="45"/>
        <v>5.0042229729729729E-2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4"/>
      <c r="K715" s="2064"/>
      <c r="L715" s="2064"/>
      <c r="M715" s="2064"/>
      <c r="N715" s="2064"/>
      <c r="O715" s="2064"/>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1.2500000000000001E-2</v>
      </c>
      <c r="BI715" s="461">
        <f t="shared" si="45"/>
        <v>3.7463450292397667E-3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466</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3</v>
      </c>
      <c r="BH716" s="460">
        <f t="shared" si="46"/>
        <v>3.7499999999999999E-2</v>
      </c>
      <c r="BI716" s="461">
        <f t="shared" si="45"/>
        <v>1.8749999999999999E-2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12</v>
      </c>
      <c r="BH717" s="460">
        <f t="shared" si="46"/>
        <v>0.15</v>
      </c>
      <c r="BI717" s="461">
        <f t="shared" si="45"/>
        <v>8.9985380116959057E-2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5</v>
      </c>
      <c r="BH718" s="460">
        <f t="shared" si="46"/>
        <v>6.25E-2</v>
      </c>
      <c r="BI718" s="461">
        <f t="shared" si="45"/>
        <v>5.0012183235867445E-2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64" t="s">
        <v>407</v>
      </c>
      <c r="C724" s="2265"/>
      <c r="D724" s="2265"/>
      <c r="E724" s="2265"/>
      <c r="F724" s="2266"/>
      <c r="G724" s="2264" t="s">
        <v>291</v>
      </c>
      <c r="H724" s="2265"/>
      <c r="I724" s="2265"/>
      <c r="J724" s="2266"/>
      <c r="K724" s="2273" t="s">
        <v>2155</v>
      </c>
      <c r="L724" s="2274"/>
      <c r="M724" s="2274"/>
      <c r="N724" s="2275"/>
      <c r="O724" s="2264" t="s">
        <v>477</v>
      </c>
      <c r="P724" s="2265"/>
      <c r="Q724" s="2265"/>
      <c r="R724" s="2265"/>
      <c r="S724" s="2266"/>
      <c r="T724" s="2264" t="s">
        <v>292</v>
      </c>
      <c r="U724" s="2265"/>
      <c r="V724" s="2265"/>
      <c r="W724" s="2265"/>
      <c r="X724" s="2266"/>
      <c r="Y724" s="2264" t="s">
        <v>293</v>
      </c>
      <c r="Z724" s="2265"/>
      <c r="AA724" s="2265"/>
      <c r="AB724" s="2266"/>
      <c r="AC724" s="2264" t="s">
        <v>294</v>
      </c>
      <c r="AD724" s="2265"/>
      <c r="AE724" s="2265"/>
      <c r="AF724" s="2265"/>
      <c r="AG724" s="2266"/>
      <c r="AH724" s="2264" t="s">
        <v>408</v>
      </c>
      <c r="AI724" s="2265"/>
      <c r="AJ724" s="2265"/>
      <c r="AK724" s="2265"/>
      <c r="AL724" s="2266"/>
      <c r="AM724" s="2264" t="s">
        <v>681</v>
      </c>
      <c r="AN724" s="2265"/>
      <c r="AO724" s="226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7"/>
      <c r="C725" s="2268"/>
      <c r="D725" s="2268"/>
      <c r="E725" s="2268"/>
      <c r="F725" s="2269"/>
      <c r="G725" s="2267"/>
      <c r="H725" s="2268"/>
      <c r="I725" s="2268"/>
      <c r="J725" s="2269"/>
      <c r="K725" s="2276"/>
      <c r="L725" s="2277"/>
      <c r="M725" s="2277"/>
      <c r="N725" s="2278"/>
      <c r="O725" s="2267"/>
      <c r="P725" s="2268"/>
      <c r="Q725" s="2268"/>
      <c r="R725" s="2268"/>
      <c r="S725" s="2269"/>
      <c r="T725" s="2267"/>
      <c r="U725" s="2268"/>
      <c r="V725" s="2268"/>
      <c r="W725" s="2268"/>
      <c r="X725" s="2269"/>
      <c r="Y725" s="2267"/>
      <c r="Z725" s="2268"/>
      <c r="AA725" s="2268"/>
      <c r="AB725" s="2269"/>
      <c r="AC725" s="2267"/>
      <c r="AD725" s="2268"/>
      <c r="AE725" s="2268"/>
      <c r="AF725" s="2268"/>
      <c r="AG725" s="2269"/>
      <c r="AH725" s="2267"/>
      <c r="AI725" s="2268"/>
      <c r="AJ725" s="2268"/>
      <c r="AK725" s="2268"/>
      <c r="AL725" s="2269"/>
      <c r="AM725" s="2267"/>
      <c r="AN725" s="2268"/>
      <c r="AO725" s="226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7"/>
      <c r="C726" s="2268"/>
      <c r="D726" s="2268"/>
      <c r="E726" s="2268"/>
      <c r="F726" s="2269"/>
      <c r="G726" s="2267"/>
      <c r="H726" s="2268"/>
      <c r="I726" s="2268"/>
      <c r="J726" s="2269"/>
      <c r="K726" s="2276"/>
      <c r="L726" s="2277"/>
      <c r="M726" s="2277"/>
      <c r="N726" s="2278"/>
      <c r="O726" s="2267"/>
      <c r="P726" s="2268"/>
      <c r="Q726" s="2268"/>
      <c r="R726" s="2268"/>
      <c r="S726" s="2269"/>
      <c r="T726" s="2267"/>
      <c r="U726" s="2268"/>
      <c r="V726" s="2268"/>
      <c r="W726" s="2268"/>
      <c r="X726" s="2269"/>
      <c r="Y726" s="2267"/>
      <c r="Z726" s="2268"/>
      <c r="AA726" s="2268"/>
      <c r="AB726" s="2269"/>
      <c r="AC726" s="2267"/>
      <c r="AD726" s="2268"/>
      <c r="AE726" s="2268"/>
      <c r="AF726" s="2268"/>
      <c r="AG726" s="2269"/>
      <c r="AH726" s="2267"/>
      <c r="AI726" s="2268"/>
      <c r="AJ726" s="2268"/>
      <c r="AK726" s="2268"/>
      <c r="AL726" s="2269"/>
      <c r="AM726" s="2267"/>
      <c r="AN726" s="2268"/>
      <c r="AO726" s="226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70"/>
      <c r="C727" s="2271"/>
      <c r="D727" s="2271"/>
      <c r="E727" s="2271"/>
      <c r="F727" s="2272"/>
      <c r="G727" s="2270"/>
      <c r="H727" s="2271"/>
      <c r="I727" s="2271"/>
      <c r="J727" s="2272"/>
      <c r="K727" s="2276"/>
      <c r="L727" s="2277"/>
      <c r="M727" s="2277"/>
      <c r="N727" s="2278"/>
      <c r="O727" s="2270"/>
      <c r="P727" s="2271"/>
      <c r="Q727" s="2271"/>
      <c r="R727" s="2271"/>
      <c r="S727" s="2272"/>
      <c r="T727" s="2270"/>
      <c r="U727" s="2271"/>
      <c r="V727" s="2271"/>
      <c r="W727" s="2271"/>
      <c r="X727" s="2272"/>
      <c r="Y727" s="2270"/>
      <c r="Z727" s="2271"/>
      <c r="AA727" s="2271"/>
      <c r="AB727" s="2272"/>
      <c r="AC727" s="2270"/>
      <c r="AD727" s="2271"/>
      <c r="AE727" s="2271"/>
      <c r="AF727" s="2271"/>
      <c r="AG727" s="2272"/>
      <c r="AH727" s="2270"/>
      <c r="AI727" s="2271"/>
      <c r="AJ727" s="2271"/>
      <c r="AK727" s="2271"/>
      <c r="AL727" s="2272"/>
      <c r="AM727" s="2270"/>
      <c r="AN727" s="2271"/>
      <c r="AO727" s="227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27" t="s">
        <v>333</v>
      </c>
      <c r="C728" s="2228"/>
      <c r="D728" s="2228"/>
      <c r="E728" s="2228"/>
      <c r="F728" s="2229"/>
      <c r="G728" s="2287">
        <v>4</v>
      </c>
      <c r="H728" s="2288"/>
      <c r="I728" s="2288"/>
      <c r="J728" s="2289"/>
      <c r="K728" s="2261">
        <v>400</v>
      </c>
      <c r="L728" s="2262"/>
      <c r="M728" s="2262"/>
      <c r="N728" s="2263"/>
      <c r="O728" s="2224">
        <v>348</v>
      </c>
      <c r="P728" s="2225"/>
      <c r="Q728" s="2225"/>
      <c r="R728" s="2225"/>
      <c r="S728" s="2226"/>
      <c r="T728" s="2025">
        <f t="shared" ref="T728:T752" si="47">G728*O728</f>
        <v>1392</v>
      </c>
      <c r="U728" s="2026"/>
      <c r="V728" s="2026"/>
      <c r="W728" s="2026"/>
      <c r="X728" s="2027"/>
      <c r="Y728" s="2224">
        <v>66</v>
      </c>
      <c r="Z728" s="2225"/>
      <c r="AA728" s="2225"/>
      <c r="AB728" s="2226"/>
      <c r="AC728" s="2025">
        <f t="shared" ref="AC728:AC752" si="48">O728+Y728</f>
        <v>414</v>
      </c>
      <c r="AD728" s="2026"/>
      <c r="AE728" s="2026"/>
      <c r="AF728" s="2026"/>
      <c r="AG728" s="2027"/>
      <c r="AH728" s="2028">
        <v>0.3</v>
      </c>
      <c r="AI728" s="2029"/>
      <c r="AJ728" s="2029"/>
      <c r="AK728" s="2029"/>
      <c r="AL728" s="2030"/>
      <c r="AM728" s="2007">
        <f t="shared" ref="AM728:AM752" si="49">IF($AH728&gt;0,($AC728/$BA670), " ")</f>
        <v>0.29956584659913171</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80</v>
      </c>
      <c r="BH728" s="463">
        <f>SUM(BH703:BH727)</f>
        <v>1</v>
      </c>
      <c r="BI728" s="463">
        <f>SUM(BI703:BI727)</f>
        <v>0.60005927788507141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56" t="s">
        <v>333</v>
      </c>
      <c r="C729" s="2228"/>
      <c r="D729" s="2228"/>
      <c r="E729" s="2228"/>
      <c r="F729" s="2229"/>
      <c r="G729" s="2287">
        <v>1</v>
      </c>
      <c r="H729" s="2288"/>
      <c r="I729" s="2288"/>
      <c r="J729" s="2289"/>
      <c r="K729" s="2261">
        <v>400</v>
      </c>
      <c r="L729" s="2262"/>
      <c r="M729" s="2262"/>
      <c r="N729" s="2263"/>
      <c r="O729" s="2224">
        <v>625</v>
      </c>
      <c r="P729" s="2225"/>
      <c r="Q729" s="2225"/>
      <c r="R729" s="2225"/>
      <c r="S729" s="2226"/>
      <c r="T729" s="2025">
        <f t="shared" si="47"/>
        <v>625</v>
      </c>
      <c r="U729" s="2026"/>
      <c r="V729" s="2026"/>
      <c r="W729" s="2026"/>
      <c r="X729" s="2027"/>
      <c r="Y729" s="2224">
        <v>66</v>
      </c>
      <c r="Z729" s="2225"/>
      <c r="AA729" s="2225"/>
      <c r="AB729" s="2226"/>
      <c r="AC729" s="2025">
        <f t="shared" si="48"/>
        <v>691</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56" t="s">
        <v>333</v>
      </c>
      <c r="C730" s="2228"/>
      <c r="D730" s="2228"/>
      <c r="E730" s="2228"/>
      <c r="F730" s="2229"/>
      <c r="G730" s="2287">
        <v>12</v>
      </c>
      <c r="H730" s="2288"/>
      <c r="I730" s="2288"/>
      <c r="J730" s="2289"/>
      <c r="K730" s="2261">
        <v>400</v>
      </c>
      <c r="L730" s="2262"/>
      <c r="M730" s="2262"/>
      <c r="N730" s="2263"/>
      <c r="O730" s="2224">
        <v>763</v>
      </c>
      <c r="P730" s="2225"/>
      <c r="Q730" s="2225"/>
      <c r="R730" s="2225"/>
      <c r="S730" s="2226"/>
      <c r="T730" s="2025">
        <f t="shared" si="47"/>
        <v>9156</v>
      </c>
      <c r="U730" s="2026"/>
      <c r="V730" s="2026"/>
      <c r="W730" s="2026"/>
      <c r="X730" s="2027"/>
      <c r="Y730" s="2224">
        <v>66</v>
      </c>
      <c r="Z730" s="2225"/>
      <c r="AA730" s="2225"/>
      <c r="AB730" s="2226"/>
      <c r="AC730" s="2025">
        <f t="shared" si="48"/>
        <v>829</v>
      </c>
      <c r="AD730" s="2026"/>
      <c r="AE730" s="2026"/>
      <c r="AF730" s="2026"/>
      <c r="AG730" s="2027"/>
      <c r="AH730" s="2028">
        <v>0.6</v>
      </c>
      <c r="AI730" s="2029"/>
      <c r="AJ730" s="2029"/>
      <c r="AK730" s="2029"/>
      <c r="AL730" s="2030"/>
      <c r="AM730" s="2007">
        <f t="shared" si="49"/>
        <v>0.59985528219971052</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56" t="s">
        <v>333</v>
      </c>
      <c r="C731" s="2228"/>
      <c r="D731" s="2228"/>
      <c r="E731" s="2228"/>
      <c r="F731" s="2229"/>
      <c r="G731" s="2287">
        <v>4</v>
      </c>
      <c r="H731" s="2288"/>
      <c r="I731" s="2288"/>
      <c r="J731" s="2289"/>
      <c r="K731" s="2261">
        <v>400</v>
      </c>
      <c r="L731" s="2262"/>
      <c r="M731" s="2262"/>
      <c r="N731" s="2263"/>
      <c r="O731" s="2224">
        <v>1040</v>
      </c>
      <c r="P731" s="2225"/>
      <c r="Q731" s="2225"/>
      <c r="R731" s="2225"/>
      <c r="S731" s="2226"/>
      <c r="T731" s="2025">
        <f t="shared" si="47"/>
        <v>4160</v>
      </c>
      <c r="U731" s="2026"/>
      <c r="V731" s="2026"/>
      <c r="W731" s="2026"/>
      <c r="X731" s="2027"/>
      <c r="Y731" s="2224">
        <v>66</v>
      </c>
      <c r="Z731" s="2225"/>
      <c r="AA731" s="2225"/>
      <c r="AB731" s="2226"/>
      <c r="AC731" s="2025">
        <f t="shared" si="48"/>
        <v>1106</v>
      </c>
      <c r="AD731" s="2026"/>
      <c r="AE731" s="2026"/>
      <c r="AF731" s="2026"/>
      <c r="AG731" s="2027"/>
      <c r="AH731" s="2028">
        <v>0.8</v>
      </c>
      <c r="AI731" s="2029"/>
      <c r="AJ731" s="2029"/>
      <c r="AK731" s="2029"/>
      <c r="AL731" s="2030"/>
      <c r="AM731" s="2007">
        <f t="shared" si="49"/>
        <v>0.80028943560057886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56" t="s">
        <v>334</v>
      </c>
      <c r="C732" s="2228"/>
      <c r="D732" s="2228"/>
      <c r="E732" s="2228"/>
      <c r="F732" s="2229"/>
      <c r="G732" s="2287">
        <v>2</v>
      </c>
      <c r="H732" s="2288"/>
      <c r="I732" s="2288"/>
      <c r="J732" s="2289"/>
      <c r="K732" s="2261">
        <v>630</v>
      </c>
      <c r="L732" s="2262"/>
      <c r="M732" s="2262"/>
      <c r="N732" s="2263"/>
      <c r="O732" s="2224">
        <v>366</v>
      </c>
      <c r="P732" s="2225"/>
      <c r="Q732" s="2225"/>
      <c r="R732" s="2225"/>
      <c r="S732" s="2226"/>
      <c r="T732" s="2025">
        <f t="shared" si="47"/>
        <v>732</v>
      </c>
      <c r="U732" s="2026"/>
      <c r="V732" s="2026"/>
      <c r="W732" s="2026"/>
      <c r="X732" s="2027"/>
      <c r="Y732" s="2224">
        <v>78</v>
      </c>
      <c r="Z732" s="2225"/>
      <c r="AA732" s="2225"/>
      <c r="AB732" s="2226"/>
      <c r="AC732" s="2025">
        <f t="shared" si="48"/>
        <v>444</v>
      </c>
      <c r="AD732" s="2026"/>
      <c r="AE732" s="2026"/>
      <c r="AF732" s="2026"/>
      <c r="AG732" s="2027"/>
      <c r="AH732" s="2028">
        <v>0.3</v>
      </c>
      <c r="AI732" s="2029"/>
      <c r="AJ732" s="2029"/>
      <c r="AK732" s="2029"/>
      <c r="AL732" s="2030"/>
      <c r="AM732" s="2007">
        <f t="shared" si="49"/>
        <v>0.3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56" t="s">
        <v>334</v>
      </c>
      <c r="C733" s="2228"/>
      <c r="D733" s="2228"/>
      <c r="E733" s="2228"/>
      <c r="F733" s="2229"/>
      <c r="G733" s="2287">
        <v>2</v>
      </c>
      <c r="H733" s="2288"/>
      <c r="I733" s="2288"/>
      <c r="J733" s="2289"/>
      <c r="K733" s="2261">
        <v>630</v>
      </c>
      <c r="L733" s="2262"/>
      <c r="M733" s="2262"/>
      <c r="N733" s="2263"/>
      <c r="O733" s="2224">
        <v>662</v>
      </c>
      <c r="P733" s="2225"/>
      <c r="Q733" s="2225"/>
      <c r="R733" s="2225"/>
      <c r="S733" s="2226"/>
      <c r="T733" s="2025">
        <f t="shared" si="47"/>
        <v>1324</v>
      </c>
      <c r="U733" s="2026"/>
      <c r="V733" s="2026"/>
      <c r="W733" s="2026"/>
      <c r="X733" s="2027"/>
      <c r="Y733" s="2224">
        <v>78</v>
      </c>
      <c r="Z733" s="2225"/>
      <c r="AA733" s="2225"/>
      <c r="AB733" s="2226"/>
      <c r="AC733" s="2025">
        <f t="shared" si="48"/>
        <v>740</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56" t="s">
        <v>334</v>
      </c>
      <c r="C734" s="2228"/>
      <c r="D734" s="2228"/>
      <c r="E734" s="2228"/>
      <c r="F734" s="2229"/>
      <c r="G734" s="2287">
        <v>12</v>
      </c>
      <c r="H734" s="2288"/>
      <c r="I734" s="2288"/>
      <c r="J734" s="2289"/>
      <c r="K734" s="2261">
        <v>630</v>
      </c>
      <c r="L734" s="2262"/>
      <c r="M734" s="2262"/>
      <c r="N734" s="2263"/>
      <c r="O734" s="2224">
        <v>810</v>
      </c>
      <c r="P734" s="2225"/>
      <c r="Q734" s="2225"/>
      <c r="R734" s="2225"/>
      <c r="S734" s="2226"/>
      <c r="T734" s="2025">
        <f t="shared" si="47"/>
        <v>9720</v>
      </c>
      <c r="U734" s="2026"/>
      <c r="V734" s="2026"/>
      <c r="W734" s="2026"/>
      <c r="X734" s="2027"/>
      <c r="Y734" s="2224">
        <v>78</v>
      </c>
      <c r="Z734" s="2225"/>
      <c r="AA734" s="2225"/>
      <c r="AB734" s="2226"/>
      <c r="AC734" s="2025">
        <f t="shared" si="48"/>
        <v>888</v>
      </c>
      <c r="AD734" s="2026"/>
      <c r="AE734" s="2026"/>
      <c r="AF734" s="2026"/>
      <c r="AG734" s="2027"/>
      <c r="AH734" s="2028">
        <v>0.6</v>
      </c>
      <c r="AI734" s="2029"/>
      <c r="AJ734" s="2029"/>
      <c r="AK734" s="2029"/>
      <c r="AL734" s="2030"/>
      <c r="AM734" s="2007">
        <f t="shared" si="49"/>
        <v>0.6</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56" t="s">
        <v>334</v>
      </c>
      <c r="C735" s="2228"/>
      <c r="D735" s="2228"/>
      <c r="E735" s="2228"/>
      <c r="F735" s="2229"/>
      <c r="G735" s="2287">
        <v>2</v>
      </c>
      <c r="H735" s="2288"/>
      <c r="I735" s="2288"/>
      <c r="J735" s="2289"/>
      <c r="K735" s="2261">
        <v>630</v>
      </c>
      <c r="L735" s="2262"/>
      <c r="M735" s="2262"/>
      <c r="N735" s="2263"/>
      <c r="O735" s="2224">
        <v>1107</v>
      </c>
      <c r="P735" s="2225"/>
      <c r="Q735" s="2225"/>
      <c r="R735" s="2225"/>
      <c r="S735" s="2226"/>
      <c r="T735" s="2025">
        <f t="shared" si="47"/>
        <v>2214</v>
      </c>
      <c r="U735" s="2026"/>
      <c r="V735" s="2026"/>
      <c r="W735" s="2026"/>
      <c r="X735" s="2027"/>
      <c r="Y735" s="2224">
        <v>78</v>
      </c>
      <c r="Z735" s="2225"/>
      <c r="AA735" s="2225"/>
      <c r="AB735" s="2226"/>
      <c r="AC735" s="2025">
        <f t="shared" si="48"/>
        <v>1185</v>
      </c>
      <c r="AD735" s="2026"/>
      <c r="AE735" s="2026"/>
      <c r="AF735" s="2026"/>
      <c r="AG735" s="2027"/>
      <c r="AH735" s="2028">
        <v>0.8</v>
      </c>
      <c r="AI735" s="2029"/>
      <c r="AJ735" s="2029"/>
      <c r="AK735" s="2029"/>
      <c r="AL735" s="2030"/>
      <c r="AM735" s="2007">
        <f t="shared" si="49"/>
        <v>0.80067567567567566</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56" t="s">
        <v>168</v>
      </c>
      <c r="C736" s="2228"/>
      <c r="D736" s="2228"/>
      <c r="E736" s="2228"/>
      <c r="F736" s="2229"/>
      <c r="G736" s="2287">
        <v>1</v>
      </c>
      <c r="H736" s="2288"/>
      <c r="I736" s="2288"/>
      <c r="J736" s="2289"/>
      <c r="K736" s="2261">
        <v>760</v>
      </c>
      <c r="L736" s="2262"/>
      <c r="M736" s="2262"/>
      <c r="N736" s="2263"/>
      <c r="O736" s="2224">
        <v>428</v>
      </c>
      <c r="P736" s="2225"/>
      <c r="Q736" s="2225"/>
      <c r="R736" s="2225"/>
      <c r="S736" s="2226"/>
      <c r="T736" s="2025">
        <f t="shared" si="47"/>
        <v>428</v>
      </c>
      <c r="U736" s="2026"/>
      <c r="V736" s="2026"/>
      <c r="W736" s="2026"/>
      <c r="X736" s="2027"/>
      <c r="Y736" s="2224">
        <v>105</v>
      </c>
      <c r="Z736" s="2225"/>
      <c r="AA736" s="2225"/>
      <c r="AB736" s="2226"/>
      <c r="AC736" s="2025">
        <f t="shared" si="48"/>
        <v>533</v>
      </c>
      <c r="AD736" s="2026"/>
      <c r="AE736" s="2026"/>
      <c r="AF736" s="2026"/>
      <c r="AG736" s="2027"/>
      <c r="AH736" s="2028">
        <v>0.3</v>
      </c>
      <c r="AI736" s="2029"/>
      <c r="AJ736" s="2029"/>
      <c r="AK736" s="2029"/>
      <c r="AL736" s="2030"/>
      <c r="AM736" s="2007">
        <f t="shared" si="49"/>
        <v>0.30011261261261263</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56" t="s">
        <v>168</v>
      </c>
      <c r="C737" s="2228"/>
      <c r="D737" s="2228"/>
      <c r="E737" s="2228"/>
      <c r="F737" s="2229"/>
      <c r="G737" s="2287">
        <v>2</v>
      </c>
      <c r="H737" s="2288"/>
      <c r="I737" s="2288"/>
      <c r="J737" s="2289"/>
      <c r="K737" s="2261">
        <v>760</v>
      </c>
      <c r="L737" s="2262"/>
      <c r="M737" s="2262"/>
      <c r="N737" s="2263"/>
      <c r="O737" s="2224">
        <v>783</v>
      </c>
      <c r="P737" s="2225"/>
      <c r="Q737" s="2225"/>
      <c r="R737" s="2225"/>
      <c r="S737" s="2226"/>
      <c r="T737" s="2025">
        <f t="shared" si="47"/>
        <v>1566</v>
      </c>
      <c r="U737" s="2026"/>
      <c r="V737" s="2026"/>
      <c r="W737" s="2026"/>
      <c r="X737" s="2027"/>
      <c r="Y737" s="2224">
        <v>105</v>
      </c>
      <c r="Z737" s="2225"/>
      <c r="AA737" s="2225"/>
      <c r="AB737" s="2226"/>
      <c r="AC737" s="2025">
        <f t="shared" si="48"/>
        <v>888</v>
      </c>
      <c r="AD737" s="2026"/>
      <c r="AE737" s="2026"/>
      <c r="AF737" s="2026"/>
      <c r="AG737" s="2027"/>
      <c r="AH737" s="2028">
        <v>0.5</v>
      </c>
      <c r="AI737" s="2029"/>
      <c r="AJ737" s="2029"/>
      <c r="AK737" s="2029"/>
      <c r="AL737" s="2030"/>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56" t="s">
        <v>168</v>
      </c>
      <c r="C738" s="2228"/>
      <c r="D738" s="2228"/>
      <c r="E738" s="2228"/>
      <c r="F738" s="2229"/>
      <c r="G738" s="2287">
        <v>12</v>
      </c>
      <c r="H738" s="2288"/>
      <c r="I738" s="2288"/>
      <c r="J738" s="2289"/>
      <c r="K738" s="2261">
        <v>760</v>
      </c>
      <c r="L738" s="2262"/>
      <c r="M738" s="2262"/>
      <c r="N738" s="2263"/>
      <c r="O738" s="2224">
        <v>961</v>
      </c>
      <c r="P738" s="2225"/>
      <c r="Q738" s="2225"/>
      <c r="R738" s="2225"/>
      <c r="S738" s="2226"/>
      <c r="T738" s="2025">
        <f t="shared" si="47"/>
        <v>11532</v>
      </c>
      <c r="U738" s="2026"/>
      <c r="V738" s="2026"/>
      <c r="W738" s="2026"/>
      <c r="X738" s="2027"/>
      <c r="Y738" s="2224">
        <v>105</v>
      </c>
      <c r="Z738" s="2225"/>
      <c r="AA738" s="2225"/>
      <c r="AB738" s="2226"/>
      <c r="AC738" s="2025">
        <f t="shared" si="48"/>
        <v>1066</v>
      </c>
      <c r="AD738" s="2026"/>
      <c r="AE738" s="2026"/>
      <c r="AF738" s="2026"/>
      <c r="AG738" s="2027"/>
      <c r="AH738" s="2028">
        <v>0.6</v>
      </c>
      <c r="AI738" s="2029"/>
      <c r="AJ738" s="2029"/>
      <c r="AK738" s="2029"/>
      <c r="AL738" s="2030"/>
      <c r="AM738" s="2007">
        <f t="shared" si="49"/>
        <v>0.60022522522522526</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56" t="s">
        <v>168</v>
      </c>
      <c r="C739" s="2228"/>
      <c r="D739" s="2228"/>
      <c r="E739" s="2228"/>
      <c r="F739" s="2229"/>
      <c r="G739" s="2287">
        <v>5</v>
      </c>
      <c r="H739" s="2288"/>
      <c r="I739" s="2288"/>
      <c r="J739" s="2289"/>
      <c r="K739" s="2261">
        <v>760</v>
      </c>
      <c r="L739" s="2262"/>
      <c r="M739" s="2262"/>
      <c r="N739" s="2263"/>
      <c r="O739" s="2224">
        <v>1317</v>
      </c>
      <c r="P739" s="2225"/>
      <c r="Q739" s="2225"/>
      <c r="R739" s="2225"/>
      <c r="S739" s="2226"/>
      <c r="T739" s="2025">
        <f t="shared" si="47"/>
        <v>6585</v>
      </c>
      <c r="U739" s="2026"/>
      <c r="V739" s="2026"/>
      <c r="W739" s="2026"/>
      <c r="X739" s="2027"/>
      <c r="Y739" s="2224">
        <v>105</v>
      </c>
      <c r="Z739" s="2225"/>
      <c r="AA739" s="2225"/>
      <c r="AB739" s="2226"/>
      <c r="AC739" s="2025">
        <f t="shared" si="48"/>
        <v>1422</v>
      </c>
      <c r="AD739" s="2026"/>
      <c r="AE739" s="2026"/>
      <c r="AF739" s="2026"/>
      <c r="AG739" s="2027"/>
      <c r="AH739" s="2028">
        <v>0.8</v>
      </c>
      <c r="AI739" s="2029"/>
      <c r="AJ739" s="2029"/>
      <c r="AK739" s="2029"/>
      <c r="AL739" s="2030"/>
      <c r="AM739" s="2007">
        <f t="shared" si="49"/>
        <v>0.80067567567567566</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27" t="s">
        <v>169</v>
      </c>
      <c r="C740" s="2228"/>
      <c r="D740" s="2228"/>
      <c r="E740" s="2228"/>
      <c r="F740" s="2229"/>
      <c r="G740" s="2287">
        <v>1</v>
      </c>
      <c r="H740" s="2288"/>
      <c r="I740" s="2288"/>
      <c r="J740" s="2289"/>
      <c r="K740" s="2261">
        <v>1070</v>
      </c>
      <c r="L740" s="2262"/>
      <c r="M740" s="2262"/>
      <c r="N740" s="2263"/>
      <c r="O740" s="2224">
        <v>484</v>
      </c>
      <c r="P740" s="2225"/>
      <c r="Q740" s="2225"/>
      <c r="R740" s="2225"/>
      <c r="S740" s="2226"/>
      <c r="T740" s="2025">
        <f t="shared" si="47"/>
        <v>484</v>
      </c>
      <c r="U740" s="2026"/>
      <c r="V740" s="2026"/>
      <c r="W740" s="2026"/>
      <c r="X740" s="2027"/>
      <c r="Y740" s="2224">
        <v>131</v>
      </c>
      <c r="Z740" s="2225"/>
      <c r="AA740" s="2225"/>
      <c r="AB740" s="2226"/>
      <c r="AC740" s="2025">
        <f t="shared" si="48"/>
        <v>615</v>
      </c>
      <c r="AD740" s="2026"/>
      <c r="AE740" s="2026"/>
      <c r="AF740" s="2026"/>
      <c r="AG740" s="2027"/>
      <c r="AH740" s="2028">
        <v>0.3</v>
      </c>
      <c r="AI740" s="2029"/>
      <c r="AJ740" s="2029"/>
      <c r="AK740" s="2029"/>
      <c r="AL740" s="2030"/>
      <c r="AM740" s="2007">
        <f t="shared" si="49"/>
        <v>0.29970760233918131</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56" t="s">
        <v>169</v>
      </c>
      <c r="C741" s="2228"/>
      <c r="D741" s="2228"/>
      <c r="E741" s="2228"/>
      <c r="F741" s="2229"/>
      <c r="G741" s="2287">
        <v>3</v>
      </c>
      <c r="H741" s="2288"/>
      <c r="I741" s="2288"/>
      <c r="J741" s="2289"/>
      <c r="K741" s="2261">
        <v>1070</v>
      </c>
      <c r="L741" s="2262"/>
      <c r="M741" s="2262"/>
      <c r="N741" s="2263"/>
      <c r="O741" s="2224">
        <v>895</v>
      </c>
      <c r="P741" s="2225"/>
      <c r="Q741" s="2225"/>
      <c r="R741" s="2225"/>
      <c r="S741" s="2226"/>
      <c r="T741" s="2025">
        <f t="shared" si="47"/>
        <v>2685</v>
      </c>
      <c r="U741" s="2026"/>
      <c r="V741" s="2026"/>
      <c r="W741" s="2026"/>
      <c r="X741" s="2027"/>
      <c r="Y741" s="2224">
        <v>131</v>
      </c>
      <c r="Z741" s="2225"/>
      <c r="AA741" s="2225"/>
      <c r="AB741" s="2226"/>
      <c r="AC741" s="2025">
        <f t="shared" si="48"/>
        <v>1026</v>
      </c>
      <c r="AD741" s="2026"/>
      <c r="AE741" s="2026"/>
      <c r="AF741" s="2026"/>
      <c r="AG741" s="2027"/>
      <c r="AH741" s="2028">
        <v>0.5</v>
      </c>
      <c r="AI741" s="2029"/>
      <c r="AJ741" s="2029"/>
      <c r="AK741" s="2029"/>
      <c r="AL741" s="2030"/>
      <c r="AM741" s="2007">
        <f t="shared" si="49"/>
        <v>0.5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56" t="s">
        <v>169</v>
      </c>
      <c r="C742" s="2228"/>
      <c r="D742" s="2228"/>
      <c r="E742" s="2228"/>
      <c r="F742" s="2229"/>
      <c r="G742" s="2287">
        <v>12</v>
      </c>
      <c r="H742" s="2288"/>
      <c r="I742" s="2288"/>
      <c r="J742" s="2289"/>
      <c r="K742" s="2261">
        <v>1070</v>
      </c>
      <c r="L742" s="2262"/>
      <c r="M742" s="2262"/>
      <c r="N742" s="2263"/>
      <c r="O742" s="2224">
        <v>1100</v>
      </c>
      <c r="P742" s="2225"/>
      <c r="Q742" s="2225"/>
      <c r="R742" s="2225"/>
      <c r="S742" s="2226"/>
      <c r="T742" s="2025">
        <f t="shared" si="47"/>
        <v>13200</v>
      </c>
      <c r="U742" s="2026"/>
      <c r="V742" s="2026"/>
      <c r="W742" s="2026"/>
      <c r="X742" s="2027"/>
      <c r="Y742" s="2224">
        <v>131</v>
      </c>
      <c r="Z742" s="2225"/>
      <c r="AA742" s="2225"/>
      <c r="AB742" s="2226"/>
      <c r="AC742" s="2025">
        <f t="shared" si="48"/>
        <v>1231</v>
      </c>
      <c r="AD742" s="2026"/>
      <c r="AE742" s="2026"/>
      <c r="AF742" s="2026"/>
      <c r="AG742" s="2027"/>
      <c r="AH742" s="2028">
        <v>0.6</v>
      </c>
      <c r="AI742" s="2029"/>
      <c r="AJ742" s="2029"/>
      <c r="AK742" s="2029"/>
      <c r="AL742" s="2030"/>
      <c r="AM742" s="2007">
        <f t="shared" si="49"/>
        <v>0.59990253411306038</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56" t="s">
        <v>169</v>
      </c>
      <c r="C743" s="2228"/>
      <c r="D743" s="2228"/>
      <c r="E743" s="2228"/>
      <c r="F743" s="2229"/>
      <c r="G743" s="2287">
        <v>5</v>
      </c>
      <c r="H743" s="2288"/>
      <c r="I743" s="2288"/>
      <c r="J743" s="2289"/>
      <c r="K743" s="2261">
        <v>1070</v>
      </c>
      <c r="L743" s="2262"/>
      <c r="M743" s="2262"/>
      <c r="N743" s="2263"/>
      <c r="O743" s="2224">
        <v>1511</v>
      </c>
      <c r="P743" s="2225"/>
      <c r="Q743" s="2225"/>
      <c r="R743" s="2225"/>
      <c r="S743" s="2226"/>
      <c r="T743" s="2025">
        <f t="shared" si="47"/>
        <v>7555</v>
      </c>
      <c r="U743" s="2026"/>
      <c r="V743" s="2026"/>
      <c r="W743" s="2026"/>
      <c r="X743" s="2027"/>
      <c r="Y743" s="2224">
        <v>131</v>
      </c>
      <c r="Z743" s="2225"/>
      <c r="AA743" s="2225"/>
      <c r="AB743" s="2226"/>
      <c r="AC743" s="2025">
        <f t="shared" si="48"/>
        <v>1642</v>
      </c>
      <c r="AD743" s="2026"/>
      <c r="AE743" s="2026"/>
      <c r="AF743" s="2026"/>
      <c r="AG743" s="2027"/>
      <c r="AH743" s="2028">
        <v>0.8</v>
      </c>
      <c r="AI743" s="2029"/>
      <c r="AJ743" s="2029"/>
      <c r="AK743" s="2029"/>
      <c r="AL743" s="2030"/>
      <c r="AM743" s="2007">
        <f t="shared" si="49"/>
        <v>0.80019493177387913</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27"/>
      <c r="C744" s="2228"/>
      <c r="D744" s="2228"/>
      <c r="E744" s="2228"/>
      <c r="F744" s="2229"/>
      <c r="G744" s="2287"/>
      <c r="H744" s="2288"/>
      <c r="I744" s="2288"/>
      <c r="J744" s="2289"/>
      <c r="K744" s="2261"/>
      <c r="L744" s="2262"/>
      <c r="M744" s="2262"/>
      <c r="N744" s="2263"/>
      <c r="O744" s="2224"/>
      <c r="P744" s="2225"/>
      <c r="Q744" s="2225"/>
      <c r="R744" s="2225"/>
      <c r="S744" s="2226"/>
      <c r="T744" s="2025">
        <f t="shared" si="47"/>
        <v>0</v>
      </c>
      <c r="U744" s="2026"/>
      <c r="V744" s="2026"/>
      <c r="W744" s="2026"/>
      <c r="X744" s="2027"/>
      <c r="Y744" s="2224">
        <v>0</v>
      </c>
      <c r="Z744" s="2225"/>
      <c r="AA744" s="2225"/>
      <c r="AB744" s="2226"/>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27"/>
      <c r="C745" s="2228"/>
      <c r="D745" s="2228"/>
      <c r="E745" s="2228"/>
      <c r="F745" s="2229"/>
      <c r="G745" s="2287"/>
      <c r="H745" s="2288"/>
      <c r="I745" s="2288"/>
      <c r="J745" s="2289"/>
      <c r="K745" s="2261"/>
      <c r="L745" s="2262"/>
      <c r="M745" s="2262"/>
      <c r="N745" s="2263"/>
      <c r="O745" s="2224"/>
      <c r="P745" s="2225"/>
      <c r="Q745" s="2225"/>
      <c r="R745" s="2225"/>
      <c r="S745" s="2226"/>
      <c r="T745" s="2025">
        <f t="shared" si="47"/>
        <v>0</v>
      </c>
      <c r="U745" s="2026"/>
      <c r="V745" s="2026"/>
      <c r="W745" s="2026"/>
      <c r="X745" s="2027"/>
      <c r="Y745" s="2224">
        <v>0</v>
      </c>
      <c r="Z745" s="2225"/>
      <c r="AA745" s="2225"/>
      <c r="AB745" s="2226"/>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27"/>
      <c r="C746" s="2228"/>
      <c r="D746" s="2228"/>
      <c r="E746" s="2228"/>
      <c r="F746" s="2229"/>
      <c r="G746" s="2287"/>
      <c r="H746" s="2288"/>
      <c r="I746" s="2288"/>
      <c r="J746" s="2289"/>
      <c r="K746" s="2261"/>
      <c r="L746" s="2262"/>
      <c r="M746" s="2262"/>
      <c r="N746" s="2263"/>
      <c r="O746" s="2224"/>
      <c r="P746" s="2225"/>
      <c r="Q746" s="2225"/>
      <c r="R746" s="2225"/>
      <c r="S746" s="2226"/>
      <c r="T746" s="2025">
        <f t="shared" si="47"/>
        <v>0</v>
      </c>
      <c r="U746" s="2026"/>
      <c r="V746" s="2026"/>
      <c r="W746" s="2026"/>
      <c r="X746" s="2027"/>
      <c r="Y746" s="2224">
        <v>0</v>
      </c>
      <c r="Z746" s="2225"/>
      <c r="AA746" s="2225"/>
      <c r="AB746" s="2226"/>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27"/>
      <c r="C747" s="2228"/>
      <c r="D747" s="2228"/>
      <c r="E747" s="2228"/>
      <c r="F747" s="2229"/>
      <c r="G747" s="2287"/>
      <c r="H747" s="2288"/>
      <c r="I747" s="2288"/>
      <c r="J747" s="2289"/>
      <c r="K747" s="2261"/>
      <c r="L747" s="2262"/>
      <c r="M747" s="2262"/>
      <c r="N747" s="2263"/>
      <c r="O747" s="2224"/>
      <c r="P747" s="2225"/>
      <c r="Q747" s="2225"/>
      <c r="R747" s="2225"/>
      <c r="S747" s="2226"/>
      <c r="T747" s="2025">
        <f t="shared" si="47"/>
        <v>0</v>
      </c>
      <c r="U747" s="2026"/>
      <c r="V747" s="2026"/>
      <c r="W747" s="2026"/>
      <c r="X747" s="2027"/>
      <c r="Y747" s="2224">
        <v>0</v>
      </c>
      <c r="Z747" s="2225"/>
      <c r="AA747" s="2225"/>
      <c r="AB747" s="2226"/>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27"/>
      <c r="C748" s="2228"/>
      <c r="D748" s="2228"/>
      <c r="E748" s="2228"/>
      <c r="F748" s="2229"/>
      <c r="G748" s="2287"/>
      <c r="H748" s="2288"/>
      <c r="I748" s="2288"/>
      <c r="J748" s="2289"/>
      <c r="K748" s="2261"/>
      <c r="L748" s="2262"/>
      <c r="M748" s="2262"/>
      <c r="N748" s="2263"/>
      <c r="O748" s="2224"/>
      <c r="P748" s="2225"/>
      <c r="Q748" s="2225"/>
      <c r="R748" s="2225"/>
      <c r="S748" s="2226"/>
      <c r="T748" s="2025">
        <f t="shared" si="47"/>
        <v>0</v>
      </c>
      <c r="U748" s="2026"/>
      <c r="V748" s="2026"/>
      <c r="W748" s="2026"/>
      <c r="X748" s="2027"/>
      <c r="Y748" s="2224">
        <v>0</v>
      </c>
      <c r="Z748" s="2225"/>
      <c r="AA748" s="2225"/>
      <c r="AB748" s="2226"/>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27"/>
      <c r="C749" s="2228"/>
      <c r="D749" s="2228"/>
      <c r="E749" s="2228"/>
      <c r="F749" s="2229"/>
      <c r="G749" s="2287"/>
      <c r="H749" s="2288"/>
      <c r="I749" s="2288"/>
      <c r="J749" s="2289"/>
      <c r="K749" s="2261"/>
      <c r="L749" s="2262"/>
      <c r="M749" s="2262"/>
      <c r="N749" s="2263"/>
      <c r="O749" s="2224"/>
      <c r="P749" s="2225"/>
      <c r="Q749" s="2225"/>
      <c r="R749" s="2225"/>
      <c r="S749" s="2226"/>
      <c r="T749" s="2025">
        <f t="shared" si="47"/>
        <v>0</v>
      </c>
      <c r="U749" s="2026"/>
      <c r="V749" s="2026"/>
      <c r="W749" s="2026"/>
      <c r="X749" s="2027"/>
      <c r="Y749" s="2224">
        <v>0</v>
      </c>
      <c r="Z749" s="2225"/>
      <c r="AA749" s="2225"/>
      <c r="AB749" s="2226"/>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27"/>
      <c r="C750" s="2228"/>
      <c r="D750" s="2228"/>
      <c r="E750" s="2228"/>
      <c r="F750" s="2229"/>
      <c r="G750" s="2287"/>
      <c r="H750" s="2288"/>
      <c r="I750" s="2288"/>
      <c r="J750" s="2289"/>
      <c r="K750" s="2261"/>
      <c r="L750" s="2262"/>
      <c r="M750" s="2262"/>
      <c r="N750" s="2263"/>
      <c r="O750" s="2224"/>
      <c r="P750" s="2225"/>
      <c r="Q750" s="2225"/>
      <c r="R750" s="2225"/>
      <c r="S750" s="2226"/>
      <c r="T750" s="2025">
        <f t="shared" si="47"/>
        <v>0</v>
      </c>
      <c r="U750" s="2026"/>
      <c r="V750" s="2026"/>
      <c r="W750" s="2026"/>
      <c r="X750" s="2027"/>
      <c r="Y750" s="2224">
        <v>0</v>
      </c>
      <c r="Z750" s="2225"/>
      <c r="AA750" s="2225"/>
      <c r="AB750" s="2226"/>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7"/>
      <c r="C751" s="2228"/>
      <c r="D751" s="2228"/>
      <c r="E751" s="2228"/>
      <c r="F751" s="2229"/>
      <c r="G751" s="2287"/>
      <c r="H751" s="2288"/>
      <c r="I751" s="2288"/>
      <c r="J751" s="2289"/>
      <c r="K751" s="2261"/>
      <c r="L751" s="2262"/>
      <c r="M751" s="2262"/>
      <c r="N751" s="2263"/>
      <c r="O751" s="2224"/>
      <c r="P751" s="2225"/>
      <c r="Q751" s="2225"/>
      <c r="R751" s="2225"/>
      <c r="S751" s="2226"/>
      <c r="T751" s="2025">
        <f t="shared" si="47"/>
        <v>0</v>
      </c>
      <c r="U751" s="2026"/>
      <c r="V751" s="2026"/>
      <c r="W751" s="2026"/>
      <c r="X751" s="2027"/>
      <c r="Y751" s="2224">
        <v>0</v>
      </c>
      <c r="Z751" s="2225"/>
      <c r="AA751" s="2225"/>
      <c r="AB751" s="2226"/>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27"/>
      <c r="C752" s="2228"/>
      <c r="D752" s="2228"/>
      <c r="E752" s="2228"/>
      <c r="F752" s="2229"/>
      <c r="G752" s="2287"/>
      <c r="H752" s="2288"/>
      <c r="I752" s="2288"/>
      <c r="J752" s="2289"/>
      <c r="K752" s="2261"/>
      <c r="L752" s="2262"/>
      <c r="M752" s="2262"/>
      <c r="N752" s="2263"/>
      <c r="O752" s="2224"/>
      <c r="P752" s="2225"/>
      <c r="Q752" s="2225"/>
      <c r="R752" s="2225"/>
      <c r="S752" s="2226"/>
      <c r="T752" s="2025">
        <f t="shared" si="47"/>
        <v>0</v>
      </c>
      <c r="U752" s="2026"/>
      <c r="V752" s="2026"/>
      <c r="W752" s="2026"/>
      <c r="X752" s="2027"/>
      <c r="Y752" s="2224">
        <v>0</v>
      </c>
      <c r="Z752" s="2225"/>
      <c r="AA752" s="2225"/>
      <c r="AB752" s="2226"/>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4" t="s">
        <v>130</v>
      </c>
      <c r="C753" s="2285"/>
      <c r="D753" s="2285"/>
      <c r="E753" s="2285"/>
      <c r="F753" s="2286"/>
      <c r="G753" s="2404">
        <f>SUM(G728:J752)</f>
        <v>80</v>
      </c>
      <c r="H753" s="2405"/>
      <c r="I753" s="2405"/>
      <c r="J753" s="2406"/>
      <c r="O753" s="1585" t="s">
        <v>129</v>
      </c>
      <c r="P753" s="1586"/>
      <c r="Q753" s="1586"/>
      <c r="R753" s="1586"/>
      <c r="S753" s="1587"/>
      <c r="T753" s="2025">
        <f>SUM(T728:X752)</f>
        <v>73358</v>
      </c>
      <c r="U753" s="2026"/>
      <c r="V753" s="2026"/>
      <c r="W753" s="2026"/>
      <c r="X753" s="2027"/>
      <c r="AC753" s="1589" t="s">
        <v>968</v>
      </c>
      <c r="AD753" s="1588"/>
      <c r="AE753" s="1588"/>
      <c r="AF753" s="1588"/>
      <c r="AG753" s="1590"/>
      <c r="AH753" s="2206">
        <f>BI696</f>
        <v>0.6</v>
      </c>
      <c r="AI753" s="2207"/>
      <c r="AJ753" s="2207"/>
      <c r="AK753" s="2207"/>
      <c r="AL753" s="2208"/>
      <c r="AM753" s="2206">
        <f>BI728</f>
        <v>0.60005927788507141</v>
      </c>
      <c r="AN753" s="2207"/>
      <c r="AO753" s="220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625</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64" t="s">
        <v>407</v>
      </c>
      <c r="K768" s="2265"/>
      <c r="L768" s="2265"/>
      <c r="M768" s="2265"/>
      <c r="N768" s="2266"/>
      <c r="O768" s="2355" t="s">
        <v>291</v>
      </c>
      <c r="P768" s="2355"/>
      <c r="Q768" s="2355"/>
      <c r="R768" s="2355"/>
      <c r="S768" s="2355"/>
      <c r="T768" s="2273" t="s">
        <v>2155</v>
      </c>
      <c r="U768" s="2274"/>
      <c r="V768" s="2274"/>
      <c r="W768" s="2275"/>
      <c r="X768" s="2264" t="s">
        <v>477</v>
      </c>
      <c r="Y768" s="2265"/>
      <c r="Z768" s="2265"/>
      <c r="AA768" s="2265"/>
      <c r="AB768" s="2266"/>
      <c r="AC768" s="2264" t="s">
        <v>292</v>
      </c>
      <c r="AD768" s="2265"/>
      <c r="AE768" s="2265"/>
      <c r="AF768" s="2265"/>
      <c r="AG768" s="226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7"/>
      <c r="K769" s="2268"/>
      <c r="L769" s="2268"/>
      <c r="M769" s="2268"/>
      <c r="N769" s="2269"/>
      <c r="O769" s="2355"/>
      <c r="P769" s="2355"/>
      <c r="Q769" s="2355"/>
      <c r="R769" s="2355"/>
      <c r="S769" s="2355"/>
      <c r="T769" s="2276"/>
      <c r="U769" s="2277"/>
      <c r="V769" s="2277"/>
      <c r="W769" s="2278"/>
      <c r="X769" s="2267"/>
      <c r="Y769" s="2268"/>
      <c r="Z769" s="2268"/>
      <c r="AA769" s="2268"/>
      <c r="AB769" s="2269"/>
      <c r="AC769" s="2267"/>
      <c r="AD769" s="2268"/>
      <c r="AE769" s="2268"/>
      <c r="AF769" s="2268"/>
      <c r="AG769" s="226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7"/>
      <c r="K770" s="2268"/>
      <c r="L770" s="2268"/>
      <c r="M770" s="2268"/>
      <c r="N770" s="2269"/>
      <c r="O770" s="2355"/>
      <c r="P770" s="2355"/>
      <c r="Q770" s="2355"/>
      <c r="R770" s="2355"/>
      <c r="S770" s="2355"/>
      <c r="T770" s="2276"/>
      <c r="U770" s="2277"/>
      <c r="V770" s="2277"/>
      <c r="W770" s="2278"/>
      <c r="X770" s="2267"/>
      <c r="Y770" s="2268"/>
      <c r="Z770" s="2268"/>
      <c r="AA770" s="2268"/>
      <c r="AB770" s="2269"/>
      <c r="AC770" s="2267"/>
      <c r="AD770" s="2268"/>
      <c r="AE770" s="2268"/>
      <c r="AF770" s="2268"/>
      <c r="AG770" s="226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70"/>
      <c r="K771" s="2271"/>
      <c r="L771" s="2271"/>
      <c r="M771" s="2271"/>
      <c r="N771" s="2272"/>
      <c r="O771" s="2355"/>
      <c r="P771" s="2355"/>
      <c r="Q771" s="2355"/>
      <c r="R771" s="2355"/>
      <c r="S771" s="2355"/>
      <c r="T771" s="2279"/>
      <c r="U771" s="2280"/>
      <c r="V771" s="2280"/>
      <c r="W771" s="2281"/>
      <c r="X771" s="2270"/>
      <c r="Y771" s="2271"/>
      <c r="Z771" s="2271"/>
      <c r="AA771" s="2271"/>
      <c r="AB771" s="2272"/>
      <c r="AC771" s="2270"/>
      <c r="AD771" s="2271"/>
      <c r="AE771" s="2271"/>
      <c r="AF771" s="2271"/>
      <c r="AG771" s="227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27" t="s">
        <v>168</v>
      </c>
      <c r="K772" s="2228"/>
      <c r="L772" s="2228"/>
      <c r="M772" s="2228"/>
      <c r="N772" s="2229"/>
      <c r="O772" s="2282">
        <v>1</v>
      </c>
      <c r="P772" s="2282"/>
      <c r="Q772" s="2282"/>
      <c r="R772" s="2282"/>
      <c r="S772" s="2282"/>
      <c r="T772" s="2261">
        <v>760</v>
      </c>
      <c r="U772" s="2262"/>
      <c r="V772" s="2262"/>
      <c r="W772" s="2263"/>
      <c r="X772" s="2224"/>
      <c r="Y772" s="2225"/>
      <c r="Z772" s="2225"/>
      <c r="AA772" s="2225"/>
      <c r="AB772" s="222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27"/>
      <c r="K773" s="2228"/>
      <c r="L773" s="2228"/>
      <c r="M773" s="2228"/>
      <c r="N773" s="2229"/>
      <c r="O773" s="2282"/>
      <c r="P773" s="2282"/>
      <c r="Q773" s="2282"/>
      <c r="R773" s="2282"/>
      <c r="S773" s="2282"/>
      <c r="T773" s="2261"/>
      <c r="U773" s="2262"/>
      <c r="V773" s="2262"/>
      <c r="W773" s="2263"/>
      <c r="X773" s="2224"/>
      <c r="Y773" s="2225"/>
      <c r="Z773" s="2225"/>
      <c r="AA773" s="2225"/>
      <c r="AB773" s="222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27"/>
      <c r="K774" s="2228"/>
      <c r="L774" s="2228"/>
      <c r="M774" s="2228"/>
      <c r="N774" s="2229"/>
      <c r="O774" s="2282"/>
      <c r="P774" s="2282"/>
      <c r="Q774" s="2282"/>
      <c r="R774" s="2282"/>
      <c r="S774" s="2282"/>
      <c r="T774" s="2261"/>
      <c r="U774" s="2262"/>
      <c r="V774" s="2262"/>
      <c r="W774" s="2263"/>
      <c r="X774" s="2224"/>
      <c r="Y774" s="2225"/>
      <c r="Z774" s="2225"/>
      <c r="AA774" s="2225"/>
      <c r="AB774" s="222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27"/>
      <c r="K775" s="2228"/>
      <c r="L775" s="2228"/>
      <c r="M775" s="2228"/>
      <c r="N775" s="2229"/>
      <c r="O775" s="2282"/>
      <c r="P775" s="2282"/>
      <c r="Q775" s="2282"/>
      <c r="R775" s="2282"/>
      <c r="S775" s="2282"/>
      <c r="T775" s="2261"/>
      <c r="U775" s="2262"/>
      <c r="V775" s="2262"/>
      <c r="W775" s="2263"/>
      <c r="X775" s="2224"/>
      <c r="Y775" s="2225"/>
      <c r="Z775" s="2225"/>
      <c r="AA775" s="2225"/>
      <c r="AB775" s="222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4" t="s">
        <v>130</v>
      </c>
      <c r="K776" s="2285"/>
      <c r="L776" s="2285"/>
      <c r="M776" s="2285"/>
      <c r="N776" s="2286"/>
      <c r="O776" s="2395">
        <f>SUM(O772:S775)</f>
        <v>1</v>
      </c>
      <c r="P776" s="2396"/>
      <c r="Q776" s="2396"/>
      <c r="R776" s="2396"/>
      <c r="S776" s="2397"/>
      <c r="X776" s="2339" t="s">
        <v>129</v>
      </c>
      <c r="Y776" s="2340"/>
      <c r="Z776" s="2340"/>
      <c r="AA776" s="2340"/>
      <c r="AB776" s="2341"/>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2" t="s">
        <v>705</v>
      </c>
      <c r="K778" s="234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64" t="s">
        <v>407</v>
      </c>
      <c r="K782" s="2265"/>
      <c r="L782" s="2265"/>
      <c r="M782" s="2265"/>
      <c r="N782" s="2266"/>
      <c r="O782" s="2355" t="s">
        <v>291</v>
      </c>
      <c r="P782" s="2355"/>
      <c r="Q782" s="2355"/>
      <c r="R782" s="2355"/>
      <c r="S782" s="2355"/>
      <c r="T782" s="2273" t="s">
        <v>2155</v>
      </c>
      <c r="U782" s="2274"/>
      <c r="V782" s="2274"/>
      <c r="W782" s="2275"/>
      <c r="X782" s="2264" t="s">
        <v>477</v>
      </c>
      <c r="Y782" s="2265"/>
      <c r="Z782" s="2265"/>
      <c r="AA782" s="2265"/>
      <c r="AB782" s="2266"/>
      <c r="AC782" s="2264" t="s">
        <v>292</v>
      </c>
      <c r="AD782" s="2265"/>
      <c r="AE782" s="2265"/>
      <c r="AF782" s="2265"/>
      <c r="AG782" s="2266"/>
      <c r="AH782" s="2408" t="s">
        <v>2395</v>
      </c>
      <c r="AI782" s="2265"/>
      <c r="AJ782" s="2265"/>
      <c r="AK782" s="2265"/>
      <c r="AL782" s="226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7"/>
      <c r="K783" s="2268"/>
      <c r="L783" s="2268"/>
      <c r="M783" s="2268"/>
      <c r="N783" s="2269"/>
      <c r="O783" s="2355"/>
      <c r="P783" s="2355"/>
      <c r="Q783" s="2355"/>
      <c r="R783" s="2355"/>
      <c r="S783" s="2355"/>
      <c r="T783" s="2276"/>
      <c r="U783" s="2277"/>
      <c r="V783" s="2277"/>
      <c r="W783" s="2278"/>
      <c r="X783" s="2267"/>
      <c r="Y783" s="2268"/>
      <c r="Z783" s="2268"/>
      <c r="AA783" s="2268"/>
      <c r="AB783" s="2269"/>
      <c r="AC783" s="2267"/>
      <c r="AD783" s="2268"/>
      <c r="AE783" s="2268"/>
      <c r="AF783" s="2268"/>
      <c r="AG783" s="2269"/>
      <c r="AH783" s="2267"/>
      <c r="AI783" s="2268"/>
      <c r="AJ783" s="2268"/>
      <c r="AK783" s="2268"/>
      <c r="AL783" s="22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7"/>
      <c r="K784" s="2268"/>
      <c r="L784" s="2268"/>
      <c r="M784" s="2268"/>
      <c r="N784" s="2269"/>
      <c r="O784" s="2355"/>
      <c r="P784" s="2355"/>
      <c r="Q784" s="2355"/>
      <c r="R784" s="2355"/>
      <c r="S784" s="2355"/>
      <c r="T784" s="2276"/>
      <c r="U784" s="2277"/>
      <c r="V784" s="2277"/>
      <c r="W784" s="2278"/>
      <c r="X784" s="2267"/>
      <c r="Y784" s="2268"/>
      <c r="Z784" s="2268"/>
      <c r="AA784" s="2268"/>
      <c r="AB784" s="2269"/>
      <c r="AC784" s="2267"/>
      <c r="AD784" s="2268"/>
      <c r="AE784" s="2268"/>
      <c r="AF784" s="2268"/>
      <c r="AG784" s="2269"/>
      <c r="AH784" s="2267"/>
      <c r="AI784" s="2268"/>
      <c r="AJ784" s="2268"/>
      <c r="AK784" s="2268"/>
      <c r="AL784" s="22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70"/>
      <c r="K785" s="2271"/>
      <c r="L785" s="2271"/>
      <c r="M785" s="2271"/>
      <c r="N785" s="2272"/>
      <c r="O785" s="2355"/>
      <c r="P785" s="2355"/>
      <c r="Q785" s="2355"/>
      <c r="R785" s="2355"/>
      <c r="S785" s="2355"/>
      <c r="T785" s="2279"/>
      <c r="U785" s="2280"/>
      <c r="V785" s="2280"/>
      <c r="W785" s="2281"/>
      <c r="X785" s="2270"/>
      <c r="Y785" s="2271"/>
      <c r="Z785" s="2271"/>
      <c r="AA785" s="2271"/>
      <c r="AB785" s="2272"/>
      <c r="AC785" s="2270"/>
      <c r="AD785" s="2271"/>
      <c r="AE785" s="2271"/>
      <c r="AF785" s="2271"/>
      <c r="AG785" s="2272"/>
      <c r="AH785" s="2270"/>
      <c r="AI785" s="2271"/>
      <c r="AJ785" s="2271"/>
      <c r="AK785" s="2271"/>
      <c r="AL785" s="227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27"/>
      <c r="K786" s="2228"/>
      <c r="L786" s="2228"/>
      <c r="M786" s="2228"/>
      <c r="N786" s="2229"/>
      <c r="O786" s="2282"/>
      <c r="P786" s="2282"/>
      <c r="Q786" s="2282"/>
      <c r="R786" s="2282"/>
      <c r="S786" s="2282"/>
      <c r="T786" s="2261"/>
      <c r="U786" s="2262"/>
      <c r="V786" s="2262"/>
      <c r="W786" s="2263"/>
      <c r="X786" s="2224"/>
      <c r="Y786" s="2225"/>
      <c r="Z786" s="2225"/>
      <c r="AA786" s="2225"/>
      <c r="AB786" s="222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27"/>
      <c r="K787" s="2228"/>
      <c r="L787" s="2228"/>
      <c r="M787" s="2228"/>
      <c r="N787" s="2229"/>
      <c r="O787" s="2282"/>
      <c r="P787" s="2282"/>
      <c r="Q787" s="2282"/>
      <c r="R787" s="2282"/>
      <c r="S787" s="2282"/>
      <c r="T787" s="2261"/>
      <c r="U787" s="2262"/>
      <c r="V787" s="2262"/>
      <c r="W787" s="2263"/>
      <c r="X787" s="2224"/>
      <c r="Y787" s="2225"/>
      <c r="Z787" s="2225"/>
      <c r="AA787" s="2225"/>
      <c r="AB787" s="222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27"/>
      <c r="K788" s="2228"/>
      <c r="L788" s="2228"/>
      <c r="M788" s="2228"/>
      <c r="N788" s="2229"/>
      <c r="O788" s="2282"/>
      <c r="P788" s="2282"/>
      <c r="Q788" s="2282"/>
      <c r="R788" s="2282"/>
      <c r="S788" s="2282"/>
      <c r="T788" s="2261"/>
      <c r="U788" s="2262"/>
      <c r="V788" s="2262"/>
      <c r="W788" s="2263"/>
      <c r="X788" s="2224"/>
      <c r="Y788" s="2225"/>
      <c r="Z788" s="2225"/>
      <c r="AA788" s="2225"/>
      <c r="AB788" s="222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27"/>
      <c r="K789" s="2228"/>
      <c r="L789" s="2228"/>
      <c r="M789" s="2228"/>
      <c r="N789" s="2229"/>
      <c r="O789" s="2282"/>
      <c r="P789" s="2282"/>
      <c r="Q789" s="2282"/>
      <c r="R789" s="2282"/>
      <c r="S789" s="2282"/>
      <c r="T789" s="2261"/>
      <c r="U789" s="2262"/>
      <c r="V789" s="2262"/>
      <c r="W789" s="2263"/>
      <c r="X789" s="2224"/>
      <c r="Y789" s="2225"/>
      <c r="Z789" s="2225"/>
      <c r="AA789" s="2225"/>
      <c r="AB789" s="222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27"/>
      <c r="K790" s="2228"/>
      <c r="L790" s="2228"/>
      <c r="M790" s="2228"/>
      <c r="N790" s="2229"/>
      <c r="O790" s="2282"/>
      <c r="P790" s="2282"/>
      <c r="Q790" s="2282"/>
      <c r="R790" s="2282"/>
      <c r="S790" s="2282"/>
      <c r="T790" s="2261"/>
      <c r="U790" s="2262"/>
      <c r="V790" s="2262"/>
      <c r="W790" s="2263"/>
      <c r="X790" s="2224"/>
      <c r="Y790" s="2225"/>
      <c r="Z790" s="2225"/>
      <c r="AA790" s="2225"/>
      <c r="AB790" s="222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27"/>
      <c r="K791" s="2228"/>
      <c r="L791" s="2228"/>
      <c r="M791" s="2228"/>
      <c r="N791" s="2229"/>
      <c r="O791" s="2282"/>
      <c r="P791" s="2282"/>
      <c r="Q791" s="2282"/>
      <c r="R791" s="2282"/>
      <c r="S791" s="2282"/>
      <c r="T791" s="2261"/>
      <c r="U791" s="2262"/>
      <c r="V791" s="2262"/>
      <c r="W791" s="2263"/>
      <c r="X791" s="2224"/>
      <c r="Y791" s="2225"/>
      <c r="Z791" s="2225"/>
      <c r="AA791" s="2225"/>
      <c r="AB791" s="222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27"/>
      <c r="K792" s="2228"/>
      <c r="L792" s="2228"/>
      <c r="M792" s="2228"/>
      <c r="N792" s="2229"/>
      <c r="O792" s="2282"/>
      <c r="P792" s="2282"/>
      <c r="Q792" s="2282"/>
      <c r="R792" s="2282"/>
      <c r="S792" s="2282"/>
      <c r="T792" s="2261"/>
      <c r="U792" s="2262"/>
      <c r="V792" s="2262"/>
      <c r="W792" s="2263"/>
      <c r="X792" s="2224"/>
      <c r="Y792" s="2225"/>
      <c r="Z792" s="2225"/>
      <c r="AA792" s="2225"/>
      <c r="AB792" s="222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27"/>
      <c r="K793" s="2228"/>
      <c r="L793" s="2228"/>
      <c r="M793" s="2228"/>
      <c r="N793" s="2229"/>
      <c r="O793" s="2282"/>
      <c r="P793" s="2282"/>
      <c r="Q793" s="2282"/>
      <c r="R793" s="2282"/>
      <c r="S793" s="2282"/>
      <c r="T793" s="2261"/>
      <c r="U793" s="2262"/>
      <c r="V793" s="2262"/>
      <c r="W793" s="2263"/>
      <c r="X793" s="2224"/>
      <c r="Y793" s="2225"/>
      <c r="Z793" s="2225"/>
      <c r="AA793" s="2225"/>
      <c r="AB793" s="222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27"/>
      <c r="K794" s="2228"/>
      <c r="L794" s="2228"/>
      <c r="M794" s="2228"/>
      <c r="N794" s="2229"/>
      <c r="O794" s="2282"/>
      <c r="P794" s="2282"/>
      <c r="Q794" s="2282"/>
      <c r="R794" s="2282"/>
      <c r="S794" s="2282"/>
      <c r="T794" s="2261"/>
      <c r="U794" s="2262"/>
      <c r="V794" s="2262"/>
      <c r="W794" s="2263"/>
      <c r="X794" s="2224"/>
      <c r="Y794" s="2225"/>
      <c r="Z794" s="2225"/>
      <c r="AA794" s="2225"/>
      <c r="AB794" s="222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27"/>
      <c r="K795" s="2228"/>
      <c r="L795" s="2228"/>
      <c r="M795" s="2228"/>
      <c r="N795" s="2229"/>
      <c r="O795" s="2282"/>
      <c r="P795" s="2282"/>
      <c r="Q795" s="2282"/>
      <c r="R795" s="2282"/>
      <c r="S795" s="2282"/>
      <c r="T795" s="2261"/>
      <c r="U795" s="2262"/>
      <c r="V795" s="2262"/>
      <c r="W795" s="2263"/>
      <c r="X795" s="2224"/>
      <c r="Y795" s="2225"/>
      <c r="Z795" s="2225"/>
      <c r="AA795" s="2225"/>
      <c r="AB795" s="222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4" t="s">
        <v>130</v>
      </c>
      <c r="K796" s="2285"/>
      <c r="L796" s="2285"/>
      <c r="M796" s="2285"/>
      <c r="N796" s="2286"/>
      <c r="O796" s="2394">
        <f>SUM(O786:S795)</f>
        <v>0</v>
      </c>
      <c r="P796" s="2394"/>
      <c r="Q796" s="2394"/>
      <c r="R796" s="2394"/>
      <c r="S796" s="2394"/>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6">
        <f>T753+AC776+AC796</f>
        <v>73358</v>
      </c>
      <c r="Z798" s="2356"/>
      <c r="AA798" s="2356"/>
      <c r="AB798" s="2356"/>
      <c r="AC798" s="23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6">
        <f>(T753+AC776+AC796)*12</f>
        <v>880296</v>
      </c>
      <c r="Z799" s="2356"/>
      <c r="AA799" s="2356"/>
      <c r="AB799" s="2356"/>
      <c r="AC799" s="2356"/>
      <c r="AZ799" s="58"/>
      <c r="BA799" s="51" t="s">
        <v>666</v>
      </c>
      <c r="BB799" s="51"/>
      <c r="BC799" s="51"/>
      <c r="BD799" s="51"/>
      <c r="BE799" s="51"/>
      <c r="BF799" s="51"/>
      <c r="BG799" s="51"/>
      <c r="BH799" s="51"/>
      <c r="BI799" s="51"/>
      <c r="BJ799" s="51"/>
      <c r="BK799" s="51"/>
      <c r="BL799" s="51"/>
      <c r="BM799" s="51"/>
      <c r="BN799" s="2353" t="s">
        <v>501</v>
      </c>
      <c r="BO799" s="2354"/>
      <c r="BP799" s="58"/>
      <c r="BQ799" s="58"/>
      <c r="BR799" s="58"/>
      <c r="BS799" s="51" t="s">
        <v>668</v>
      </c>
      <c r="BT799" s="51"/>
      <c r="BU799" s="51"/>
      <c r="BV799" s="51"/>
      <c r="BW799" s="51"/>
      <c r="BX799" s="51"/>
      <c r="BY799" s="51"/>
      <c r="BZ799" s="51"/>
      <c r="CA799" s="51"/>
      <c r="CB799" s="2350" t="str">
        <f>T189</f>
        <v>Mono</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8100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1275</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1275</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8" t="s">
        <v>2605</v>
      </c>
      <c r="Q814" s="2221"/>
      <c r="R814" s="2221"/>
      <c r="S814" s="2221"/>
      <c r="T814" s="2221"/>
      <c r="U814" s="2221"/>
      <c r="V814" s="2221"/>
      <c r="W814" s="2221"/>
      <c r="X814" s="2221"/>
      <c r="Y814" s="2222"/>
      <c r="Z814" s="2022">
        <v>1500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12150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1">
        <f>Z815+Y799+Z807</f>
        <v>892446</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0" t="s">
        <v>131</v>
      </c>
      <c r="N821" s="2400"/>
      <c r="O821" s="2400"/>
      <c r="P821" s="2401"/>
      <c r="Q821" s="2329" t="s">
        <v>298</v>
      </c>
      <c r="R821" s="2329"/>
      <c r="S821" s="2329"/>
      <c r="T821" s="2329"/>
      <c r="U821" s="2329" t="s">
        <v>299</v>
      </c>
      <c r="V821" s="2329"/>
      <c r="W821" s="2329"/>
      <c r="X821" s="2329"/>
      <c r="Y821" s="2329" t="s">
        <v>300</v>
      </c>
      <c r="Z821" s="2329"/>
      <c r="AA821" s="2329"/>
      <c r="AB821" s="2329"/>
      <c r="AC821" s="2329" t="s">
        <v>371</v>
      </c>
      <c r="AD821" s="2329"/>
      <c r="AE821" s="2329"/>
      <c r="AF821" s="2329"/>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2"/>
      <c r="N822" s="2402"/>
      <c r="O822" s="2402"/>
      <c r="P822" s="2403"/>
      <c r="Q822" s="2329"/>
      <c r="R822" s="2329"/>
      <c r="S822" s="2329"/>
      <c r="T822" s="2329"/>
      <c r="U822" s="2329"/>
      <c r="V822" s="2329"/>
      <c r="W822" s="2329"/>
      <c r="X822" s="2329"/>
      <c r="Y822" s="2329"/>
      <c r="Z822" s="2329"/>
      <c r="AA822" s="2329"/>
      <c r="AB822" s="2329"/>
      <c r="AC822" s="2329"/>
      <c r="AD822" s="2329"/>
      <c r="AE822" s="2329"/>
      <c r="AF822" s="2329"/>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52" t="s">
        <v>43</v>
      </c>
      <c r="D823" s="2253"/>
      <c r="E823" s="2253"/>
      <c r="F823" s="2253"/>
      <c r="G823" s="2253"/>
      <c r="H823" s="2253"/>
      <c r="I823" s="80"/>
      <c r="J823" s="80"/>
      <c r="K823" s="80"/>
      <c r="L823" s="81"/>
      <c r="M823" s="2283">
        <v>22</v>
      </c>
      <c r="N823" s="2283"/>
      <c r="O823" s="2283"/>
      <c r="P823" s="2283"/>
      <c r="Q823" s="2283">
        <v>26</v>
      </c>
      <c r="R823" s="2283"/>
      <c r="S823" s="2283"/>
      <c r="T823" s="2283"/>
      <c r="U823" s="2283">
        <v>36</v>
      </c>
      <c r="V823" s="2283"/>
      <c r="W823" s="2283"/>
      <c r="X823" s="2283"/>
      <c r="Y823" s="2283">
        <v>46</v>
      </c>
      <c r="Z823" s="2283"/>
      <c r="AA823" s="2283"/>
      <c r="AB823" s="2283"/>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54" t="s">
        <v>44</v>
      </c>
      <c r="D824" s="2255"/>
      <c r="E824" s="2255"/>
      <c r="F824" s="2255"/>
      <c r="G824" s="2255"/>
      <c r="H824" s="2255"/>
      <c r="I824" s="77"/>
      <c r="J824" s="77"/>
      <c r="K824" s="77"/>
      <c r="L824" s="78"/>
      <c r="M824" s="2283">
        <v>13</v>
      </c>
      <c r="N824" s="2283"/>
      <c r="O824" s="2283"/>
      <c r="P824" s="2283"/>
      <c r="Q824" s="2283">
        <v>16</v>
      </c>
      <c r="R824" s="2283"/>
      <c r="S824" s="2283"/>
      <c r="T824" s="2283"/>
      <c r="U824" s="2283">
        <v>20</v>
      </c>
      <c r="V824" s="2283"/>
      <c r="W824" s="2283"/>
      <c r="X824" s="2283"/>
      <c r="Y824" s="2283">
        <v>24</v>
      </c>
      <c r="Z824" s="2283"/>
      <c r="AA824" s="2283"/>
      <c r="AB824" s="2283"/>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54" t="s">
        <v>45</v>
      </c>
      <c r="D825" s="2255"/>
      <c r="E825" s="2255"/>
      <c r="F825" s="2255"/>
      <c r="G825" s="2255"/>
      <c r="H825" s="2255"/>
      <c r="I825" s="96"/>
      <c r="J825" s="96"/>
      <c r="K825" s="96"/>
      <c r="L825" s="97"/>
      <c r="M825" s="2283">
        <v>5</v>
      </c>
      <c r="N825" s="2283"/>
      <c r="O825" s="2283"/>
      <c r="P825" s="2283"/>
      <c r="Q825" s="2283">
        <v>6</v>
      </c>
      <c r="R825" s="2283"/>
      <c r="S825" s="2283"/>
      <c r="T825" s="2283"/>
      <c r="U825" s="2283">
        <v>9</v>
      </c>
      <c r="V825" s="2283"/>
      <c r="W825" s="2283"/>
      <c r="X825" s="2283"/>
      <c r="Y825" s="2283">
        <v>11</v>
      </c>
      <c r="Z825" s="2283"/>
      <c r="AA825" s="2283"/>
      <c r="AB825" s="2283"/>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54" t="s">
        <v>819</v>
      </c>
      <c r="D826" s="2255"/>
      <c r="E826" s="2255"/>
      <c r="F826" s="2255"/>
      <c r="G826" s="2255"/>
      <c r="H826" s="2255"/>
      <c r="I826" s="96"/>
      <c r="J826" s="96"/>
      <c r="K826" s="96"/>
      <c r="L826" s="97"/>
      <c r="M826" s="2283"/>
      <c r="N826" s="2283"/>
      <c r="O826" s="2283"/>
      <c r="P826" s="2283"/>
      <c r="Q826" s="2283"/>
      <c r="R826" s="2283"/>
      <c r="S826" s="2283"/>
      <c r="T826" s="2283"/>
      <c r="U826" s="2283"/>
      <c r="V826" s="2283"/>
      <c r="W826" s="2283"/>
      <c r="X826" s="2283"/>
      <c r="Y826" s="2283"/>
      <c r="Z826" s="2283"/>
      <c r="AA826" s="2283"/>
      <c r="AB826" s="2283"/>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54" t="s">
        <v>491</v>
      </c>
      <c r="D827" s="2255"/>
      <c r="E827" s="2255"/>
      <c r="F827" s="2255"/>
      <c r="G827" s="2255"/>
      <c r="H827" s="2255"/>
      <c r="I827" s="96"/>
      <c r="J827" s="96"/>
      <c r="K827" s="96"/>
      <c r="L827" s="97"/>
      <c r="M827" s="2283">
        <v>17</v>
      </c>
      <c r="N827" s="2283"/>
      <c r="O827" s="2283"/>
      <c r="P827" s="2283"/>
      <c r="Q827" s="2283">
        <v>20</v>
      </c>
      <c r="R827" s="2283"/>
      <c r="S827" s="2283"/>
      <c r="T827" s="2283"/>
      <c r="U827" s="2283">
        <v>29</v>
      </c>
      <c r="V827" s="2283"/>
      <c r="W827" s="2283"/>
      <c r="X827" s="2283"/>
      <c r="Y827" s="2283">
        <v>38</v>
      </c>
      <c r="Z827" s="2283"/>
      <c r="AA827" s="2283"/>
      <c r="AB827" s="2283"/>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298" t="s">
        <v>840</v>
      </c>
      <c r="D828" s="2255"/>
      <c r="E828" s="2255"/>
      <c r="F828" s="2255"/>
      <c r="G828" s="2255"/>
      <c r="H828" s="2255"/>
      <c r="I828" s="96"/>
      <c r="J828" s="96"/>
      <c r="K828" s="96"/>
      <c r="L828" s="97"/>
      <c r="M828" s="2283"/>
      <c r="N828" s="2283"/>
      <c r="O828" s="2283"/>
      <c r="P828" s="2283"/>
      <c r="Q828" s="2283"/>
      <c r="R828" s="2283"/>
      <c r="S828" s="2283"/>
      <c r="T828" s="2283"/>
      <c r="U828" s="2283"/>
      <c r="V828" s="2283"/>
      <c r="W828" s="2283"/>
      <c r="X828" s="2283"/>
      <c r="Y828" s="2283"/>
      <c r="Z828" s="2283"/>
      <c r="AA828" s="2283"/>
      <c r="AB828" s="2283"/>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55" t="s">
        <v>2681</v>
      </c>
      <c r="G829" s="2204"/>
      <c r="H829" s="2204"/>
      <c r="I829" s="2204"/>
      <c r="J829" s="2204"/>
      <c r="K829" s="2204"/>
      <c r="L829" s="2205"/>
      <c r="M829" s="2283">
        <f>2+7</f>
        <v>9</v>
      </c>
      <c r="N829" s="2283"/>
      <c r="O829" s="2283"/>
      <c r="P829" s="2283"/>
      <c r="Q829" s="2283">
        <f>3+7</f>
        <v>10</v>
      </c>
      <c r="R829" s="2283"/>
      <c r="S829" s="2283"/>
      <c r="T829" s="2283"/>
      <c r="U829" s="2283">
        <f>4+7</f>
        <v>11</v>
      </c>
      <c r="V829" s="2283"/>
      <c r="W829" s="2283"/>
      <c r="X829" s="2283"/>
      <c r="Y829" s="2283">
        <f>5+7</f>
        <v>12</v>
      </c>
      <c r="Z829" s="2283"/>
      <c r="AA829" s="2283"/>
      <c r="AB829" s="2283"/>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4" t="s">
        <v>129</v>
      </c>
      <c r="D830" s="2285"/>
      <c r="E830" s="2285"/>
      <c r="F830" s="2285"/>
      <c r="G830" s="2285"/>
      <c r="H830" s="2285"/>
      <c r="I830" s="2285"/>
      <c r="J830" s="2285"/>
      <c r="K830" s="2285"/>
      <c r="L830" s="2286"/>
      <c r="M830" s="2292">
        <f>SUM(M823:P829)</f>
        <v>66</v>
      </c>
      <c r="N830" s="2292"/>
      <c r="O830" s="2292"/>
      <c r="P830" s="2292"/>
      <c r="Q830" s="2292">
        <f>SUM(Q823:T829)</f>
        <v>78</v>
      </c>
      <c r="R830" s="2292"/>
      <c r="S830" s="2292"/>
      <c r="T830" s="2292"/>
      <c r="U830" s="2292">
        <f>SUM(U823:X829)</f>
        <v>105</v>
      </c>
      <c r="V830" s="2292"/>
      <c r="W830" s="2292"/>
      <c r="X830" s="2292"/>
      <c r="Y830" s="2292">
        <f>SUM(Y823:AB829)</f>
        <v>131</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2682</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1100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2000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8000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55" t="s">
        <v>2606</v>
      </c>
      <c r="N844" s="2204"/>
      <c r="O844" s="2204"/>
      <c r="P844" s="2204"/>
      <c r="Q844" s="2204"/>
      <c r="R844" s="2204"/>
      <c r="S844" s="2204"/>
      <c r="T844" s="2204"/>
      <c r="U844" s="2204"/>
      <c r="V844" s="2205"/>
      <c r="W844" s="2044">
        <v>15900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8">
        <f>ROUNDDOWN(BC932*2,2)</f>
        <v>0</v>
      </c>
      <c r="BJ844" s="2328"/>
      <c r="BK844" s="2328"/>
      <c r="BL844" s="232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1">
        <f>SUM(W840:AC844)</f>
        <v>27000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2022">
        <v>41800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1">
        <v>200</v>
      </c>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900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1">
        <v>16300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1">
        <v>65000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1">
        <f>SUM(W849:AC852)</f>
        <v>82400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2">
        <v>38880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86">
        <v>2</v>
      </c>
      <c r="U856" s="2054"/>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362">
        <v>13900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86">
        <v>1</v>
      </c>
      <c r="U858" s="2054"/>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55" t="s">
        <v>2607</v>
      </c>
      <c r="N859" s="2204"/>
      <c r="O859" s="2204"/>
      <c r="P859" s="2204"/>
      <c r="Q859" s="2204"/>
      <c r="R859" s="2204"/>
      <c r="S859" s="2204"/>
      <c r="T859" s="2204"/>
      <c r="U859" s="2204"/>
      <c r="V859" s="2205"/>
      <c r="W859" s="2362">
        <v>14100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8">
        <f>SUM(W855:AC859)</f>
        <v>66880</v>
      </c>
      <c r="X860" s="2259"/>
      <c r="Y860" s="2259"/>
      <c r="Z860" s="2259"/>
      <c r="AA860" s="2259"/>
      <c r="AB860" s="2259"/>
      <c r="AC860" s="226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2">
        <v>36450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651</v>
      </c>
      <c r="K863" s="77"/>
      <c r="L863" s="77"/>
      <c r="M863" s="77"/>
      <c r="N863" s="77"/>
      <c r="O863" s="77"/>
      <c r="P863" s="77"/>
      <c r="Q863" s="77"/>
      <c r="R863" s="77"/>
      <c r="S863" s="77"/>
      <c r="T863" s="77"/>
      <c r="U863" s="77"/>
      <c r="V863" s="78"/>
      <c r="W863" s="2044">
        <v>4050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044">
        <v>52750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044">
        <v>27900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044">
        <v>1300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044">
        <v>23200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044">
        <v>3500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55" t="s">
        <v>2608</v>
      </c>
      <c r="N869" s="2204"/>
      <c r="O869" s="2204"/>
      <c r="P869" s="2204"/>
      <c r="Q869" s="2204"/>
      <c r="R869" s="2204"/>
      <c r="S869" s="2204"/>
      <c r="T869" s="2204"/>
      <c r="U869" s="2204"/>
      <c r="V869" s="2205"/>
      <c r="W869" s="2044">
        <v>46400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56">
        <f>SUM(W863:AC869)</f>
        <v>159100</v>
      </c>
      <c r="X870" s="2356"/>
      <c r="Y870" s="2356"/>
      <c r="Z870" s="2356"/>
      <c r="AA870" s="2356"/>
      <c r="AB870" s="2356"/>
      <c r="AC870" s="23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175</v>
      </c>
      <c r="K872" s="77"/>
      <c r="L872" s="77"/>
      <c r="M872" s="2055" t="s">
        <v>2609</v>
      </c>
      <c r="N872" s="2204"/>
      <c r="O872" s="2204"/>
      <c r="P872" s="2204"/>
      <c r="Q872" s="2204"/>
      <c r="R872" s="2204"/>
      <c r="S872" s="2204"/>
      <c r="T872" s="2204"/>
      <c r="U872" s="2204"/>
      <c r="V872" s="2205"/>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175</v>
      </c>
      <c r="K873" s="77"/>
      <c r="L873" s="77"/>
      <c r="M873" s="2055" t="s">
        <v>2610</v>
      </c>
      <c r="N873" s="2204"/>
      <c r="O873" s="2204"/>
      <c r="P873" s="2204"/>
      <c r="Q873" s="2204"/>
      <c r="R873" s="2204"/>
      <c r="S873" s="2204"/>
      <c r="T873" s="2204"/>
      <c r="U873" s="2204"/>
      <c r="V873" s="2205"/>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23" t="s">
        <v>343</v>
      </c>
      <c r="N874" s="2204"/>
      <c r="O874" s="2204"/>
      <c r="P874" s="2204"/>
      <c r="Q874" s="2204"/>
      <c r="R874" s="2204"/>
      <c r="S874" s="2204"/>
      <c r="T874" s="2204"/>
      <c r="U874" s="2204"/>
      <c r="V874" s="2205"/>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23" t="s">
        <v>343</v>
      </c>
      <c r="N875" s="2204"/>
      <c r="O875" s="2204"/>
      <c r="P875" s="2204"/>
      <c r="Q875" s="2204"/>
      <c r="R875" s="2204"/>
      <c r="S875" s="2204"/>
      <c r="T875" s="2204"/>
      <c r="U875" s="2204"/>
      <c r="V875" s="2205"/>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23" t="s">
        <v>343</v>
      </c>
      <c r="N876" s="2204"/>
      <c r="O876" s="2204"/>
      <c r="P876" s="2204"/>
      <c r="Q876" s="2204"/>
      <c r="R876" s="2204"/>
      <c r="S876" s="2204"/>
      <c r="T876" s="2204"/>
      <c r="U876" s="2204"/>
      <c r="V876" s="2205"/>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91">
        <f>SUM(W872:AC876)</f>
        <v>1150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2">
        <f>W845+W853+W860+W861+W870+W877+W847</f>
        <v>414780</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4">
        <f>O796+O776+G753</f>
        <v>81</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6">
        <f>IF(ISERROR((ROUNDDOWN(AC881/AC882,0))),0,(ROUNDDOWN(AC881/AC882,0)))</f>
        <v>5120</v>
      </c>
      <c r="AD883" s="2356"/>
      <c r="AE883" s="2356"/>
      <c r="AF883" s="2356"/>
      <c r="AG883" s="2356"/>
      <c r="AH883" s="23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96">
        <v>196955</v>
      </c>
      <c r="AD884" s="2297"/>
      <c r="AE884" s="2297"/>
      <c r="AF884" s="2297"/>
      <c r="AG884" s="2297"/>
      <c r="AH884" s="22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4"/>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12000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20250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12100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6" t="s">
        <v>2620</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4">
        <v>5000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6" t="s">
        <v>1034</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0</v>
      </c>
      <c r="AA899" s="2192"/>
      <c r="AB899" s="2192"/>
      <c r="AC899" s="2192"/>
      <c r="AD899" s="2192"/>
      <c r="AE899" s="219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3"/>
      <c r="BE902" s="239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2"/>
      <c r="BE903" s="233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2"/>
      <c r="BE904" s="233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2"/>
      <c r="BE905" s="233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3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2"/>
      <c r="BE909" s="233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3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99" t="s">
        <v>849</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6"/>
      <c r="BB912" s="127"/>
      <c r="BC912" s="127"/>
      <c r="BD912" s="2389"/>
      <c r="BE912" s="233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93" t="s">
        <v>878</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194" t="s">
        <v>577</v>
      </c>
      <c r="V915" s="2195"/>
      <c r="W915" s="2195"/>
      <c r="X915" s="2195"/>
      <c r="Y915" s="2195"/>
      <c r="Z915" s="2196"/>
      <c r="AA915" s="2185">
        <v>26000000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194" t="s">
        <v>577</v>
      </c>
      <c r="V916" s="2195"/>
      <c r="W916" s="2195"/>
      <c r="X916" s="2195"/>
      <c r="Y916" s="2195"/>
      <c r="Z916" s="2196"/>
      <c r="AA916" s="2185">
        <v>9000000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194" t="s">
        <v>625</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194" t="s">
        <v>625</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194" t="s">
        <v>625</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194" t="s">
        <v>625</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194" t="s">
        <v>625</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194" t="s">
        <v>625</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194" t="s">
        <v>625</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194" t="s">
        <v>625</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194" t="s">
        <v>625</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194" t="s">
        <v>577</v>
      </c>
      <c r="V926" s="2195"/>
      <c r="W926" s="2195"/>
      <c r="X926" s="2195"/>
      <c r="Y926" s="2195"/>
      <c r="Z926" s="2196"/>
      <c r="AA926" s="2185">
        <v>1800000</v>
      </c>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194" t="s">
        <v>625</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194" t="s">
        <v>625</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194" t="s">
        <v>625</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194" t="s">
        <v>705</v>
      </c>
      <c r="Q930" s="2195"/>
      <c r="R930" s="2195"/>
      <c r="S930" s="2195"/>
      <c r="T930" s="2196"/>
      <c r="U930" s="2194" t="s">
        <v>625</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8" t="s">
        <v>2683</v>
      </c>
      <c r="J931" s="2219"/>
      <c r="K931" s="2219"/>
      <c r="L931" s="2219"/>
      <c r="M931" s="2219"/>
      <c r="N931" s="2219"/>
      <c r="O931" s="2219"/>
      <c r="P931" s="2219"/>
      <c r="Q931" s="2219"/>
      <c r="R931" s="2219"/>
      <c r="S931" s="2219"/>
      <c r="T931" s="2220"/>
      <c r="U931" s="2194" t="s">
        <v>577</v>
      </c>
      <c r="V931" s="2195"/>
      <c r="W931" s="2195"/>
      <c r="X931" s="2195"/>
      <c r="Y931" s="2195"/>
      <c r="Z931" s="2196"/>
      <c r="AA931" s="2185">
        <v>6750000</v>
      </c>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8" t="s">
        <v>2684</v>
      </c>
      <c r="J932" s="2221"/>
      <c r="K932" s="2221"/>
      <c r="L932" s="2221"/>
      <c r="M932" s="2221"/>
      <c r="N932" s="2221"/>
      <c r="O932" s="2221"/>
      <c r="P932" s="2221"/>
      <c r="Q932" s="2221"/>
      <c r="R932" s="2221"/>
      <c r="S932" s="2221"/>
      <c r="T932" s="2222"/>
      <c r="U932" s="2194" t="s">
        <v>577</v>
      </c>
      <c r="V932" s="2195"/>
      <c r="W932" s="2195"/>
      <c r="X932" s="2195"/>
      <c r="Y932" s="2195"/>
      <c r="Z932" s="2196"/>
      <c r="AA932" s="2185">
        <v>500000</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18" t="s">
        <v>2657</v>
      </c>
      <c r="J933" s="2221"/>
      <c r="K933" s="2221"/>
      <c r="L933" s="2221"/>
      <c r="M933" s="2221"/>
      <c r="N933" s="2221"/>
      <c r="O933" s="2221"/>
      <c r="P933" s="2221"/>
      <c r="Q933" s="2221"/>
      <c r="R933" s="2221"/>
      <c r="S933" s="2221"/>
      <c r="T933" s="2222"/>
      <c r="U933" s="2194" t="s">
        <v>705</v>
      </c>
      <c r="V933" s="2195"/>
      <c r="W933" s="2195"/>
      <c r="X933" s="2195"/>
      <c r="Y933" s="2195"/>
      <c r="Z933" s="2196"/>
      <c r="AA933" s="2185">
        <v>650000</v>
      </c>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18" t="s">
        <v>2663</v>
      </c>
      <c r="J934" s="2221"/>
      <c r="K934" s="2221"/>
      <c r="L934" s="2221"/>
      <c r="M934" s="2221"/>
      <c r="N934" s="2221"/>
      <c r="O934" s="2221"/>
      <c r="P934" s="2221"/>
      <c r="Q934" s="2221"/>
      <c r="R934" s="2221"/>
      <c r="S934" s="2221"/>
      <c r="T934" s="2222"/>
      <c r="U934" s="2194" t="s">
        <v>577</v>
      </c>
      <c r="V934" s="2195"/>
      <c r="W934" s="2195"/>
      <c r="X934" s="2195"/>
      <c r="Y934" s="2195"/>
      <c r="Z934" s="2196"/>
      <c r="AA934" s="2185">
        <v>293600</v>
      </c>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c r="N939" s="2189"/>
      <c r="O939" s="2189"/>
      <c r="P939" s="2189"/>
      <c r="Q939" s="2189"/>
      <c r="R939" s="2189"/>
      <c r="S939" s="2190"/>
      <c r="U939" s="103" t="s">
        <v>11</v>
      </c>
      <c r="V939" s="77"/>
      <c r="W939" s="77"/>
      <c r="X939" s="77"/>
      <c r="Y939" s="77"/>
      <c r="Z939" s="77"/>
      <c r="AA939" s="77"/>
      <c r="AB939" s="77"/>
      <c r="AC939" s="77"/>
      <c r="AD939" s="78"/>
      <c r="AE939" s="2359"/>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293"/>
      <c r="N940" s="2294"/>
      <c r="O940" s="2294"/>
      <c r="P940" s="2294"/>
      <c r="Q940" s="2294"/>
      <c r="R940" s="2294"/>
      <c r="S940" s="2295"/>
      <c r="U940" s="103" t="s">
        <v>12</v>
      </c>
      <c r="V940" s="77"/>
      <c r="W940" s="77"/>
      <c r="X940" s="77"/>
      <c r="Y940" s="77"/>
      <c r="Z940" s="77"/>
      <c r="AA940" s="77"/>
      <c r="AB940" s="77"/>
      <c r="AC940" s="77"/>
      <c r="AD940" s="78"/>
      <c r="AE940" s="2293"/>
      <c r="AF940" s="2294"/>
      <c r="AG940" s="2294"/>
      <c r="AH940" s="2294"/>
      <c r="AI940" s="2294"/>
      <c r="AJ940" s="2294"/>
      <c r="AK940" s="229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68" t="s">
        <v>316</v>
      </c>
      <c r="K941" s="2369"/>
      <c r="L941" s="2369"/>
      <c r="M941" s="2369"/>
      <c r="N941" s="2369"/>
      <c r="O941" s="2369"/>
      <c r="P941" s="2369"/>
      <c r="Q941" s="2369"/>
      <c r="R941" s="2369"/>
      <c r="S941" s="2370"/>
      <c r="U941" s="103" t="s">
        <v>944</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9"/>
      <c r="N942" s="2210"/>
      <c r="O942" s="2210"/>
      <c r="P942" s="2210"/>
      <c r="Q942" s="2210"/>
      <c r="R942" s="2210"/>
      <c r="S942" s="2211"/>
      <c r="U942" s="103" t="s">
        <v>13</v>
      </c>
      <c r="V942" s="77"/>
      <c r="W942" s="77"/>
      <c r="X942" s="77"/>
      <c r="Y942" s="77"/>
      <c r="Z942" s="77"/>
      <c r="AA942" s="77"/>
      <c r="AB942" s="77"/>
      <c r="AC942" s="77"/>
      <c r="AD942" s="78"/>
      <c r="AE942" s="2388"/>
      <c r="AF942" s="2210"/>
      <c r="AG942" s="2210"/>
      <c r="AH942" s="2210"/>
      <c r="AI942" s="2210"/>
      <c r="AJ942" s="2210"/>
      <c r="AK942" s="221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085"/>
      <c r="N946" s="2086"/>
      <c r="O946" s="2086"/>
      <c r="P946" s="2086"/>
      <c r="Q946" s="2086"/>
      <c r="R946" s="2086"/>
      <c r="S946" s="2087"/>
      <c r="U946" s="103" t="s">
        <v>604</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201"/>
      <c r="N951" s="2202"/>
      <c r="O951" s="2202"/>
      <c r="P951" s="2202"/>
      <c r="Q951" s="2202"/>
      <c r="R951" s="2202"/>
      <c r="S951" s="2203"/>
      <c r="T951" s="103" t="s">
        <v>847</v>
      </c>
      <c r="U951" s="77"/>
      <c r="V951" s="77"/>
      <c r="W951" s="77"/>
      <c r="X951" s="77"/>
      <c r="Y951" s="77"/>
      <c r="Z951" s="78"/>
      <c r="AA951" s="2201"/>
      <c r="AB951" s="2202"/>
      <c r="AC951" s="2202"/>
      <c r="AD951" s="2202"/>
      <c r="AE951" s="2202"/>
      <c r="AF951" s="2202"/>
      <c r="AG951" s="22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201"/>
      <c r="N952" s="2202"/>
      <c r="O952" s="2202"/>
      <c r="P952" s="2202"/>
      <c r="Q952" s="2202"/>
      <c r="R952" s="2202"/>
      <c r="S952" s="2203"/>
      <c r="T952" s="103" t="s">
        <v>846</v>
      </c>
      <c r="U952" s="77"/>
      <c r="V952" s="77"/>
      <c r="W952" s="77"/>
      <c r="X952" s="77"/>
      <c r="Y952" s="77"/>
      <c r="Z952" s="78"/>
      <c r="AA952" s="2201"/>
      <c r="AB952" s="2202"/>
      <c r="AC952" s="2202"/>
      <c r="AD952" s="2202"/>
      <c r="AE952" s="2202"/>
      <c r="AF952" s="2202"/>
      <c r="AG952" s="22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73" t="s">
        <v>625</v>
      </c>
      <c r="N953" s="2374"/>
      <c r="O953" s="2374"/>
      <c r="P953" s="2374"/>
      <c r="Q953" s="2374"/>
      <c r="R953" s="2374"/>
      <c r="S953" s="2375"/>
      <c r="T953" s="76" t="s">
        <v>346</v>
      </c>
      <c r="U953" s="77"/>
      <c r="V953" s="77"/>
      <c r="W953" s="77"/>
      <c r="X953" s="77"/>
      <c r="Y953" s="77"/>
      <c r="Z953" s="78"/>
      <c r="AA953" s="2201"/>
      <c r="AB953" s="2202"/>
      <c r="AC953" s="2202"/>
      <c r="AD953" s="2202"/>
      <c r="AE953" s="2202"/>
      <c r="AF953" s="2202"/>
      <c r="AG953" s="22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201"/>
      <c r="N954" s="2202"/>
      <c r="O954" s="2202"/>
      <c r="P954" s="2202"/>
      <c r="Q954" s="2202"/>
      <c r="R954" s="2202"/>
      <c r="S954" s="2203"/>
      <c r="T954" s="76" t="s">
        <v>347</v>
      </c>
      <c r="U954" s="77"/>
      <c r="V954" s="77"/>
      <c r="W954" s="77"/>
      <c r="X954" s="77"/>
      <c r="Y954" s="77"/>
      <c r="Z954" s="78"/>
      <c r="AA954" s="2201"/>
      <c r="AB954" s="2202"/>
      <c r="AC954" s="2202"/>
      <c r="AD954" s="2202"/>
      <c r="AE954" s="2202"/>
      <c r="AF954" s="2202"/>
      <c r="AG954" s="22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201"/>
      <c r="N955" s="2202"/>
      <c r="O955" s="2202"/>
      <c r="P955" s="2202"/>
      <c r="Q955" s="2202"/>
      <c r="R955" s="2202"/>
      <c r="S955" s="2203"/>
      <c r="T955" s="76" t="s">
        <v>394</v>
      </c>
      <c r="U955" s="77"/>
      <c r="V955" s="77"/>
      <c r="W955" s="77"/>
      <c r="X955" s="77"/>
      <c r="Y955" s="77"/>
      <c r="Z955" s="78"/>
      <c r="AA955" s="2201"/>
      <c r="AB955" s="2202"/>
      <c r="AC955" s="2202"/>
      <c r="AD955" s="2202"/>
      <c r="AE955" s="2202"/>
      <c r="AF955" s="2202"/>
      <c r="AG955" s="22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76" t="s">
        <v>316</v>
      </c>
      <c r="N956" s="2377"/>
      <c r="O956" s="2377"/>
      <c r="P956" s="2377"/>
      <c r="Q956" s="2377"/>
      <c r="R956" s="2377"/>
      <c r="S956" s="2378"/>
      <c r="T956" s="2215"/>
      <c r="U956" s="2216"/>
      <c r="V956" s="2216"/>
      <c r="W956" s="2216"/>
      <c r="X956" s="2216"/>
      <c r="Y956" s="2216"/>
      <c r="Z956" s="2217"/>
      <c r="AA956" s="2201"/>
      <c r="AB956" s="2202"/>
      <c r="AC956" s="2202"/>
      <c r="AD956" s="2202"/>
      <c r="AE956" s="2202"/>
      <c r="AF956" s="2202"/>
      <c r="AG956" s="22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201"/>
      <c r="N957" s="2202"/>
      <c r="O957" s="2202"/>
      <c r="P957" s="2202"/>
      <c r="Q957" s="2202"/>
      <c r="R957" s="2202"/>
      <c r="S957" s="2203"/>
      <c r="T957" s="2215"/>
      <c r="U957" s="2216"/>
      <c r="V957" s="2216"/>
      <c r="W957" s="2216"/>
      <c r="X957" s="2216"/>
      <c r="Y957" s="2216"/>
      <c r="Z957" s="2217"/>
      <c r="AA957" s="2201"/>
      <c r="AB957" s="2202"/>
      <c r="AC957" s="2202"/>
      <c r="AD957" s="2202"/>
      <c r="AE957" s="2202"/>
      <c r="AF957" s="2202"/>
      <c r="AG957" s="22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0" t="s">
        <v>705</v>
      </c>
      <c r="P958" s="2361"/>
      <c r="Q958" s="139"/>
      <c r="R958" s="139"/>
      <c r="S958" s="140"/>
      <c r="T958" s="71" t="s">
        <v>175</v>
      </c>
      <c r="U958" s="72"/>
      <c r="V958" s="72"/>
      <c r="W958" s="2223" t="s">
        <v>343</v>
      </c>
      <c r="X958" s="2204"/>
      <c r="Y958" s="2204"/>
      <c r="Z958" s="2204"/>
      <c r="AA958" s="2204"/>
      <c r="AB958" s="2204"/>
      <c r="AC958" s="2204"/>
      <c r="AD958" s="2204"/>
      <c r="AE958" s="2204"/>
      <c r="AF958" s="2204"/>
      <c r="AG958" s="22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52" t="s">
        <v>34</v>
      </c>
      <c r="G959" s="2253"/>
      <c r="H959" s="2253"/>
      <c r="I959" s="2253"/>
      <c r="J959" s="2253"/>
      <c r="K959" s="2253"/>
      <c r="L959" s="2253"/>
      <c r="M959" s="2201"/>
      <c r="N959" s="2202"/>
      <c r="O959" s="2202"/>
      <c r="P959" s="2202"/>
      <c r="Q959" s="2202"/>
      <c r="R959" s="2202"/>
      <c r="S959" s="2203"/>
      <c r="T959" s="79"/>
      <c r="U959" s="80"/>
      <c r="V959" s="80"/>
      <c r="W959" s="80"/>
      <c r="X959" s="80"/>
      <c r="Y959" s="80"/>
      <c r="Z959" s="188" t="s">
        <v>139</v>
      </c>
      <c r="AA959" s="2212"/>
      <c r="AB959" s="2213"/>
      <c r="AC959" s="2213"/>
      <c r="AD959" s="2213"/>
      <c r="AE959" s="2213"/>
      <c r="AF959" s="2213"/>
      <c r="AG959" s="221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8" t="s">
        <v>580</v>
      </c>
      <c r="B963" s="2338"/>
      <c r="C963" s="2338"/>
      <c r="D963" s="2338"/>
      <c r="E963" s="2338"/>
      <c r="F963" s="2338"/>
      <c r="G963" s="2338"/>
      <c r="H963" s="2338"/>
      <c r="I963" s="2338"/>
      <c r="J963" s="2338"/>
      <c r="K963" s="2338"/>
      <c r="L963" s="2338"/>
      <c r="M963" s="2338"/>
      <c r="N963" s="2338"/>
      <c r="O963" s="2338"/>
      <c r="P963" s="2338"/>
      <c r="Q963" s="2338"/>
      <c r="R963" s="2338"/>
      <c r="S963" s="2338"/>
      <c r="T963" s="2338"/>
      <c r="U963" s="2338"/>
      <c r="V963" s="2338"/>
      <c r="W963" s="2338"/>
      <c r="X963" s="2338"/>
      <c r="Y963" s="2338"/>
      <c r="Z963" s="2338"/>
      <c r="AA963" s="2338"/>
      <c r="AB963" s="2338"/>
      <c r="AC963" s="2338"/>
      <c r="AD963" s="2338"/>
      <c r="AE963" s="2338"/>
      <c r="AF963" s="2338"/>
      <c r="AG963" s="2338"/>
      <c r="AH963" s="2338"/>
      <c r="AI963" s="2338"/>
      <c r="AJ963" s="2338"/>
      <c r="AK963" s="2338"/>
      <c r="AL963" s="2338"/>
      <c r="AM963" s="2338"/>
      <c r="AN963" s="2338"/>
      <c r="AO963" s="2338"/>
      <c r="AP963" s="2338"/>
      <c r="AQ963" s="2338"/>
      <c r="AR963" s="2338"/>
      <c r="AS963" s="233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8"/>
      <c r="B964" s="2338"/>
      <c r="C964" s="2338"/>
      <c r="D964" s="2338"/>
      <c r="E964" s="2338"/>
      <c r="F964" s="2338"/>
      <c r="G964" s="2338"/>
      <c r="H964" s="2338"/>
      <c r="I964" s="2338"/>
      <c r="J964" s="2338"/>
      <c r="K964" s="2338"/>
      <c r="L964" s="2338"/>
      <c r="M964" s="2338"/>
      <c r="N964" s="2338"/>
      <c r="O964" s="2338"/>
      <c r="P964" s="2338"/>
      <c r="Q964" s="2338"/>
      <c r="R964" s="2338"/>
      <c r="S964" s="2338"/>
      <c r="T964" s="2338"/>
      <c r="U964" s="2338"/>
      <c r="V964" s="2338"/>
      <c r="W964" s="2338"/>
      <c r="X964" s="2338"/>
      <c r="Y964" s="2338"/>
      <c r="Z964" s="2338"/>
      <c r="AA964" s="2338"/>
      <c r="AB964" s="2338"/>
      <c r="AC964" s="2338"/>
      <c r="AD964" s="2338"/>
      <c r="AE964" s="2338"/>
      <c r="AF964" s="2338"/>
      <c r="AG964" s="2338"/>
      <c r="AH964" s="2338"/>
      <c r="AI964" s="2338"/>
      <c r="AJ964" s="2338"/>
      <c r="AK964" s="2338"/>
      <c r="AL964" s="2338"/>
      <c r="AM964" s="2338"/>
      <c r="AN964" s="2338"/>
      <c r="AO964" s="2338"/>
      <c r="AP964" s="2338"/>
      <c r="AQ964" s="2338"/>
      <c r="AR964" s="2338"/>
      <c r="AS964" s="233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34" t="s">
        <v>672</v>
      </c>
      <c r="E968" s="2135"/>
      <c r="F968" s="2135"/>
      <c r="G968" s="2135"/>
      <c r="H968" s="2135"/>
      <c r="I968" s="2135"/>
      <c r="J968" s="2135"/>
      <c r="K968" s="2135"/>
      <c r="L968" s="2135"/>
      <c r="M968" s="2135"/>
      <c r="N968" s="2135"/>
      <c r="O968" s="2135"/>
      <c r="P968" s="2135"/>
      <c r="Q968" s="2136"/>
      <c r="R968" s="2134" t="s">
        <v>673</v>
      </c>
      <c r="S968" s="2135"/>
      <c r="T968" s="2135"/>
      <c r="U968" s="2135"/>
      <c r="V968" s="2135"/>
      <c r="W968" s="2135"/>
      <c r="X968" s="2135"/>
      <c r="Y968" s="2135"/>
      <c r="Z968" s="2135"/>
      <c r="AA968" s="2136"/>
      <c r="AB968" s="2134" t="s">
        <v>674</v>
      </c>
      <c r="AC968" s="2135"/>
      <c r="AD968" s="2135"/>
      <c r="AE968" s="2135"/>
      <c r="AF968" s="2135"/>
      <c r="AG968" s="2135"/>
      <c r="AH968" s="2135"/>
      <c r="AI968" s="2136"/>
      <c r="AJ968" s="2134" t="s">
        <v>675</v>
      </c>
      <c r="AK968" s="2135"/>
      <c r="AL968" s="2135"/>
      <c r="AM968" s="2135"/>
      <c r="AN968" s="2135"/>
      <c r="AO968" s="2135"/>
      <c r="AP968" s="2135"/>
      <c r="AQ968" s="213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98" t="s">
        <v>667</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262291</v>
      </c>
      <c r="S969" s="2197"/>
      <c r="T969" s="2197"/>
      <c r="U969" s="2197"/>
      <c r="V969" s="2197"/>
      <c r="W969" s="2197"/>
      <c r="X969" s="2197"/>
      <c r="Y969" s="2197"/>
      <c r="Z969" s="2197"/>
      <c r="AA969" s="2197"/>
      <c r="AB969" s="2082">
        <f>BN663</f>
        <v>21</v>
      </c>
      <c r="AC969" s="2083"/>
      <c r="AD969" s="2083"/>
      <c r="AE969" s="2083"/>
      <c r="AF969" s="2083"/>
      <c r="AG969" s="2083"/>
      <c r="AH969" s="2083"/>
      <c r="AI969" s="2084"/>
      <c r="AJ969" s="2179">
        <f>IF(ISERROR((R969*AB969)),0,(R969*AB969))</f>
        <v>5508111</v>
      </c>
      <c r="AK969" s="2180"/>
      <c r="AL969" s="2180"/>
      <c r="AM969" s="2180"/>
      <c r="AN969" s="2180"/>
      <c r="AO969" s="2180"/>
      <c r="AP969" s="2180"/>
      <c r="AQ969" s="21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302419</v>
      </c>
      <c r="S970" s="2197"/>
      <c r="T970" s="2197"/>
      <c r="U970" s="2197"/>
      <c r="V970" s="2197"/>
      <c r="W970" s="2197"/>
      <c r="X970" s="2197"/>
      <c r="Y970" s="2197"/>
      <c r="Z970" s="2197"/>
      <c r="AA970" s="2197"/>
      <c r="AB970" s="2082">
        <f>BS663</f>
        <v>18</v>
      </c>
      <c r="AC970" s="2083"/>
      <c r="AD970" s="2083"/>
      <c r="AE970" s="2083"/>
      <c r="AF970" s="2083"/>
      <c r="AG970" s="2083"/>
      <c r="AH970" s="2083"/>
      <c r="AI970" s="2084"/>
      <c r="AJ970" s="2179">
        <f>IF(ISERROR((R970*AB970)),0,(R970*AB970))</f>
        <v>5443542</v>
      </c>
      <c r="AK970" s="2180"/>
      <c r="AL970" s="2180"/>
      <c r="AM970" s="2180"/>
      <c r="AN970" s="2180"/>
      <c r="AO970" s="2180"/>
      <c r="AP970" s="2180"/>
      <c r="AQ970" s="21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364800</v>
      </c>
      <c r="S971" s="2197"/>
      <c r="T971" s="2197"/>
      <c r="U971" s="2197"/>
      <c r="V971" s="2197"/>
      <c r="W971" s="2197"/>
      <c r="X971" s="2197"/>
      <c r="Y971" s="2197"/>
      <c r="Z971" s="2197"/>
      <c r="AA971" s="2197"/>
      <c r="AB971" s="2082">
        <f>BX663</f>
        <v>21</v>
      </c>
      <c r="AC971" s="2083"/>
      <c r="AD971" s="2083"/>
      <c r="AE971" s="2083"/>
      <c r="AF971" s="2083"/>
      <c r="AG971" s="2083"/>
      <c r="AH971" s="2083"/>
      <c r="AI971" s="2084"/>
      <c r="AJ971" s="2179">
        <f>IF(ISERROR((R971*AB971)),0,(R971*AB971))</f>
        <v>7660800</v>
      </c>
      <c r="AK971" s="2180"/>
      <c r="AL971" s="2180"/>
      <c r="AM971" s="2180"/>
      <c r="AN971" s="2180"/>
      <c r="AO971" s="2180"/>
      <c r="AP971" s="2180"/>
      <c r="AQ971" s="21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466944</v>
      </c>
      <c r="S972" s="2197"/>
      <c r="T972" s="2197"/>
      <c r="U972" s="2197"/>
      <c r="V972" s="2197"/>
      <c r="W972" s="2197"/>
      <c r="X972" s="2197"/>
      <c r="Y972" s="2197"/>
      <c r="Z972" s="2197"/>
      <c r="AA972" s="2197"/>
      <c r="AB972" s="2082">
        <f>CC663</f>
        <v>21</v>
      </c>
      <c r="AC972" s="2083"/>
      <c r="AD972" s="2083"/>
      <c r="AE972" s="2083"/>
      <c r="AF972" s="2083"/>
      <c r="AG972" s="2083"/>
      <c r="AH972" s="2083"/>
      <c r="AI972" s="2084"/>
      <c r="AJ972" s="2179">
        <f>IF(ISERROR((R972*AB972)),0,(R972*AB972))</f>
        <v>9805824</v>
      </c>
      <c r="AK972" s="2180"/>
      <c r="AL972" s="2180"/>
      <c r="AM972" s="2180"/>
      <c r="AN972" s="2180"/>
      <c r="AO972" s="2180"/>
      <c r="AP972" s="2180"/>
      <c r="AQ972" s="21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98" t="s">
        <v>492</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520205</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37" t="s">
        <v>848</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81</v>
      </c>
      <c r="AC974" s="2083"/>
      <c r="AD974" s="2083"/>
      <c r="AE974" s="2083"/>
      <c r="AF974" s="2083"/>
      <c r="AG974" s="2083"/>
      <c r="AH974" s="2083"/>
      <c r="AI974" s="2084"/>
      <c r="AJ974" s="2179"/>
      <c r="AK974" s="2180"/>
      <c r="AL974" s="2180"/>
      <c r="AM974" s="2180"/>
      <c r="AN974" s="2180"/>
      <c r="AO974" s="2180"/>
      <c r="AP974" s="2180"/>
      <c r="AQ974" s="21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6" t="s">
        <v>544</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28418277</v>
      </c>
      <c r="AK975" s="2180"/>
      <c r="AL975" s="2180"/>
      <c r="AM975" s="2180"/>
      <c r="AN975" s="2180"/>
      <c r="AO975" s="2180"/>
      <c r="AP975" s="2180"/>
      <c r="AQ975" s="21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702</v>
      </c>
      <c r="AG976" s="2073"/>
      <c r="AH976" s="2073"/>
      <c r="AI976" s="2074"/>
      <c r="AJ976" s="2182"/>
      <c r="AK976" s="2183"/>
      <c r="AL976" s="2183"/>
      <c r="AM976" s="2183"/>
      <c r="AN976" s="2183"/>
      <c r="AO976" s="2183"/>
      <c r="AP976" s="2183"/>
      <c r="AQ976" s="21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079" t="s">
        <v>1429</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577</v>
      </c>
      <c r="AH977" s="2076"/>
      <c r="AI977" s="125"/>
      <c r="AJ977" s="2116">
        <f>ROUND(IF(AND(AG977="yes",D979&gt;0),AJ975*0.2,0),0)</f>
        <v>5683655</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40" t="s">
        <v>1430</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3" t="s">
        <v>2685</v>
      </c>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07" t="s">
        <v>1529</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705</v>
      </c>
      <c r="AH980" s="2078"/>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1527</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107" t="s">
        <v>2170</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577</v>
      </c>
      <c r="AH986" s="2078"/>
      <c r="AI986" s="125"/>
      <c r="AJ986" s="2116">
        <f>ROUND(IF(AG986="yes",AJ975*0.1,0),0)</f>
        <v>2841828</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70" t="s">
        <v>1528</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07" t="s">
        <v>1530</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705</v>
      </c>
      <c r="AH990" s="2078"/>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49" t="s">
        <v>1531</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07" t="s">
        <v>1532</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705</v>
      </c>
      <c r="AH992" s="2078"/>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70" t="s">
        <v>1533</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8" customHeight="1">
      <c r="A995" s="51"/>
      <c r="B995" s="117"/>
      <c r="C995" s="118" t="s">
        <v>224</v>
      </c>
      <c r="D995" s="2079" t="s">
        <v>1534</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705</v>
      </c>
      <c r="AH995" s="2078"/>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70" t="s">
        <v>1535</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8"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0">
        <f>IF(A1044="Yes",0.05,0)</f>
        <v>0</v>
      </c>
    </row>
    <row r="998" spans="1:96" ht="15.0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64" t="s">
        <v>1536</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705</v>
      </c>
      <c r="AH999" s="2078"/>
      <c r="AI999" s="125"/>
      <c r="AJ999" s="2125"/>
      <c r="AK999" s="2126"/>
      <c r="AL999" s="2126"/>
      <c r="AM999" s="2126"/>
      <c r="AN999" s="2126"/>
      <c r="AO999" s="2126"/>
      <c r="AP999" s="2126"/>
      <c r="AQ999" s="2127"/>
      <c r="AR999" s="1583"/>
      <c r="AS999" s="1583"/>
      <c r="AT999" s="1583"/>
      <c r="AU999" s="1583"/>
      <c r="AV999" s="1583"/>
      <c r="AW999" s="1583"/>
      <c r="AX999" s="1583"/>
      <c r="AY999" s="1583"/>
      <c r="BA999" s="320">
        <f>IF(A1056="Yes",0.04,0)</f>
        <v>0</v>
      </c>
      <c r="CR999" s="25"/>
    </row>
    <row r="1000" spans="1:96" ht="12.9">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3"/>
      <c r="AS1000" s="1583"/>
      <c r="AT1000" s="1583"/>
      <c r="AU1000" s="1583"/>
      <c r="AV1000" s="1583"/>
      <c r="AW1000" s="1583"/>
      <c r="AX1000" s="1583"/>
      <c r="AY1000" s="1583"/>
      <c r="BA1000" s="320">
        <f>IF(A1063="Yes",0.04,0)</f>
        <v>0</v>
      </c>
    </row>
    <row r="1001" spans="1:96" ht="12.8" customHeight="1">
      <c r="A1001" s="51"/>
      <c r="B1001" s="119"/>
      <c r="C1001" s="122"/>
      <c r="D1001" s="2170" t="s">
        <v>1537</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3"/>
      <c r="AS1001" s="1583"/>
      <c r="AT1001" s="1583"/>
      <c r="AU1001" s="1583"/>
      <c r="AV1001" s="1583"/>
      <c r="AW1001" s="1583"/>
      <c r="AX1001" s="1583"/>
      <c r="AY1001" s="1583"/>
      <c r="BA1001" s="320">
        <f>IF(A1066="Yes",0.01,0)</f>
        <v>0</v>
      </c>
    </row>
    <row r="1002" spans="1:96" ht="12.8"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73" t="s">
        <v>625</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07" t="s">
        <v>1538</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577</v>
      </c>
      <c r="AH1004" s="2078"/>
      <c r="AI1004" s="125"/>
      <c r="AJ1004" s="2125">
        <v>1182086</v>
      </c>
      <c r="AK1004" s="2126"/>
      <c r="AL1004" s="2126"/>
      <c r="AM1004" s="2126"/>
      <c r="AN1004" s="2126"/>
      <c r="AO1004" s="2126"/>
      <c r="AP1004" s="2126"/>
      <c r="AQ1004" s="2127"/>
      <c r="AR1004" s="1583"/>
      <c r="AS1004" s="1583"/>
      <c r="AT1004" s="1583"/>
      <c r="AU1004" s="1583"/>
      <c r="AV1004" s="1583"/>
      <c r="AW1004" s="1583"/>
      <c r="AX1004" s="1583"/>
      <c r="AY1004" s="1583"/>
      <c r="BA1004" s="320">
        <f>IF(A1078="Yes",0.02,0)</f>
        <v>0</v>
      </c>
    </row>
    <row r="1005" spans="1:96" ht="12.8" customHeight="1">
      <c r="A1005" s="51"/>
      <c r="B1005" s="110"/>
      <c r="C1005" s="111"/>
      <c r="D1005" s="2170" t="s">
        <v>2177</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3"/>
      <c r="AS1005" s="1583"/>
      <c r="AT1005" s="1583"/>
      <c r="AU1005" s="1583"/>
      <c r="AV1005" s="1583"/>
      <c r="AW1005" s="1583"/>
      <c r="AX1005" s="1583"/>
      <c r="AY1005" s="1583"/>
      <c r="BA1005" s="321">
        <f>IF(A1082="Yes",0.02,0)</f>
        <v>0</v>
      </c>
    </row>
    <row r="1006" spans="1:96" ht="12.8"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8"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8" customHeight="1">
      <c r="A1008" s="51"/>
      <c r="B1008" s="117"/>
      <c r="C1008" s="118" t="s">
        <v>240</v>
      </c>
      <c r="D1008" s="2079" t="s">
        <v>1539</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577</v>
      </c>
      <c r="AH1008" s="2078"/>
      <c r="AI1008" s="125"/>
      <c r="AJ1008" s="2116">
        <f>ROUND(IF(AG1008="yes",(AJ975*0.1),0),0)</f>
        <v>2841828</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8" customHeight="1">
      <c r="A1009" s="51"/>
      <c r="B1009" s="110"/>
      <c r="C1009" s="111"/>
      <c r="D1009" s="2170" t="s">
        <v>1540</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8"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8" customHeight="1">
      <c r="A1011" s="51"/>
      <c r="B1011" s="110"/>
      <c r="C1011" s="531" t="s">
        <v>724</v>
      </c>
      <c r="D1011" s="2107" t="s">
        <v>2173</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705</v>
      </c>
      <c r="AH1011" s="2078"/>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8" customHeight="1">
      <c r="A1012" s="51"/>
      <c r="B1012" s="110"/>
      <c r="C1012" s="111"/>
      <c r="D1012" s="2110" t="s">
        <v>2174</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8"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8"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8" customHeight="1">
      <c r="A1015" s="51"/>
      <c r="B1015" s="110"/>
      <c r="C1015" s="531" t="s">
        <v>724</v>
      </c>
      <c r="D1015" s="2079" t="s">
        <v>2175</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38" t="s">
        <v>705</v>
      </c>
      <c r="AH1015" s="2239"/>
      <c r="AI1015" s="121"/>
      <c r="AJ1015" s="2116">
        <f>ROUND(IF(AG1015="yes",(AJ975*0.1),0),0)</f>
        <v>0</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8" customHeight="1">
      <c r="A1016" s="51"/>
      <c r="B1016" s="110"/>
      <c r="C1016" s="111"/>
      <c r="D1016" s="2110" t="s">
        <v>2176</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8"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8"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8"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8" customHeight="1">
      <c r="A1020" s="51"/>
      <c r="B1020" s="117"/>
      <c r="C1020" s="198" t="s">
        <v>1115</v>
      </c>
      <c r="D1020" s="2107" t="s">
        <v>1541</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577</v>
      </c>
      <c r="AH1020" s="2078"/>
      <c r="AI1020" s="125"/>
      <c r="AJ1020" s="2116">
        <f>ROUND(IF(AG1020="yes",(AJ975*0.1),0),0)</f>
        <v>2841828</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8" customHeight="1">
      <c r="A1021" s="51"/>
      <c r="B1021" s="110"/>
      <c r="C1021" s="111"/>
      <c r="D1021" s="2170" t="s">
        <v>1542</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8"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8"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8" customHeight="1">
      <c r="A1024" s="51"/>
      <c r="B1024" s="117"/>
      <c r="C1024" s="198" t="s">
        <v>2171</v>
      </c>
      <c r="D1024" s="2079" t="s">
        <v>2392</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36" t="str">
        <f>IF(X1027&gt;0,"Yes","No")</f>
        <v>Yes</v>
      </c>
      <c r="AH1024" s="2237"/>
      <c r="AI1024" s="125"/>
      <c r="AJ1024" s="2240">
        <f>IF((X1027=0),0,BA989*AJ975)</f>
        <v>2841827.7</v>
      </c>
      <c r="AK1024" s="2241"/>
      <c r="AL1024" s="2241"/>
      <c r="AM1024" s="2241"/>
      <c r="AN1024" s="2241"/>
      <c r="AO1024" s="2241"/>
      <c r="AP1024" s="2241"/>
      <c r="AQ1024" s="2242"/>
      <c r="AR1024" s="1583"/>
      <c r="AS1024" s="1583"/>
      <c r="AT1024" s="1583"/>
      <c r="AU1024" s="1583"/>
      <c r="AV1024" s="1583"/>
      <c r="AW1024" s="1583"/>
      <c r="AX1024" s="1583"/>
      <c r="AY1024" s="1583"/>
    </row>
    <row r="1025" spans="1:96" ht="12.8" customHeight="1">
      <c r="A1025" s="51"/>
      <c r="B1025" s="110"/>
      <c r="C1025" s="702"/>
      <c r="D1025" s="2170" t="s">
        <v>1544</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43"/>
      <c r="AK1025" s="2244"/>
      <c r="AL1025" s="2244"/>
      <c r="AM1025" s="2244"/>
      <c r="AN1025" s="2244"/>
      <c r="AO1025" s="2244"/>
      <c r="AP1025" s="2244"/>
      <c r="AQ1025" s="2245"/>
      <c r="AR1025" s="1583"/>
      <c r="AS1025" s="1583"/>
      <c r="AT1025" s="1583"/>
      <c r="AU1025" s="1583"/>
      <c r="AV1025" s="1583"/>
      <c r="AW1025" s="1583"/>
      <c r="AX1025" s="1583"/>
      <c r="AY1025" s="1583"/>
    </row>
    <row r="1026" spans="1:96" ht="12.8"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43"/>
      <c r="AK1026" s="2244"/>
      <c r="AL1026" s="2244"/>
      <c r="AM1026" s="2244"/>
      <c r="AN1026" s="2244"/>
      <c r="AO1026" s="2244"/>
      <c r="AP1026" s="2244"/>
      <c r="AQ1026" s="2245"/>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234">
        <f>BA987</f>
        <v>80</v>
      </c>
      <c r="J1027" s="2235"/>
      <c r="K1027" s="11"/>
      <c r="L1027" s="200"/>
      <c r="M1027" s="200"/>
      <c r="N1027" s="200"/>
      <c r="O1027" s="200"/>
      <c r="P1027" s="200"/>
      <c r="Q1027" s="200"/>
      <c r="R1027" s="200"/>
      <c r="S1027" s="200"/>
      <c r="T1027" s="200"/>
      <c r="U1027" s="200"/>
      <c r="V1027" s="201" t="s">
        <v>1050</v>
      </c>
      <c r="W1027" s="80"/>
      <c r="X1027" s="2232">
        <f>BG635</f>
        <v>8</v>
      </c>
      <c r="Y1027" s="2233"/>
      <c r="Z1027" s="80"/>
      <c r="AA1027" s="80"/>
      <c r="AB1027" s="80"/>
      <c r="AC1027" s="80"/>
      <c r="AD1027" s="80"/>
      <c r="AE1027" s="81"/>
      <c r="AF1027" s="1622"/>
      <c r="AG1027" s="1623"/>
      <c r="AH1027" s="1623"/>
      <c r="AI1027" s="1624"/>
      <c r="AJ1027" s="2246"/>
      <c r="AK1027" s="2247"/>
      <c r="AL1027" s="2247"/>
      <c r="AM1027" s="2247"/>
      <c r="AN1027" s="2247"/>
      <c r="AO1027" s="2247"/>
      <c r="AP1027" s="2247"/>
      <c r="AQ1027" s="2248"/>
      <c r="AR1027" s="1583"/>
      <c r="AS1027" s="1583"/>
      <c r="AT1027" s="1583"/>
      <c r="AU1027" s="1583"/>
      <c r="AV1027" s="1583"/>
      <c r="AW1027" s="1583"/>
      <c r="AX1027" s="1583"/>
      <c r="AY1027" s="1583"/>
      <c r="CR1027" s="25"/>
    </row>
    <row r="1028" spans="1:96" ht="12.8" customHeight="1">
      <c r="A1028" s="51"/>
      <c r="B1028" s="117"/>
      <c r="C1028" s="198" t="s">
        <v>2172</v>
      </c>
      <c r="D1028" s="2107" t="s">
        <v>2393</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36" t="str">
        <f>IF(X1031&gt;0,"Yes","No")</f>
        <v>Yes</v>
      </c>
      <c r="AH1028" s="2237"/>
      <c r="AI1028" s="121"/>
      <c r="AJ1028" s="2240">
        <f>IF((X1031=0),0,(2*BA990)*AJ975)</f>
        <v>5683655.4000000004</v>
      </c>
      <c r="AK1028" s="2241"/>
      <c r="AL1028" s="2241"/>
      <c r="AM1028" s="2241"/>
      <c r="AN1028" s="2241"/>
      <c r="AO1028" s="2241"/>
      <c r="AP1028" s="2241"/>
      <c r="AQ1028" s="2242"/>
      <c r="AR1028" s="1583"/>
      <c r="AS1028" s="1583"/>
      <c r="AT1028" s="1583"/>
      <c r="AU1028" s="1583"/>
      <c r="AV1028" s="1583"/>
      <c r="AW1028" s="1583"/>
      <c r="AX1028" s="1583"/>
      <c r="AY1028" s="1583"/>
    </row>
    <row r="1029" spans="1:96" ht="12.8" customHeight="1">
      <c r="A1029" s="51"/>
      <c r="B1029" s="110"/>
      <c r="C1029" s="702"/>
      <c r="D1029" s="2170" t="s">
        <v>1543</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43"/>
      <c r="AK1029" s="2244"/>
      <c r="AL1029" s="2244"/>
      <c r="AM1029" s="2244"/>
      <c r="AN1029" s="2244"/>
      <c r="AO1029" s="2244"/>
      <c r="AP1029" s="2244"/>
      <c r="AQ1029" s="2245"/>
      <c r="AR1029" s="1583"/>
      <c r="AS1029" s="1583"/>
      <c r="AT1029" s="1583"/>
      <c r="AU1029" s="1583"/>
      <c r="AV1029" s="1583"/>
      <c r="AW1029" s="1583"/>
      <c r="AX1029" s="1583"/>
      <c r="AY1029" s="1583"/>
    </row>
    <row r="1030" spans="1:96" ht="12.8"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9"/>
      <c r="AG1030" s="1620"/>
      <c r="AH1030" s="1620"/>
      <c r="AI1030" s="1621"/>
      <c r="AJ1030" s="2243"/>
      <c r="AK1030" s="2244"/>
      <c r="AL1030" s="2244"/>
      <c r="AM1030" s="2244"/>
      <c r="AN1030" s="2244"/>
      <c r="AO1030" s="2244"/>
      <c r="AP1030" s="2244"/>
      <c r="AQ1030" s="2245"/>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234">
        <f>BA987</f>
        <v>80</v>
      </c>
      <c r="J1031" s="2235"/>
      <c r="K1031" s="51"/>
      <c r="L1031" s="200"/>
      <c r="M1031" s="200"/>
      <c r="N1031" s="200"/>
      <c r="O1031" s="200"/>
      <c r="P1031" s="200"/>
      <c r="Q1031" s="200"/>
      <c r="R1031" s="200"/>
      <c r="S1031" s="200"/>
      <c r="T1031" s="200"/>
      <c r="U1031" s="200"/>
      <c r="V1031" s="201" t="s">
        <v>1051</v>
      </c>
      <c r="X1031" s="2232">
        <f>BK635</f>
        <v>8</v>
      </c>
      <c r="Y1031" s="2233"/>
      <c r="AF1031" s="1622"/>
      <c r="AG1031" s="1623"/>
      <c r="AH1031" s="1623"/>
      <c r="AI1031" s="1624"/>
      <c r="AJ1031" s="2246"/>
      <c r="AK1031" s="2247"/>
      <c r="AL1031" s="2247"/>
      <c r="AM1031" s="2247"/>
      <c r="AN1031" s="2247"/>
      <c r="AO1031" s="2247"/>
      <c r="AP1031" s="2247"/>
      <c r="AQ1031" s="2248"/>
      <c r="AR1031" s="1583"/>
      <c r="AS1031" s="1583"/>
      <c r="AT1031" s="1583"/>
      <c r="AU1031" s="1583"/>
      <c r="AV1031" s="1583"/>
      <c r="AW1031" s="1583"/>
      <c r="AX1031" s="1583"/>
      <c r="AY1031" s="1583"/>
      <c r="CR1031" s="25"/>
    </row>
    <row r="1032" spans="1:96" ht="12.8" customHeight="1">
      <c r="A1032" s="51"/>
      <c r="B1032" s="158"/>
      <c r="C1032" s="159"/>
      <c r="D1032" s="2230" t="s">
        <v>545</v>
      </c>
      <c r="E1032" s="2230"/>
      <c r="F1032" s="2230"/>
      <c r="G1032" s="2230"/>
      <c r="H1032" s="2230"/>
      <c r="I1032" s="2230"/>
      <c r="J1032" s="2230"/>
      <c r="K1032" s="2230"/>
      <c r="L1032" s="2230"/>
      <c r="M1032" s="2230"/>
      <c r="N1032" s="2230"/>
      <c r="O1032" s="2230"/>
      <c r="P1032" s="2230"/>
      <c r="Q1032" s="2230"/>
      <c r="R1032" s="2230"/>
      <c r="S1032" s="2230"/>
      <c r="T1032" s="2230"/>
      <c r="U1032" s="2230"/>
      <c r="V1032" s="2230"/>
      <c r="W1032" s="2230"/>
      <c r="X1032" s="2230"/>
      <c r="Y1032" s="2230"/>
      <c r="Z1032" s="2230"/>
      <c r="AA1032" s="2230"/>
      <c r="AB1032" s="2230"/>
      <c r="AC1032" s="2230"/>
      <c r="AD1032" s="2230"/>
      <c r="AE1032" s="2230"/>
      <c r="AF1032" s="2230"/>
      <c r="AG1032" s="2230"/>
      <c r="AH1032" s="2230"/>
      <c r="AI1032" s="2231"/>
      <c r="AJ1032" s="2249">
        <f>SUM(AJ975:AQ1031)</f>
        <v>52334985.100000001</v>
      </c>
      <c r="AK1032" s="2250"/>
      <c r="AL1032" s="2250"/>
      <c r="AM1032" s="2250"/>
      <c r="AN1032" s="2250"/>
      <c r="AO1032" s="2250"/>
      <c r="AP1032" s="2250"/>
      <c r="AQ1032" s="2251"/>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9" t="s">
        <v>1930</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6"/>
      <c r="Y1035" s="2336"/>
      <c r="Z1035" s="2336"/>
      <c r="AA1035" s="2336"/>
      <c r="AB1035" s="2336"/>
      <c r="AC1035" s="2336"/>
      <c r="AD1035" s="2534">
        <f>R971</f>
        <v>364800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7"/>
      <c r="Y1036" s="2337"/>
      <c r="Z1036" s="2337"/>
      <c r="AA1036" s="2337"/>
      <c r="AB1036" s="2337"/>
      <c r="AC1036" s="2337"/>
      <c r="AD1036" s="2120">
        <f>MEDIAN((BR809:BR866))</f>
        <v>364800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5" t="s">
        <v>1932</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0</v>
      </c>
      <c r="AE1037" s="2532"/>
      <c r="AF1037" s="2532"/>
      <c r="AG1037" s="2532"/>
      <c r="AH1037" s="2532"/>
      <c r="AI1037" s="2532"/>
      <c r="AJ1037" s="2532"/>
      <c r="AK1037" s="2533"/>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4">
        <f>IF(ISNA(IF((AJ999&gt;(AJ975*0.15)),"(f) cannot be greater than 15% of unadjusted eligible basis.",0)),"",(IF((AJ999&gt;(AJ975*0.15)),"(f) cannot be greater than 15% of unadjusted eligible basis.",0)))</f>
        <v>0</v>
      </c>
      <c r="C1039" s="2334"/>
      <c r="D1039" s="2334"/>
      <c r="E1039" s="2334"/>
      <c r="F1039" s="2334"/>
      <c r="G1039" s="2334"/>
      <c r="H1039" s="2334"/>
      <c r="I1039" s="2334"/>
      <c r="J1039" s="2334"/>
      <c r="K1039" s="2334"/>
      <c r="L1039" s="2334"/>
      <c r="M1039" s="2334"/>
      <c r="N1039" s="2334"/>
      <c r="O1039" s="2334"/>
      <c r="P1039" s="2334"/>
      <c r="Q1039" s="2334"/>
      <c r="R1039" s="2334"/>
      <c r="S1039" s="2334"/>
      <c r="T1039" s="2334"/>
      <c r="U1039" s="2334"/>
      <c r="V1039" s="2334"/>
      <c r="W1039" s="2334"/>
      <c r="X1039" s="2334"/>
      <c r="Y1039" s="2334"/>
      <c r="Z1039" s="2334"/>
      <c r="AA1039" s="2334"/>
      <c r="AB1039" s="2334"/>
      <c r="AC1039" s="2334"/>
      <c r="AD1039" s="2334"/>
      <c r="AE1039" s="2334"/>
      <c r="AF1039" s="2334"/>
      <c r="AG1039" s="2334"/>
      <c r="AH1039" s="2334"/>
      <c r="AI1039" s="2334"/>
      <c r="AJ1039" s="2334"/>
      <c r="AK1039" s="2334"/>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8" t="s">
        <v>851</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625</v>
      </c>
      <c r="B1044" s="2031"/>
      <c r="C1044" s="13">
        <v>1</v>
      </c>
      <c r="D1044" s="1897" t="s">
        <v>1221</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625</v>
      </c>
      <c r="B1050" s="2031"/>
      <c r="C1050" s="13">
        <v>2</v>
      </c>
      <c r="D1050" s="1897" t="s">
        <v>1220</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625</v>
      </c>
      <c r="B1056" s="2031"/>
      <c r="C1056" s="13">
        <v>3</v>
      </c>
      <c r="D1056" s="1897" t="s">
        <v>1526</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625</v>
      </c>
      <c r="B1063" s="2031"/>
      <c r="C1063" s="13">
        <v>4</v>
      </c>
      <c r="D1063" s="1897" t="s">
        <v>1206</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625</v>
      </c>
      <c r="B1066" s="2031"/>
      <c r="C1066" s="13">
        <v>5</v>
      </c>
      <c r="D1066" s="1897" t="s">
        <v>1415</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625</v>
      </c>
      <c r="B1071" s="2031"/>
      <c r="C1071" s="13">
        <v>6</v>
      </c>
      <c r="D1071" s="1897" t="s">
        <v>1207</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625</v>
      </c>
      <c r="B1074" s="2031"/>
      <c r="C1074" s="318">
        <v>7</v>
      </c>
      <c r="D1074" s="1897" t="s">
        <v>1209</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625</v>
      </c>
      <c r="B1078" s="2031"/>
      <c r="C1078" s="318">
        <v>8</v>
      </c>
      <c r="D1078" s="2335" t="s">
        <v>2167</v>
      </c>
      <c r="E1078" s="2335"/>
      <c r="F1078" s="2335"/>
      <c r="G1078" s="2335"/>
      <c r="H1078" s="2335"/>
      <c r="I1078" s="2335"/>
      <c r="J1078" s="2335"/>
      <c r="K1078" s="2335"/>
      <c r="L1078" s="2335"/>
      <c r="M1078" s="2335"/>
      <c r="N1078" s="2335"/>
      <c r="O1078" s="2335"/>
      <c r="P1078" s="2335"/>
      <c r="Q1078" s="2335"/>
      <c r="R1078" s="2335"/>
      <c r="S1078" s="2335"/>
      <c r="T1078" s="2335"/>
      <c r="U1078" s="2335"/>
      <c r="V1078" s="2335"/>
      <c r="W1078" s="2335"/>
      <c r="X1078" s="2335"/>
      <c r="Y1078" s="2335"/>
      <c r="Z1078" s="2335"/>
      <c r="AA1078" s="2335"/>
      <c r="AB1078" s="2335"/>
      <c r="AC1078" s="2335"/>
      <c r="AD1078" s="2335"/>
      <c r="AE1078" s="2335"/>
      <c r="AF1078" s="2335"/>
      <c r="AG1078" s="2335"/>
      <c r="AH1078" s="2335"/>
      <c r="AI1078" s="2335"/>
      <c r="AJ1078" s="2335"/>
      <c r="AK1078" s="2335"/>
    </row>
    <row r="1079" spans="1:96" ht="12.65" customHeight="1">
      <c r="A1079" s="235"/>
      <c r="B1079" s="235"/>
      <c r="C1079" s="318"/>
      <c r="D1079" s="2335"/>
      <c r="E1079" s="2335"/>
      <c r="F1079" s="2335"/>
      <c r="G1079" s="2335"/>
      <c r="H1079" s="2335"/>
      <c r="I1079" s="2335"/>
      <c r="J1079" s="2335"/>
      <c r="K1079" s="2335"/>
      <c r="L1079" s="2335"/>
      <c r="M1079" s="2335"/>
      <c r="N1079" s="2335"/>
      <c r="O1079" s="2335"/>
      <c r="P1079" s="2335"/>
      <c r="Q1079" s="2335"/>
      <c r="R1079" s="2335"/>
      <c r="S1079" s="2335"/>
      <c r="T1079" s="2335"/>
      <c r="U1079" s="2335"/>
      <c r="V1079" s="2335"/>
      <c r="W1079" s="2335"/>
      <c r="X1079" s="2335"/>
      <c r="Y1079" s="2335"/>
      <c r="Z1079" s="2335"/>
      <c r="AA1079" s="2335"/>
      <c r="AB1079" s="2335"/>
      <c r="AC1079" s="2335"/>
      <c r="AD1079" s="2335"/>
      <c r="AE1079" s="2335"/>
      <c r="AF1079" s="2335"/>
      <c r="AG1079" s="2335"/>
      <c r="AH1079" s="2335"/>
      <c r="AI1079" s="2335"/>
      <c r="AJ1079" s="2335"/>
      <c r="AK1079" s="2335"/>
    </row>
    <row r="1080" spans="1:96" ht="12.65" customHeight="1">
      <c r="A1080" s="235"/>
      <c r="B1080" s="235"/>
      <c r="C1080" s="318"/>
      <c r="D1080" s="2335"/>
      <c r="E1080" s="2335"/>
      <c r="F1080" s="2335"/>
      <c r="G1080" s="2335"/>
      <c r="H1080" s="2335"/>
      <c r="I1080" s="2335"/>
      <c r="J1080" s="2335"/>
      <c r="K1080" s="2335"/>
      <c r="L1080" s="2335"/>
      <c r="M1080" s="2335"/>
      <c r="N1080" s="2335"/>
      <c r="O1080" s="2335"/>
      <c r="P1080" s="2335"/>
      <c r="Q1080" s="2335"/>
      <c r="R1080" s="2335"/>
      <c r="S1080" s="2335"/>
      <c r="T1080" s="2335"/>
      <c r="U1080" s="2335"/>
      <c r="V1080" s="2335"/>
      <c r="W1080" s="2335"/>
      <c r="X1080" s="2335"/>
      <c r="Y1080" s="2335"/>
      <c r="Z1080" s="2335"/>
      <c r="AA1080" s="2335"/>
      <c r="AB1080" s="2335"/>
      <c r="AC1080" s="2335"/>
      <c r="AD1080" s="2335"/>
      <c r="AE1080" s="2335"/>
      <c r="AF1080" s="2335"/>
      <c r="AG1080" s="2335"/>
      <c r="AH1080" s="2335"/>
      <c r="AI1080" s="2335"/>
      <c r="AJ1080" s="2335"/>
      <c r="AK1080" s="2335"/>
      <c r="AL1080" s="682"/>
    </row>
    <row r="1081" spans="1:96" ht="11.95" customHeight="1">
      <c r="A1081" s="62"/>
      <c r="B1081" s="66"/>
      <c r="C1081" s="318"/>
      <c r="D1081" s="2335"/>
      <c r="E1081" s="2335"/>
      <c r="F1081" s="2335"/>
      <c r="G1081" s="2335"/>
      <c r="H1081" s="2335"/>
      <c r="I1081" s="2335"/>
      <c r="J1081" s="2335"/>
      <c r="K1081" s="2335"/>
      <c r="L1081" s="2335"/>
      <c r="M1081" s="2335"/>
      <c r="N1081" s="2335"/>
      <c r="O1081" s="2335"/>
      <c r="P1081" s="2335"/>
      <c r="Q1081" s="2335"/>
      <c r="R1081" s="2335"/>
      <c r="S1081" s="2335"/>
      <c r="T1081" s="2335"/>
      <c r="U1081" s="2335"/>
      <c r="V1081" s="2335"/>
      <c r="W1081" s="2335"/>
      <c r="X1081" s="2335"/>
      <c r="Y1081" s="2335"/>
      <c r="Z1081" s="2335"/>
      <c r="AA1081" s="2335"/>
      <c r="AB1081" s="2335"/>
      <c r="AC1081" s="2335"/>
      <c r="AD1081" s="2335"/>
      <c r="AE1081" s="2335"/>
      <c r="AF1081" s="2335"/>
      <c r="AG1081" s="2335"/>
      <c r="AH1081" s="2335"/>
      <c r="AI1081" s="2335"/>
      <c r="AJ1081" s="2335"/>
      <c r="AK1081" s="2335"/>
    </row>
    <row r="1082" spans="1:96" ht="12.65" customHeight="1">
      <c r="A1082" s="2031" t="s">
        <v>625</v>
      </c>
      <c r="B1082" s="2031"/>
      <c r="C1082" s="318">
        <v>9</v>
      </c>
      <c r="D1082" s="1897" t="s">
        <v>1208</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S108" sqref="S108"/>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581</v>
      </c>
      <c r="B1" s="189"/>
      <c r="C1" s="189"/>
      <c r="D1" s="189"/>
      <c r="E1" s="190"/>
      <c r="F1" s="2564" t="s">
        <v>655</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392</v>
      </c>
      <c r="D2" s="208" t="s">
        <v>391</v>
      </c>
      <c r="E2" s="208" t="s">
        <v>25</v>
      </c>
      <c r="F2" s="209" t="str">
        <f>Application!B637&amp;Application!C637</f>
        <v>1)Citibank - Tax-Exempt Bonds (Series A)</v>
      </c>
      <c r="G2" s="209" t="str">
        <f>Application!B638&amp;Application!C638</f>
        <v>2)Mono County - MHSA / NPLH Loan</v>
      </c>
      <c r="H2" s="209" t="str">
        <f>Application!B639&amp;Application!C639</f>
        <v>3)Town of Mammoth Lakes - Land Loan</v>
      </c>
      <c r="I2" s="209" t="str">
        <f>Application!B640&amp;Application!C640</f>
        <v>4)Town of Mammoth Lakes - Fee Deferral Loan</v>
      </c>
      <c r="J2" s="209" t="str">
        <f>Application!B641&amp;Application!C641</f>
        <v>5)HCD - IIG Loan</v>
      </c>
      <c r="K2" s="209" t="str">
        <f>Application!B642&amp;Application!C642</f>
        <v>6)Pacific West Communities, Inc. - DDF</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650000</v>
      </c>
      <c r="C4" s="217">
        <v>650000</v>
      </c>
      <c r="D4" s="217"/>
      <c r="E4" s="217"/>
      <c r="F4" s="217"/>
      <c r="G4" s="217"/>
      <c r="H4" s="217">
        <v>650000</v>
      </c>
      <c r="I4" s="217"/>
      <c r="J4" s="217"/>
      <c r="K4" s="217"/>
      <c r="L4" s="217"/>
      <c r="M4" s="217"/>
      <c r="N4" s="217"/>
      <c r="O4" s="217"/>
      <c r="P4" s="217"/>
      <c r="Q4" s="217"/>
      <c r="R4" s="879">
        <f>SUM(E4:Q4)</f>
        <v>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650000</v>
      </c>
      <c r="C8" s="216">
        <f t="shared" ref="C8:Q8" si="0">SUM(C4:C7)</f>
        <v>650000</v>
      </c>
      <c r="D8" s="216">
        <f t="shared" si="0"/>
        <v>0</v>
      </c>
      <c r="E8" s="216">
        <f t="shared" si="0"/>
        <v>0</v>
      </c>
      <c r="F8" s="216">
        <f t="shared" si="0"/>
        <v>0</v>
      </c>
      <c r="G8" s="216">
        <f t="shared" si="0"/>
        <v>0</v>
      </c>
      <c r="H8" s="216">
        <f t="shared" si="0"/>
        <v>650000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650000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3200000</v>
      </c>
      <c r="C10" s="217">
        <v>3200000</v>
      </c>
      <c r="D10" s="217"/>
      <c r="E10" s="217"/>
      <c r="F10" s="217"/>
      <c r="G10" s="217"/>
      <c r="H10" s="217"/>
      <c r="I10" s="217"/>
      <c r="J10" s="217">
        <v>3200000</v>
      </c>
      <c r="K10" s="217"/>
      <c r="L10" s="217"/>
      <c r="M10" s="217"/>
      <c r="N10" s="217"/>
      <c r="O10" s="217"/>
      <c r="P10" s="217"/>
      <c r="Q10" s="217"/>
      <c r="R10" s="879">
        <f>SUM(E10:Q10)</f>
        <v>3200000</v>
      </c>
      <c r="S10" s="217">
        <f>R10</f>
        <v>3200000</v>
      </c>
      <c r="T10" s="217"/>
      <c r="U10" s="213"/>
    </row>
    <row r="11" spans="1:21" s="214" customFormat="1">
      <c r="A11" s="219" t="s">
        <v>630</v>
      </c>
      <c r="B11" s="216">
        <f>SUM(C11:D11)</f>
        <v>3200000</v>
      </c>
      <c r="C11" s="216">
        <f t="shared" ref="C11:Q11" si="1">SUM(C9:C10)</f>
        <v>3200000</v>
      </c>
      <c r="D11" s="216">
        <f t="shared" si="1"/>
        <v>0</v>
      </c>
      <c r="E11" s="216">
        <f t="shared" si="1"/>
        <v>0</v>
      </c>
      <c r="F11" s="216">
        <f t="shared" si="1"/>
        <v>0</v>
      </c>
      <c r="G11" s="216">
        <f t="shared" si="1"/>
        <v>0</v>
      </c>
      <c r="H11" s="216">
        <f t="shared" si="1"/>
        <v>0</v>
      </c>
      <c r="I11" s="216">
        <f t="shared" si="1"/>
        <v>0</v>
      </c>
      <c r="J11" s="216">
        <f t="shared" si="1"/>
        <v>3200000</v>
      </c>
      <c r="K11" s="216">
        <f t="shared" si="1"/>
        <v>0</v>
      </c>
      <c r="L11" s="216">
        <f t="shared" si="1"/>
        <v>0</v>
      </c>
      <c r="M11" s="216">
        <f t="shared" si="1"/>
        <v>0</v>
      </c>
      <c r="N11" s="216">
        <f t="shared" si="1"/>
        <v>0</v>
      </c>
      <c r="O11" s="216">
        <f t="shared" si="1"/>
        <v>0</v>
      </c>
      <c r="P11" s="216"/>
      <c r="Q11" s="216">
        <f t="shared" si="1"/>
        <v>0</v>
      </c>
      <c r="R11" s="534">
        <f>SUM(R9:R10)</f>
        <v>3200000</v>
      </c>
      <c r="S11" s="218"/>
      <c r="T11" s="220">
        <f>SUM(T9:T10)</f>
        <v>0</v>
      </c>
      <c r="U11" s="213"/>
    </row>
    <row r="12" spans="1:21" s="214" customFormat="1">
      <c r="A12" s="219" t="s">
        <v>89</v>
      </c>
      <c r="B12" s="216">
        <f t="shared" ref="B12:Q12" si="2">SUM(B8+B11)</f>
        <v>3850000</v>
      </c>
      <c r="C12" s="216">
        <f t="shared" si="2"/>
        <v>3850000</v>
      </c>
      <c r="D12" s="216">
        <f t="shared" si="2"/>
        <v>0</v>
      </c>
      <c r="E12" s="216">
        <f t="shared" si="2"/>
        <v>0</v>
      </c>
      <c r="F12" s="216">
        <f t="shared" si="2"/>
        <v>0</v>
      </c>
      <c r="G12" s="216">
        <f t="shared" si="2"/>
        <v>0</v>
      </c>
      <c r="H12" s="216">
        <f t="shared" si="2"/>
        <v>650000</v>
      </c>
      <c r="I12" s="216">
        <f t="shared" si="2"/>
        <v>0</v>
      </c>
      <c r="J12" s="216">
        <f t="shared" si="2"/>
        <v>3200000</v>
      </c>
      <c r="K12" s="216">
        <f t="shared" si="2"/>
        <v>0</v>
      </c>
      <c r="L12" s="216">
        <f t="shared" si="2"/>
        <v>0</v>
      </c>
      <c r="M12" s="216">
        <f t="shared" si="2"/>
        <v>0</v>
      </c>
      <c r="N12" s="216">
        <f t="shared" si="2"/>
        <v>0</v>
      </c>
      <c r="O12" s="216">
        <f t="shared" si="2"/>
        <v>0</v>
      </c>
      <c r="P12" s="216"/>
      <c r="Q12" s="216">
        <f t="shared" si="2"/>
        <v>0</v>
      </c>
      <c r="R12" s="534">
        <f>SUM(R8+R11)</f>
        <v>3850000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2025000</v>
      </c>
      <c r="C29" s="217">
        <v>2025000</v>
      </c>
      <c r="D29" s="217"/>
      <c r="E29" s="217">
        <v>2025000</v>
      </c>
      <c r="F29" s="217"/>
      <c r="G29" s="217"/>
      <c r="H29" s="217"/>
      <c r="I29" s="217"/>
      <c r="J29" s="217"/>
      <c r="K29" s="217"/>
      <c r="L29" s="217"/>
      <c r="M29" s="217"/>
      <c r="N29" s="217"/>
      <c r="O29" s="217"/>
      <c r="P29" s="217"/>
      <c r="Q29" s="217"/>
      <c r="R29" s="879">
        <f t="shared" ref="R29:R37" si="7">SUM(E29:Q29)</f>
        <v>2025000</v>
      </c>
      <c r="S29" s="217">
        <f>R29</f>
        <v>2025000</v>
      </c>
      <c r="T29" s="217"/>
      <c r="U29" s="213"/>
    </row>
    <row r="30" spans="1:21" s="214" customFormat="1">
      <c r="A30" s="215" t="s">
        <v>633</v>
      </c>
      <c r="B30" s="216">
        <f t="shared" si="6"/>
        <v>27606900</v>
      </c>
      <c r="C30" s="217">
        <v>27606900</v>
      </c>
      <c r="D30" s="217"/>
      <c r="E30" s="217">
        <v>15756900</v>
      </c>
      <c r="F30" s="217">
        <v>6000000</v>
      </c>
      <c r="G30" s="217">
        <v>2300000</v>
      </c>
      <c r="H30" s="217"/>
      <c r="I30" s="217"/>
      <c r="J30" s="217">
        <v>3550000</v>
      </c>
      <c r="K30" s="217"/>
      <c r="L30" s="217"/>
      <c r="M30" s="217"/>
      <c r="N30" s="217"/>
      <c r="O30" s="217"/>
      <c r="P30" s="217"/>
      <c r="Q30" s="217"/>
      <c r="R30" s="879">
        <f t="shared" si="7"/>
        <v>27606900</v>
      </c>
      <c r="S30" s="217">
        <f>R30</f>
        <v>27606900</v>
      </c>
      <c r="T30" s="217"/>
      <c r="U30" s="213"/>
    </row>
    <row r="31" spans="1:21" s="214" customFormat="1">
      <c r="A31" s="215" t="s">
        <v>634</v>
      </c>
      <c r="B31" s="216">
        <f t="shared" si="6"/>
        <v>1969914</v>
      </c>
      <c r="C31" s="217">
        <v>1969914</v>
      </c>
      <c r="D31" s="217"/>
      <c r="E31" s="217">
        <v>1969914</v>
      </c>
      <c r="F31" s="217"/>
      <c r="G31" s="217"/>
      <c r="H31" s="217"/>
      <c r="I31" s="217"/>
      <c r="J31" s="217"/>
      <c r="K31" s="217"/>
      <c r="L31" s="217"/>
      <c r="M31" s="217"/>
      <c r="N31" s="217"/>
      <c r="O31" s="217"/>
      <c r="P31" s="217"/>
      <c r="Q31" s="217"/>
      <c r="R31" s="879">
        <f t="shared" si="7"/>
        <v>1969914</v>
      </c>
      <c r="S31" s="217">
        <f>R31</f>
        <v>1969914</v>
      </c>
      <c r="T31" s="217"/>
      <c r="U31" s="213"/>
    </row>
    <row r="32" spans="1:21" s="214" customFormat="1">
      <c r="A32" s="215" t="s">
        <v>142</v>
      </c>
      <c r="B32" s="216">
        <f t="shared" si="6"/>
        <v>696036</v>
      </c>
      <c r="C32" s="217">
        <v>696036</v>
      </c>
      <c r="D32" s="217"/>
      <c r="E32" s="217">
        <v>696036</v>
      </c>
      <c r="F32" s="217"/>
      <c r="G32" s="217"/>
      <c r="H32" s="217"/>
      <c r="I32" s="217"/>
      <c r="J32" s="217"/>
      <c r="K32" s="217"/>
      <c r="L32" s="217"/>
      <c r="M32" s="217"/>
      <c r="N32" s="217"/>
      <c r="O32" s="217"/>
      <c r="P32" s="217"/>
      <c r="Q32" s="217"/>
      <c r="R32" s="879">
        <f t="shared" si="7"/>
        <v>696036</v>
      </c>
      <c r="S32" s="217">
        <f>R32</f>
        <v>696036</v>
      </c>
      <c r="T32" s="217"/>
      <c r="U32" s="213"/>
    </row>
    <row r="33" spans="1:21" s="214" customFormat="1">
      <c r="A33" s="215" t="s">
        <v>143</v>
      </c>
      <c r="B33" s="216">
        <f t="shared" si="6"/>
        <v>2088109</v>
      </c>
      <c r="C33" s="217">
        <v>2088109</v>
      </c>
      <c r="D33" s="217"/>
      <c r="E33" s="217">
        <v>2088109</v>
      </c>
      <c r="F33" s="217"/>
      <c r="G33" s="217"/>
      <c r="H33" s="217"/>
      <c r="I33" s="217"/>
      <c r="J33" s="217"/>
      <c r="K33" s="217"/>
      <c r="L33" s="217"/>
      <c r="M33" s="217"/>
      <c r="N33" s="217"/>
      <c r="O33" s="217"/>
      <c r="P33" s="217"/>
      <c r="Q33" s="217"/>
      <c r="R33" s="879">
        <f t="shared" si="7"/>
        <v>2088109</v>
      </c>
      <c r="S33" s="217">
        <f>R33</f>
        <v>2088109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325000</v>
      </c>
      <c r="C35" s="217">
        <v>325000</v>
      </c>
      <c r="D35" s="217"/>
      <c r="E35" s="217">
        <v>325000</v>
      </c>
      <c r="F35" s="217"/>
      <c r="G35" s="217"/>
      <c r="H35" s="217"/>
      <c r="I35" s="217"/>
      <c r="J35" s="217"/>
      <c r="K35" s="217"/>
      <c r="L35" s="217"/>
      <c r="M35" s="217"/>
      <c r="N35" s="217"/>
      <c r="O35" s="217"/>
      <c r="P35" s="217"/>
      <c r="Q35" s="217"/>
      <c r="R35" s="879">
        <f t="shared" si="7"/>
        <v>325000</v>
      </c>
      <c r="S35" s="217">
        <f>R35</f>
        <v>325000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34710959</v>
      </c>
      <c r="C38" s="216">
        <f>SUM(C29:C37)</f>
        <v>34710959</v>
      </c>
      <c r="D38" s="216">
        <f t="shared" ref="D38:Q38" si="8">SUM(D29:D37)</f>
        <v>0</v>
      </c>
      <c r="E38" s="216">
        <f t="shared" si="8"/>
        <v>22860959</v>
      </c>
      <c r="F38" s="216">
        <f t="shared" si="8"/>
        <v>6000000</v>
      </c>
      <c r="G38" s="216">
        <f t="shared" si="8"/>
        <v>2300000</v>
      </c>
      <c r="H38" s="216">
        <f t="shared" si="8"/>
        <v>0</v>
      </c>
      <c r="I38" s="216">
        <f t="shared" si="8"/>
        <v>0</v>
      </c>
      <c r="J38" s="216">
        <f t="shared" si="8"/>
        <v>3550000</v>
      </c>
      <c r="K38" s="216">
        <f t="shared" si="8"/>
        <v>0</v>
      </c>
      <c r="L38" s="216">
        <f t="shared" si="8"/>
        <v>0</v>
      </c>
      <c r="M38" s="216">
        <f t="shared" si="8"/>
        <v>0</v>
      </c>
      <c r="N38" s="216">
        <f t="shared" si="8"/>
        <v>0</v>
      </c>
      <c r="O38" s="216">
        <f t="shared" si="8"/>
        <v>0</v>
      </c>
      <c r="P38" s="216">
        <f t="shared" si="8"/>
        <v>0</v>
      </c>
      <c r="Q38" s="216">
        <f t="shared" si="8"/>
        <v>0</v>
      </c>
      <c r="R38" s="534">
        <f>SUM(R29:R37)</f>
        <v>34710959</v>
      </c>
      <c r="S38" s="220">
        <f>SUM(S29:S37)</f>
        <v>34710959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79">
        <f>SUM(E40:Q40)</f>
        <v>500000</v>
      </c>
      <c r="S40" s="217">
        <f>R40</f>
        <v>500000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79">
        <f>SUM(E41:Q41)</f>
        <v>100000</v>
      </c>
      <c r="S41" s="217">
        <f>R41</f>
        <v>100000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79">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1140000</v>
      </c>
      <c r="C45" s="217">
        <f>780000+360000</f>
        <v>1140000</v>
      </c>
      <c r="D45" s="217"/>
      <c r="E45" s="217">
        <f>780000+360000</f>
        <v>1140000</v>
      </c>
      <c r="F45" s="217"/>
      <c r="G45" s="217"/>
      <c r="H45" s="217"/>
      <c r="I45" s="217"/>
      <c r="J45" s="217"/>
      <c r="K45" s="217"/>
      <c r="L45" s="217"/>
      <c r="M45" s="217"/>
      <c r="N45" s="217"/>
      <c r="O45" s="217"/>
      <c r="P45" s="217"/>
      <c r="Q45" s="217"/>
      <c r="R45" s="879">
        <f t="shared" ref="R45:R53" si="11">SUM(E45:Q45)</f>
        <v>1140000</v>
      </c>
      <c r="S45" s="217">
        <f>R45</f>
        <v>1140000</v>
      </c>
      <c r="T45" s="217"/>
      <c r="U45" s="213"/>
    </row>
    <row r="46" spans="1:21" s="214" customFormat="1">
      <c r="A46" s="215" t="s">
        <v>156</v>
      </c>
      <c r="B46" s="216">
        <f t="shared" si="10"/>
        <v>260000</v>
      </c>
      <c r="C46" s="217">
        <v>260000</v>
      </c>
      <c r="D46" s="217"/>
      <c r="E46" s="217">
        <v>260000</v>
      </c>
      <c r="F46" s="217"/>
      <c r="G46" s="217"/>
      <c r="H46" s="217"/>
      <c r="I46" s="217"/>
      <c r="J46" s="217"/>
      <c r="K46" s="217"/>
      <c r="L46" s="217"/>
      <c r="M46" s="217"/>
      <c r="N46" s="217"/>
      <c r="O46" s="217"/>
      <c r="P46" s="217"/>
      <c r="Q46" s="217"/>
      <c r="R46" s="879">
        <f t="shared" si="11"/>
        <v>260000</v>
      </c>
      <c r="S46" s="217">
        <f>R46</f>
        <v>260000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271800</v>
      </c>
      <c r="C52" s="217">
        <v>271800</v>
      </c>
      <c r="D52" s="217"/>
      <c r="E52" s="217">
        <v>271800</v>
      </c>
      <c r="F52" s="217"/>
      <c r="G52" s="217"/>
      <c r="H52" s="217"/>
      <c r="I52" s="217"/>
      <c r="J52" s="217"/>
      <c r="K52" s="217"/>
      <c r="L52" s="217"/>
      <c r="M52" s="217"/>
      <c r="N52" s="217"/>
      <c r="O52" s="217"/>
      <c r="P52" s="217"/>
      <c r="Q52" s="217"/>
      <c r="R52" s="879">
        <f t="shared" si="11"/>
        <v>271800</v>
      </c>
      <c r="S52" s="217">
        <f>R52</f>
        <v>271800</v>
      </c>
      <c r="T52" s="217"/>
      <c r="U52" s="213"/>
    </row>
    <row r="53" spans="1:21" s="214" customFormat="1">
      <c r="A53" s="1857" t="s">
        <v>2611</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2121800</v>
      </c>
      <c r="C54" s="220">
        <f t="shared" ref="C54:T54" si="12">SUM(C45:C53)</f>
        <v>2121800</v>
      </c>
      <c r="D54" s="220">
        <f t="shared" si="12"/>
        <v>0</v>
      </c>
      <c r="E54" s="220">
        <f t="shared" si="12"/>
        <v>2121800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2121800</v>
      </c>
      <c r="S54" s="220">
        <f t="shared" si="12"/>
        <v>2121800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30000</v>
      </c>
      <c r="C56" s="217">
        <v>30000</v>
      </c>
      <c r="D56" s="217"/>
      <c r="E56" s="217">
        <v>30000</v>
      </c>
      <c r="F56" s="217"/>
      <c r="G56" s="217"/>
      <c r="H56" s="217"/>
      <c r="I56" s="217"/>
      <c r="J56" s="217"/>
      <c r="K56" s="217"/>
      <c r="L56" s="217"/>
      <c r="M56" s="217"/>
      <c r="N56" s="217"/>
      <c r="O56" s="217"/>
      <c r="P56" s="217"/>
      <c r="Q56" s="217"/>
      <c r="R56" s="879">
        <f t="shared" ref="R56:R61" si="14">SUM(E56:Q56)</f>
        <v>30000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2612</v>
      </c>
      <c r="B61" s="216">
        <f t="shared" si="13"/>
        <v>80000</v>
      </c>
      <c r="C61" s="217">
        <v>80000</v>
      </c>
      <c r="D61" s="217"/>
      <c r="E61" s="217">
        <v>80000</v>
      </c>
      <c r="F61" s="217"/>
      <c r="G61" s="217"/>
      <c r="H61" s="217"/>
      <c r="I61" s="217"/>
      <c r="J61" s="217"/>
      <c r="K61" s="217"/>
      <c r="L61" s="217"/>
      <c r="M61" s="217"/>
      <c r="N61" s="217"/>
      <c r="O61" s="217"/>
      <c r="P61" s="217"/>
      <c r="Q61" s="217"/>
      <c r="R61" s="879">
        <f t="shared" si="14"/>
        <v>80000</v>
      </c>
      <c r="S61" s="218"/>
      <c r="T61" s="218"/>
      <c r="U61" s="213"/>
    </row>
    <row r="62" spans="1:21" s="214" customFormat="1" ht="13.7" customHeight="1">
      <c r="A62" s="219" t="s">
        <v>309</v>
      </c>
      <c r="B62" s="216">
        <f>SUM(C62:D62)</f>
        <v>160000</v>
      </c>
      <c r="C62" s="216">
        <f t="shared" ref="C62:R62" si="15">SUM(C56:C61)</f>
        <v>160000</v>
      </c>
      <c r="D62" s="216">
        <f t="shared" si="15"/>
        <v>0</v>
      </c>
      <c r="E62" s="216">
        <f t="shared" si="15"/>
        <v>160000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160000</v>
      </c>
      <c r="S62" s="218"/>
      <c r="T62" s="218"/>
      <c r="U62" s="213"/>
    </row>
    <row r="63" spans="1:21" s="214" customFormat="1">
      <c r="A63" s="225" t="s">
        <v>310</v>
      </c>
      <c r="B63" s="216">
        <f t="shared" ref="B63:R63" si="16">SUM(B8+B11+B13+B14+B15+B26+B27+B38+B42+B43+B54+B62)</f>
        <v>41637759</v>
      </c>
      <c r="C63" s="216">
        <f t="shared" si="16"/>
        <v>41637759</v>
      </c>
      <c r="D63" s="216">
        <f t="shared" si="16"/>
        <v>0</v>
      </c>
      <c r="E63" s="216">
        <f t="shared" si="16"/>
        <v>25937759</v>
      </c>
      <c r="F63" s="216">
        <f t="shared" si="16"/>
        <v>6000000</v>
      </c>
      <c r="G63" s="216">
        <f t="shared" si="16"/>
        <v>2300000</v>
      </c>
      <c r="H63" s="216">
        <f t="shared" si="16"/>
        <v>650000</v>
      </c>
      <c r="I63" s="216">
        <f t="shared" si="16"/>
        <v>0</v>
      </c>
      <c r="J63" s="216">
        <f t="shared" si="16"/>
        <v>6750000</v>
      </c>
      <c r="K63" s="216">
        <f t="shared" si="16"/>
        <v>0</v>
      </c>
      <c r="L63" s="216">
        <f t="shared" si="16"/>
        <v>0</v>
      </c>
      <c r="M63" s="216">
        <f t="shared" si="16"/>
        <v>0</v>
      </c>
      <c r="N63" s="216">
        <f t="shared" si="16"/>
        <v>0</v>
      </c>
      <c r="O63" s="216">
        <f t="shared" si="16"/>
        <v>0</v>
      </c>
      <c r="P63" s="216">
        <f t="shared" si="16"/>
        <v>0</v>
      </c>
      <c r="Q63" s="216">
        <f t="shared" si="16"/>
        <v>0</v>
      </c>
      <c r="R63" s="534">
        <f t="shared" si="16"/>
        <v>41637759</v>
      </c>
      <c r="S63" s="216">
        <f>SUM(S10+S13+S14+S15+S26+S27+S38+S42+S43+S54)</f>
        <v>40827759</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196955</v>
      </c>
      <c r="C75" s="217">
        <v>196955</v>
      </c>
      <c r="D75" s="217"/>
      <c r="E75" s="217">
        <v>196955</v>
      </c>
      <c r="F75" s="217"/>
      <c r="G75" s="217"/>
      <c r="H75" s="217"/>
      <c r="I75" s="217"/>
      <c r="J75" s="217"/>
      <c r="K75" s="217"/>
      <c r="L75" s="217"/>
      <c r="M75" s="217"/>
      <c r="N75" s="217"/>
      <c r="O75" s="217"/>
      <c r="P75" s="217"/>
      <c r="Q75" s="217"/>
      <c r="R75" s="879">
        <f>SUM(E75:Q75)</f>
        <v>196955</v>
      </c>
      <c r="S75" s="218"/>
      <c r="T75" s="218"/>
      <c r="U75" s="213"/>
    </row>
    <row r="76" spans="1:21" s="214" customFormat="1">
      <c r="A76" s="1857" t="s">
        <v>2613</v>
      </c>
      <c r="B76" s="216">
        <f>SUM(C76+D76)</f>
        <v>200000</v>
      </c>
      <c r="C76" s="217">
        <v>200000</v>
      </c>
      <c r="D76" s="217"/>
      <c r="E76" s="217">
        <v>200000</v>
      </c>
      <c r="F76" s="217"/>
      <c r="G76" s="217"/>
      <c r="H76" s="217"/>
      <c r="I76" s="217"/>
      <c r="J76" s="217"/>
      <c r="K76" s="217"/>
      <c r="L76" s="217"/>
      <c r="M76" s="217"/>
      <c r="N76" s="217"/>
      <c r="O76" s="217"/>
      <c r="P76" s="217"/>
      <c r="Q76" s="217"/>
      <c r="R76" s="879">
        <f>SUM(E76:Q76)</f>
        <v>200000</v>
      </c>
      <c r="S76" s="218"/>
      <c r="T76" s="218"/>
      <c r="U76" s="213"/>
    </row>
    <row r="77" spans="1:21" s="214" customFormat="1">
      <c r="A77" s="219" t="s">
        <v>640</v>
      </c>
      <c r="B77" s="216">
        <f>SUM(C77:D77)</f>
        <v>396955</v>
      </c>
      <c r="C77" s="216">
        <f>SUM(C72:C76)</f>
        <v>396955</v>
      </c>
      <c r="D77" s="216">
        <f>SUM(D72:D76)</f>
        <v>0</v>
      </c>
      <c r="E77" s="216">
        <f t="shared" ref="E77:Q77" si="20">SUM(E72:E76)</f>
        <v>396955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396955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2200000</v>
      </c>
      <c r="C79" s="217">
        <v>2200000</v>
      </c>
      <c r="D79" s="217"/>
      <c r="E79" s="217">
        <v>2200000</v>
      </c>
      <c r="F79" s="217"/>
      <c r="G79" s="217"/>
      <c r="H79" s="217"/>
      <c r="I79" s="217"/>
      <c r="J79" s="217"/>
      <c r="K79" s="217"/>
      <c r="L79" s="217"/>
      <c r="M79" s="217"/>
      <c r="N79" s="217"/>
      <c r="O79" s="217"/>
      <c r="P79" s="217"/>
      <c r="Q79" s="217"/>
      <c r="R79" s="879">
        <f>SUM(E79:Q79)</f>
        <v>2200000</v>
      </c>
      <c r="S79" s="217">
        <f>R79</f>
        <v>2200000</v>
      </c>
      <c r="T79" s="217"/>
      <c r="U79" s="213"/>
    </row>
    <row r="80" spans="1:21" s="214" customFormat="1">
      <c r="A80" s="440" t="s">
        <v>61</v>
      </c>
      <c r="B80" s="216">
        <f>SUM(C80:D80)</f>
        <v>400000</v>
      </c>
      <c r="C80" s="217">
        <v>400000</v>
      </c>
      <c r="D80" s="217"/>
      <c r="E80" s="217">
        <v>400000</v>
      </c>
      <c r="F80" s="217"/>
      <c r="G80" s="217"/>
      <c r="H80" s="217"/>
      <c r="I80" s="217"/>
      <c r="J80" s="217"/>
      <c r="K80" s="217"/>
      <c r="L80" s="217"/>
      <c r="M80" s="217"/>
      <c r="N80" s="217"/>
      <c r="O80" s="217"/>
      <c r="P80" s="217"/>
      <c r="Q80" s="217"/>
      <c r="R80" s="879">
        <f>SUM(E80:Q80)</f>
        <v>400000</v>
      </c>
      <c r="S80" s="217">
        <f>R80</f>
        <v>400000</v>
      </c>
      <c r="T80" s="217"/>
      <c r="U80" s="213"/>
    </row>
    <row r="81" spans="1:21" s="214" customFormat="1">
      <c r="A81" s="219" t="s">
        <v>1417</v>
      </c>
      <c r="B81" s="216">
        <f>SUM(C81:D81)</f>
        <v>2600000</v>
      </c>
      <c r="C81" s="859">
        <f>SUM(C79:C80)</f>
        <v>2600000</v>
      </c>
      <c r="D81" s="859">
        <f t="shared" ref="D81:T81" si="21">SUM(D79:D80)</f>
        <v>0</v>
      </c>
      <c r="E81" s="859">
        <f t="shared" si="21"/>
        <v>2600000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2600000</v>
      </c>
      <c r="S81" s="859">
        <f t="shared" si="21"/>
        <v>2600000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60075</v>
      </c>
      <c r="C83" s="217">
        <v>60075</v>
      </c>
      <c r="D83" s="217"/>
      <c r="E83" s="217">
        <v>60075</v>
      </c>
      <c r="F83" s="217"/>
      <c r="G83" s="217"/>
      <c r="H83" s="217"/>
      <c r="I83" s="217"/>
      <c r="J83" s="217"/>
      <c r="K83" s="217"/>
      <c r="L83" s="217"/>
      <c r="M83" s="217"/>
      <c r="N83" s="217"/>
      <c r="O83" s="217"/>
      <c r="P83" s="217"/>
      <c r="Q83" s="217"/>
      <c r="R83" s="879">
        <f t="shared" ref="R83:R95" si="23">SUM(E83:Q83)</f>
        <v>60075</v>
      </c>
      <c r="S83" s="218"/>
      <c r="T83" s="218"/>
      <c r="U83" s="213"/>
    </row>
    <row r="84" spans="1:21" s="214" customFormat="1">
      <c r="A84" s="215" t="s">
        <v>824</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825</v>
      </c>
      <c r="B85" s="216">
        <f t="shared" si="22"/>
        <v>1182086</v>
      </c>
      <c r="C85" s="217">
        <v>1182086</v>
      </c>
      <c r="D85" s="217"/>
      <c r="E85" s="217">
        <v>888486</v>
      </c>
      <c r="F85" s="217"/>
      <c r="G85" s="217"/>
      <c r="H85" s="217"/>
      <c r="I85" s="217">
        <v>293600</v>
      </c>
      <c r="J85" s="217"/>
      <c r="K85" s="217"/>
      <c r="L85" s="217"/>
      <c r="M85" s="217"/>
      <c r="N85" s="217"/>
      <c r="O85" s="217"/>
      <c r="P85" s="217"/>
      <c r="Q85" s="217"/>
      <c r="R85" s="879">
        <f t="shared" si="23"/>
        <v>1182086</v>
      </c>
      <c r="S85" s="217">
        <f>R85</f>
        <v>1182086</v>
      </c>
      <c r="T85" s="217"/>
      <c r="U85" s="213"/>
    </row>
    <row r="86" spans="1:21" s="214" customFormat="1">
      <c r="A86" s="215" t="s">
        <v>826</v>
      </c>
      <c r="B86" s="216">
        <f t="shared" si="22"/>
        <v>300000</v>
      </c>
      <c r="C86" s="217">
        <v>300000</v>
      </c>
      <c r="D86" s="217"/>
      <c r="E86" s="217">
        <v>300000</v>
      </c>
      <c r="F86" s="217"/>
      <c r="G86" s="217"/>
      <c r="H86" s="217"/>
      <c r="I86" s="217"/>
      <c r="J86" s="217"/>
      <c r="K86" s="217"/>
      <c r="L86" s="217"/>
      <c r="M86" s="217"/>
      <c r="N86" s="217"/>
      <c r="O86" s="217"/>
      <c r="P86" s="217"/>
      <c r="Q86" s="217"/>
      <c r="R86" s="879">
        <f t="shared" si="23"/>
        <v>300000</v>
      </c>
      <c r="S86" s="217">
        <f>R86</f>
        <v>300000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132420</v>
      </c>
      <c r="C88" s="217">
        <v>132420</v>
      </c>
      <c r="D88" s="217"/>
      <c r="E88" s="217">
        <v>132420</v>
      </c>
      <c r="F88" s="217"/>
      <c r="G88" s="217"/>
      <c r="H88" s="217"/>
      <c r="I88" s="217"/>
      <c r="J88" s="217"/>
      <c r="K88" s="217"/>
      <c r="L88" s="217"/>
      <c r="M88" s="217"/>
      <c r="N88" s="217"/>
      <c r="O88" s="217"/>
      <c r="P88" s="217"/>
      <c r="Q88" s="217"/>
      <c r="R88" s="879">
        <f t="shared" si="23"/>
        <v>132420</v>
      </c>
      <c r="S88" s="218"/>
      <c r="T88" s="218"/>
      <c r="U88" s="213"/>
    </row>
    <row r="89" spans="1:21" s="214" customFormat="1">
      <c r="A89" s="215" t="s">
        <v>829</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15000</v>
      </c>
      <c r="C91" s="217">
        <v>15000</v>
      </c>
      <c r="D91" s="217"/>
      <c r="E91" s="217">
        <v>15000</v>
      </c>
      <c r="F91" s="217"/>
      <c r="G91" s="217"/>
      <c r="H91" s="217"/>
      <c r="I91" s="217"/>
      <c r="J91" s="217"/>
      <c r="K91" s="217"/>
      <c r="L91" s="217"/>
      <c r="M91" s="217"/>
      <c r="N91" s="217"/>
      <c r="O91" s="217"/>
      <c r="P91" s="217"/>
      <c r="Q91" s="217"/>
      <c r="R91" s="879">
        <f t="shared" si="23"/>
        <v>15000</v>
      </c>
      <c r="S91" s="217">
        <f>R91</f>
        <v>15000</v>
      </c>
      <c r="T91" s="217"/>
      <c r="U91" s="213"/>
    </row>
    <row r="92" spans="1:21" s="214" customFormat="1">
      <c r="A92" s="1809" t="s">
        <v>1419</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1769581</v>
      </c>
      <c r="C96" s="216">
        <f t="shared" ref="C96:R96" si="24">SUM(C83:C95)</f>
        <v>1769581</v>
      </c>
      <c r="D96" s="216">
        <f t="shared" si="24"/>
        <v>0</v>
      </c>
      <c r="E96" s="216">
        <f t="shared" si="24"/>
        <v>1475981</v>
      </c>
      <c r="F96" s="216">
        <f t="shared" si="24"/>
        <v>0</v>
      </c>
      <c r="G96" s="216">
        <f t="shared" si="24"/>
        <v>0</v>
      </c>
      <c r="H96" s="216">
        <f t="shared" si="24"/>
        <v>0</v>
      </c>
      <c r="I96" s="216">
        <f t="shared" si="24"/>
        <v>293600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1769581</v>
      </c>
      <c r="S96" s="220">
        <f>SUM(S84:S87,S89:S95)</f>
        <v>1577086</v>
      </c>
      <c r="T96" s="216">
        <f>SUM(T84:T87,T89:T95)</f>
        <v>0</v>
      </c>
      <c r="U96" s="213"/>
    </row>
    <row r="97" spans="1:21" s="214" customFormat="1">
      <c r="A97" s="219" t="s">
        <v>832</v>
      </c>
      <c r="B97" s="216">
        <f>SUM(C97:D97)</f>
        <v>46504295</v>
      </c>
      <c r="C97" s="216">
        <f t="shared" ref="C97:R97" si="25">SUM(C63+C70+C77+C81+C96)</f>
        <v>46504295</v>
      </c>
      <c r="D97" s="216">
        <f t="shared" si="25"/>
        <v>0</v>
      </c>
      <c r="E97" s="216">
        <f t="shared" si="25"/>
        <v>30510695</v>
      </c>
      <c r="F97" s="216">
        <f t="shared" si="25"/>
        <v>6000000</v>
      </c>
      <c r="G97" s="216">
        <f t="shared" si="25"/>
        <v>2300000</v>
      </c>
      <c r="H97" s="216">
        <f t="shared" si="25"/>
        <v>650000</v>
      </c>
      <c r="I97" s="216">
        <f t="shared" si="25"/>
        <v>293600</v>
      </c>
      <c r="J97" s="216">
        <f t="shared" si="25"/>
        <v>6750000</v>
      </c>
      <c r="K97" s="216">
        <f t="shared" si="25"/>
        <v>0</v>
      </c>
      <c r="L97" s="216">
        <f t="shared" si="25"/>
        <v>0</v>
      </c>
      <c r="M97" s="216">
        <f t="shared" si="25"/>
        <v>0</v>
      </c>
      <c r="N97" s="216">
        <f t="shared" si="25"/>
        <v>0</v>
      </c>
      <c r="O97" s="216">
        <f t="shared" si="25"/>
        <v>0</v>
      </c>
      <c r="P97" s="216">
        <f t="shared" si="25"/>
        <v>0</v>
      </c>
      <c r="Q97" s="216">
        <f t="shared" si="25"/>
        <v>0</v>
      </c>
      <c r="R97" s="216">
        <f t="shared" si="25"/>
        <v>46504295</v>
      </c>
      <c r="S97" s="216">
        <f>SUM(S63+S70+S81+S96)</f>
        <v>45104845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v>2500000</v>
      </c>
      <c r="F99" s="217"/>
      <c r="G99" s="217"/>
      <c r="H99" s="217"/>
      <c r="I99" s="217"/>
      <c r="J99" s="217"/>
      <c r="K99" s="217">
        <v>1000000</v>
      </c>
      <c r="L99" s="217"/>
      <c r="M99" s="217"/>
      <c r="N99" s="217"/>
      <c r="O99" s="217"/>
      <c r="P99" s="217"/>
      <c r="Q99" s="217"/>
      <c r="R99" s="879">
        <f t="shared" ref="R99:R103" si="26">SUM(E99:Q99)</f>
        <v>3500000</v>
      </c>
      <c r="S99" s="217">
        <f>R99</f>
        <v>3500000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3500000</v>
      </c>
      <c r="C104" s="216">
        <f>SUM(C99:C103)</f>
        <v>3500000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1000000</v>
      </c>
      <c r="L104" s="216">
        <f t="shared" si="28"/>
        <v>0</v>
      </c>
      <c r="M104" s="216">
        <f t="shared" si="28"/>
        <v>0</v>
      </c>
      <c r="N104" s="216">
        <f t="shared" si="28"/>
        <v>0</v>
      </c>
      <c r="O104" s="216">
        <f t="shared" si="28"/>
        <v>0</v>
      </c>
      <c r="P104" s="216">
        <f t="shared" si="28"/>
        <v>0</v>
      </c>
      <c r="Q104" s="216">
        <f t="shared" si="28"/>
        <v>0</v>
      </c>
      <c r="R104" s="534">
        <f t="shared" si="28"/>
        <v>3500000</v>
      </c>
      <c r="S104" s="220">
        <f t="shared" si="28"/>
        <v>3500000</v>
      </c>
      <c r="T104" s="220">
        <f t="shared" si="28"/>
        <v>0</v>
      </c>
      <c r="U104" s="213"/>
    </row>
    <row r="105" spans="1:21" s="214" customFormat="1">
      <c r="A105" s="219" t="s">
        <v>837</v>
      </c>
      <c r="B105" s="220">
        <f>SUM(C105:D105)</f>
        <v>50004295</v>
      </c>
      <c r="C105" s="220">
        <f t="shared" ref="C105:R105" si="29">SUM(C97+C104)</f>
        <v>50004295</v>
      </c>
      <c r="D105" s="220">
        <f t="shared" si="29"/>
        <v>0</v>
      </c>
      <c r="E105" s="220">
        <f t="shared" si="29"/>
        <v>33010695</v>
      </c>
      <c r="F105" s="220">
        <f t="shared" si="29"/>
        <v>6000000</v>
      </c>
      <c r="G105" s="220">
        <f t="shared" si="29"/>
        <v>2300000</v>
      </c>
      <c r="H105" s="220">
        <f t="shared" si="29"/>
        <v>650000</v>
      </c>
      <c r="I105" s="220">
        <f t="shared" si="29"/>
        <v>293600</v>
      </c>
      <c r="J105" s="220">
        <f t="shared" si="29"/>
        <v>6750000</v>
      </c>
      <c r="K105" s="220">
        <f t="shared" si="29"/>
        <v>1000000</v>
      </c>
      <c r="L105" s="220">
        <f t="shared" si="29"/>
        <v>0</v>
      </c>
      <c r="M105" s="220">
        <f t="shared" si="29"/>
        <v>0</v>
      </c>
      <c r="N105" s="220">
        <f t="shared" si="29"/>
        <v>0</v>
      </c>
      <c r="O105" s="220">
        <f t="shared" si="29"/>
        <v>0</v>
      </c>
      <c r="P105" s="220">
        <f t="shared" si="29"/>
        <v>0</v>
      </c>
      <c r="Q105" s="220">
        <f t="shared" si="29"/>
        <v>0</v>
      </c>
      <c r="R105" s="534">
        <f t="shared" si="29"/>
        <v>50004295</v>
      </c>
      <c r="S105" s="220">
        <f>S97+S104</f>
        <v>48604845</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48604845</v>
      </c>
      <c r="T107" s="234">
        <f>T105+T106</f>
        <v>0</v>
      </c>
    </row>
    <row r="108" spans="1:21" s="300" customFormat="1">
      <c r="A108" s="233" t="s">
        <v>943</v>
      </c>
      <c r="B108" s="228"/>
      <c r="C108" s="228"/>
      <c r="D108" s="228"/>
      <c r="E108" s="464">
        <f>Application!AO650</f>
        <v>33010695</v>
      </c>
      <c r="F108" s="464">
        <f>Application!AO637</f>
        <v>6000000</v>
      </c>
      <c r="G108" s="464">
        <f>Application!AO638</f>
        <v>2300000</v>
      </c>
      <c r="H108" s="464">
        <f>Application!AO639</f>
        <v>650000</v>
      </c>
      <c r="I108" s="464">
        <f>Application!AO640</f>
        <v>293600</v>
      </c>
      <c r="J108" s="464">
        <f>Application!AO641</f>
        <v>6750000</v>
      </c>
      <c r="K108" s="464">
        <f>Application!AO642</f>
        <v>1000000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0" t="s">
        <v>1094</v>
      </c>
      <c r="E122" s="2570"/>
      <c r="F122" s="2570"/>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3" t="s">
        <v>1437</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1096</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1097</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308</v>
      </c>
      <c r="B129" s="523"/>
      <c r="C129" s="513"/>
      <c r="D129" s="2569" t="s">
        <v>1101</v>
      </c>
      <c r="E129" s="2569"/>
      <c r="F129" s="2569"/>
      <c r="G129" s="2569"/>
      <c r="H129" s="2569"/>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1.95" customHeight="1">
      <c r="A132" s="527"/>
      <c r="B132" s="513"/>
      <c r="C132" s="513"/>
      <c r="D132" s="2575" t="s">
        <v>1104</v>
      </c>
      <c r="E132" s="2575"/>
      <c r="F132" s="2575"/>
      <c r="G132" s="2575"/>
      <c r="H132" s="2575"/>
      <c r="I132" s="513"/>
      <c r="J132" s="2575" t="s">
        <v>1105</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1108</v>
      </c>
      <c r="B139" s="2572"/>
      <c r="C139" s="2572"/>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650000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650000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3200000</v>
      </c>
      <c r="C10" s="566"/>
      <c r="D10" s="566"/>
      <c r="E10" s="565">
        <f>'Sources and Uses Budget'!S10</f>
        <v>3200000</v>
      </c>
      <c r="F10" s="566"/>
      <c r="G10" s="566"/>
      <c r="H10" s="565">
        <f>'Sources and Uses Budget'!T10</f>
        <v>0</v>
      </c>
      <c r="I10" s="566"/>
      <c r="J10" s="566"/>
      <c r="K10" s="563"/>
    </row>
    <row r="11" spans="1:11" s="564" customFormat="1">
      <c r="A11" s="569" t="s">
        <v>630</v>
      </c>
      <c r="B11" s="565">
        <f>'Sources and Uses Budget'!C11</f>
        <v>3200000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3850000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2025000</v>
      </c>
      <c r="C29" s="566"/>
      <c r="D29" s="566"/>
      <c r="E29" s="565">
        <f>'Sources and Uses Budget'!S29</f>
        <v>2025000</v>
      </c>
      <c r="F29" s="566"/>
      <c r="G29" s="566"/>
      <c r="H29" s="565">
        <f>'Sources and Uses Budget'!T29</f>
        <v>0</v>
      </c>
      <c r="I29" s="566"/>
      <c r="J29" s="566"/>
      <c r="K29" s="563"/>
    </row>
    <row r="30" spans="1:11" s="564" customFormat="1">
      <c r="A30" s="215" t="s">
        <v>633</v>
      </c>
      <c r="B30" s="565">
        <f>'Sources and Uses Budget'!C30</f>
        <v>27606900</v>
      </c>
      <c r="C30" s="566"/>
      <c r="D30" s="566"/>
      <c r="E30" s="565">
        <f>'Sources and Uses Budget'!S30</f>
        <v>27606900</v>
      </c>
      <c r="F30" s="566"/>
      <c r="G30" s="566"/>
      <c r="H30" s="565">
        <f>'Sources and Uses Budget'!T30</f>
        <v>0</v>
      </c>
      <c r="I30" s="566"/>
      <c r="J30" s="566"/>
      <c r="K30" s="563"/>
    </row>
    <row r="31" spans="1:11" s="564" customFormat="1">
      <c r="A31" s="215" t="s">
        <v>634</v>
      </c>
      <c r="B31" s="565">
        <f>'Sources and Uses Budget'!C31</f>
        <v>1969914</v>
      </c>
      <c r="C31" s="566"/>
      <c r="D31" s="566"/>
      <c r="E31" s="565">
        <f>'Sources and Uses Budget'!S31</f>
        <v>1969914</v>
      </c>
      <c r="F31" s="566"/>
      <c r="G31" s="566"/>
      <c r="H31" s="565">
        <f>'Sources and Uses Budget'!T31</f>
        <v>0</v>
      </c>
      <c r="I31" s="566"/>
      <c r="J31" s="566"/>
      <c r="K31" s="563"/>
    </row>
    <row r="32" spans="1:11" s="564" customFormat="1">
      <c r="A32" s="215" t="s">
        <v>142</v>
      </c>
      <c r="B32" s="565">
        <f>'Sources and Uses Budget'!C32</f>
        <v>696036</v>
      </c>
      <c r="C32" s="566"/>
      <c r="D32" s="566"/>
      <c r="E32" s="565">
        <f>'Sources and Uses Budget'!S32</f>
        <v>696036</v>
      </c>
      <c r="F32" s="566"/>
      <c r="G32" s="566"/>
      <c r="H32" s="565">
        <f>'Sources and Uses Budget'!T32</f>
        <v>0</v>
      </c>
      <c r="I32" s="566"/>
      <c r="J32" s="566"/>
      <c r="K32" s="563"/>
    </row>
    <row r="33" spans="1:11" s="564" customFormat="1">
      <c r="A33" s="215" t="s">
        <v>143</v>
      </c>
      <c r="B33" s="565">
        <f>'Sources and Uses Budget'!C33</f>
        <v>2088109</v>
      </c>
      <c r="C33" s="566"/>
      <c r="D33" s="566"/>
      <c r="E33" s="565">
        <f>'Sources and Uses Budget'!S33</f>
        <v>2088109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325000</v>
      </c>
      <c r="C35" s="566"/>
      <c r="D35" s="566"/>
      <c r="E35" s="565">
        <f>'Sources and Uses Budget'!S35</f>
        <v>325000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34710959</v>
      </c>
      <c r="C38" s="565">
        <f>SUM(C29:C37)</f>
        <v>0</v>
      </c>
      <c r="D38" s="565">
        <f>SUM(D29:D37)</f>
        <v>0</v>
      </c>
      <c r="E38" s="565">
        <f>'Sources and Uses Budget'!S38</f>
        <v>34710959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500000</v>
      </c>
      <c r="C40" s="566"/>
      <c r="D40" s="566"/>
      <c r="E40" s="565">
        <f>'Sources and Uses Budget'!S40</f>
        <v>500000</v>
      </c>
      <c r="F40" s="566"/>
      <c r="G40" s="566"/>
      <c r="H40" s="565">
        <f>'Sources and Uses Budget'!T40</f>
        <v>0</v>
      </c>
      <c r="I40" s="566"/>
      <c r="J40" s="566"/>
      <c r="K40" s="563"/>
    </row>
    <row r="41" spans="1:11" s="564" customFormat="1">
      <c r="A41" s="568" t="s">
        <v>151</v>
      </c>
      <c r="B41" s="565">
        <f>'Sources and Uses Budget'!C41</f>
        <v>100000</v>
      </c>
      <c r="C41" s="566"/>
      <c r="D41" s="566"/>
      <c r="E41" s="565">
        <f>'Sources and Uses Budget'!S41</f>
        <v>100000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0</v>
      </c>
      <c r="E42" s="565">
        <f>'Sources and Uses Budget'!S42</f>
        <v>600000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195000</v>
      </c>
      <c r="C43" s="566"/>
      <c r="D43" s="566"/>
      <c r="E43" s="565">
        <f>'Sources and Uses Budget'!S43</f>
        <v>195000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1140000</v>
      </c>
      <c r="C45" s="566"/>
      <c r="D45" s="566"/>
      <c r="E45" s="565">
        <f>'Sources and Uses Budget'!S45</f>
        <v>1140000</v>
      </c>
      <c r="F45" s="566"/>
      <c r="G45" s="566"/>
      <c r="H45" s="565">
        <f>'Sources and Uses Budget'!T45</f>
        <v>0</v>
      </c>
      <c r="I45" s="566"/>
      <c r="J45" s="566"/>
      <c r="K45" s="563"/>
    </row>
    <row r="46" spans="1:11" s="564" customFormat="1">
      <c r="A46" s="568" t="s">
        <v>156</v>
      </c>
      <c r="B46" s="565">
        <f>'Sources and Uses Budget'!C46</f>
        <v>260000</v>
      </c>
      <c r="C46" s="566"/>
      <c r="D46" s="566"/>
      <c r="E46" s="565">
        <f>'Sources and Uses Budget'!S46</f>
        <v>260000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271800</v>
      </c>
      <c r="C52" s="566"/>
      <c r="D52" s="566"/>
      <c r="E52" s="565">
        <f>'Sources and Uses Budget'!S52</f>
        <v>271800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2121800</v>
      </c>
      <c r="C54" s="572">
        <f>SUM(C45:C53)</f>
        <v>0</v>
      </c>
      <c r="D54" s="572">
        <f>SUM(D45:D53)</f>
        <v>0</v>
      </c>
      <c r="E54" s="565">
        <f>'Sources and Uses Budget'!S54</f>
        <v>2121800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30000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80000</v>
      </c>
      <c r="C61" s="566"/>
      <c r="D61" s="566"/>
      <c r="E61" s="567"/>
      <c r="F61" s="567"/>
      <c r="G61" s="567"/>
      <c r="H61" s="567"/>
      <c r="I61" s="567"/>
      <c r="J61" s="567"/>
      <c r="K61" s="563"/>
    </row>
    <row r="62" spans="1:11" s="564" customFormat="1" ht="13.7" customHeight="1">
      <c r="A62" s="569" t="s">
        <v>309</v>
      </c>
      <c r="B62" s="565">
        <f>'Sources and Uses Budget'!C62</f>
        <v>160000</v>
      </c>
      <c r="C62" s="565">
        <f>SUM(C56:C61)</f>
        <v>0</v>
      </c>
      <c r="D62" s="565">
        <f>SUM(D56:D61)</f>
        <v>0</v>
      </c>
      <c r="E62" s="567"/>
      <c r="F62" s="567"/>
      <c r="G62" s="567"/>
      <c r="H62" s="567"/>
      <c r="I62" s="567"/>
      <c r="J62" s="567"/>
      <c r="K62" s="563"/>
    </row>
    <row r="63" spans="1:11" s="564" customFormat="1">
      <c r="A63" s="576" t="s">
        <v>310</v>
      </c>
      <c r="B63" s="565">
        <f>'Sources and Uses Budget'!C63</f>
        <v>41637759</v>
      </c>
      <c r="C63" s="565">
        <f>SUM(C8+C11+C13+C14+C15+C26+C27+C38+C42+C43+C54+C62)</f>
        <v>0</v>
      </c>
      <c r="D63" s="565">
        <f>SUM(D8+D11+D13+D14+D15+D26+D27+D38+D42+D43+D54+D62)</f>
        <v>0</v>
      </c>
      <c r="E63" s="565">
        <f>'Sources and Uses Budget'!S63</f>
        <v>40827759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196955</v>
      </c>
      <c r="C75" s="566"/>
      <c r="D75" s="566"/>
      <c r="E75" s="567"/>
      <c r="F75" s="567"/>
      <c r="G75" s="567"/>
      <c r="H75" s="567"/>
      <c r="I75" s="567"/>
      <c r="J75" s="567"/>
      <c r="K75" s="563"/>
    </row>
    <row r="76" spans="1:11" s="564" customFormat="1">
      <c r="A76" s="571" t="str">
        <f>'Sources and Uses Budget'!$A76</f>
        <v>Post Construction Interest</v>
      </c>
      <c r="B76" s="565">
        <f>'Sources and Uses Budget'!C76</f>
        <v>200000</v>
      </c>
      <c r="C76" s="566"/>
      <c r="D76" s="566"/>
      <c r="E76" s="567"/>
      <c r="F76" s="567"/>
      <c r="G76" s="567"/>
      <c r="H76" s="567"/>
      <c r="I76" s="567"/>
      <c r="J76" s="567"/>
      <c r="K76" s="563"/>
    </row>
    <row r="77" spans="1:11" s="564" customFormat="1">
      <c r="A77" s="569" t="s">
        <v>640</v>
      </c>
      <c r="B77" s="565">
        <f>'Sources and Uses Budget'!C77</f>
        <v>396955</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2200000</v>
      </c>
      <c r="C79" s="566"/>
      <c r="D79" s="566"/>
      <c r="E79" s="565">
        <f>'Sources and Uses Budget'!S79</f>
        <v>2200000</v>
      </c>
      <c r="F79" s="566"/>
      <c r="G79" s="566"/>
      <c r="H79" s="565">
        <f>'Sources and Uses Budget'!T79</f>
        <v>0</v>
      </c>
      <c r="I79" s="566"/>
      <c r="J79" s="566"/>
      <c r="K79" s="563"/>
    </row>
    <row r="80" spans="1:11" s="564" customFormat="1">
      <c r="A80" s="568" t="s">
        <v>61</v>
      </c>
      <c r="B80" s="565">
        <f>'Sources and Uses Budget'!C80</f>
        <v>400000</v>
      </c>
      <c r="C80" s="566"/>
      <c r="D80" s="566"/>
      <c r="E80" s="565">
        <f>'Sources and Uses Budget'!S80</f>
        <v>400000</v>
      </c>
      <c r="F80" s="566"/>
      <c r="G80" s="566"/>
      <c r="H80" s="565">
        <f>'Sources and Uses Budget'!T80</f>
        <v>0</v>
      </c>
      <c r="I80" s="566"/>
      <c r="J80" s="566"/>
      <c r="K80" s="563"/>
    </row>
    <row r="81" spans="1:11" s="564" customFormat="1">
      <c r="A81" s="569" t="s">
        <v>1417</v>
      </c>
      <c r="B81" s="565">
        <f>'Sources and Uses Budget'!C81</f>
        <v>2600000</v>
      </c>
      <c r="C81" s="565">
        <f>SUM(C79:C80)</f>
        <v>0</v>
      </c>
      <c r="D81" s="565">
        <f>SUM(D79:D80)</f>
        <v>0</v>
      </c>
      <c r="E81" s="565">
        <f>'Sources and Uses Budget'!S81</f>
        <v>2600000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60075</v>
      </c>
      <c r="C83" s="566"/>
      <c r="D83" s="566"/>
      <c r="E83" s="567"/>
      <c r="F83" s="567"/>
      <c r="G83" s="567"/>
      <c r="H83" s="567"/>
      <c r="I83" s="567"/>
      <c r="J83" s="567"/>
      <c r="K83" s="563"/>
    </row>
    <row r="84" spans="1:11" s="564" customFormat="1">
      <c r="A84" s="215" t="s">
        <v>824</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825</v>
      </c>
      <c r="B85" s="565">
        <f>'Sources and Uses Budget'!C85</f>
        <v>1182086</v>
      </c>
      <c r="C85" s="566"/>
      <c r="D85" s="566"/>
      <c r="E85" s="565">
        <f>'Sources and Uses Budget'!S85</f>
        <v>1182086</v>
      </c>
      <c r="F85" s="566"/>
      <c r="G85" s="566"/>
      <c r="H85" s="565">
        <f>'Sources and Uses Budget'!T85</f>
        <v>0</v>
      </c>
      <c r="I85" s="566"/>
      <c r="J85" s="566"/>
      <c r="K85" s="563"/>
    </row>
    <row r="86" spans="1:11" s="564" customFormat="1">
      <c r="A86" s="215" t="s">
        <v>826</v>
      </c>
      <c r="B86" s="565">
        <f>'Sources and Uses Budget'!C86</f>
        <v>300000</v>
      </c>
      <c r="C86" s="566"/>
      <c r="D86" s="566"/>
      <c r="E86" s="565">
        <f>'Sources and Uses Budget'!S86</f>
        <v>300000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132420</v>
      </c>
      <c r="C88" s="566"/>
      <c r="D88" s="566"/>
      <c r="E88" s="567"/>
      <c r="F88" s="567"/>
      <c r="G88" s="567"/>
      <c r="H88" s="567"/>
      <c r="I88" s="567"/>
      <c r="J88" s="567"/>
      <c r="K88" s="563"/>
    </row>
    <row r="89" spans="1:11" s="564" customFormat="1">
      <c r="A89" s="215" t="s">
        <v>829</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8" t="s">
        <v>1419</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1769581</v>
      </c>
      <c r="C96" s="565">
        <f>SUM(C83:C95)</f>
        <v>0</v>
      </c>
      <c r="D96" s="565">
        <f>SUM(D83:D95)</f>
        <v>0</v>
      </c>
      <c r="E96" s="565">
        <f>'Sources and Uses Budget'!S96</f>
        <v>1577086</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46504295</v>
      </c>
      <c r="C97" s="565">
        <f>SUM(C63+C70+C77+C81+C96)</f>
        <v>0</v>
      </c>
      <c r="D97" s="565">
        <f>SUM(D63+D70+D77+D81+D96)</f>
        <v>0</v>
      </c>
      <c r="E97" s="565">
        <f>'Sources and Uses Budget'!S97</f>
        <v>45104845</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c r="D99" s="566"/>
      <c r="E99" s="565">
        <f>'Sources and Uses Budget'!S99</f>
        <v>3500000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50004295</v>
      </c>
      <c r="C105" s="572">
        <f>SUM(C97+C104)</f>
        <v>0</v>
      </c>
      <c r="D105" s="572">
        <f>SUM(D97+D104)</f>
        <v>0</v>
      </c>
      <c r="E105" s="565">
        <f>'Sources and Uses Budget'!S105</f>
        <v>48604845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48604845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9" t="s">
        <v>2031</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2032</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5" t="str">
        <f>IF(Application!H18="","",Application!H18)</f>
        <v>The Parcel Phase I</v>
      </c>
      <c r="M4" s="2976"/>
      <c r="N4" s="2976"/>
      <c r="O4" s="2976"/>
      <c r="P4" s="2976"/>
      <c r="Q4" s="2976"/>
      <c r="R4" s="2976"/>
      <c r="S4" s="2976"/>
      <c r="T4" s="2976"/>
      <c r="U4" s="2976"/>
      <c r="V4" s="2976"/>
      <c r="W4" s="2976"/>
      <c r="X4" s="2976"/>
      <c r="Y4" s="2976"/>
      <c r="Z4" s="2976"/>
      <c r="AA4" s="2976"/>
      <c r="AB4" s="2976"/>
      <c r="AC4" s="2977"/>
      <c r="AD4" s="1529"/>
      <c r="AE4" s="1529"/>
      <c r="AF4" s="2680" t="s">
        <v>2033</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2034</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4" t="str">
        <f>IF(Application!H16="","",Application!H16)</f>
        <v>Central Valley Coalition for Affordable Housing, a California Nonprofit Public Benefit Corporation</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960" t="e">
        <f>VLOOKUP("CalHFA Permanent Loan",Application!C564:AS575,37,TRUE)</f>
        <v>#N/A</v>
      </c>
      <c r="O10" s="2961"/>
      <c r="P10" s="2961"/>
      <c r="Q10" s="2961"/>
      <c r="R10" s="2961"/>
      <c r="S10" s="2961"/>
      <c r="T10" s="2962"/>
      <c r="U10" s="1529"/>
      <c r="V10" s="1529"/>
      <c r="W10" s="1529"/>
      <c r="X10" s="2682" t="s">
        <v>2039</v>
      </c>
      <c r="Y10" s="2683"/>
      <c r="Z10" s="2683"/>
      <c r="AA10" s="2683"/>
      <c r="AB10" s="2683"/>
      <c r="AC10" s="2683"/>
      <c r="AD10" s="2683"/>
      <c r="AE10" s="2683"/>
      <c r="AF10" s="2683"/>
      <c r="AG10" s="2683"/>
      <c r="AH10" s="2683"/>
      <c r="AI10" s="2683"/>
      <c r="AJ10" s="2683"/>
      <c r="AK10" s="2684"/>
      <c r="AL10" s="2982">
        <f>Application!W471</f>
        <v>13</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2041</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2042</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4.55" thickBot="1">
      <c r="A13" s="1818"/>
      <c r="B13" s="2682" t="s">
        <v>2043</v>
      </c>
      <c r="C13" s="2683"/>
      <c r="D13" s="2683"/>
      <c r="E13" s="2683"/>
      <c r="F13" s="2683"/>
      <c r="G13" s="2683"/>
      <c r="H13" s="2683"/>
      <c r="I13" s="2683"/>
      <c r="J13" s="2683"/>
      <c r="K13" s="2683"/>
      <c r="L13" s="2683"/>
      <c r="M13" s="2683"/>
      <c r="N13" s="2683"/>
      <c r="O13" s="2683"/>
      <c r="P13" s="2684"/>
      <c r="Q13" s="2947" t="s">
        <v>2037</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0" t="s">
        <v>2044</v>
      </c>
      <c r="C15" s="2950"/>
      <c r="D15" s="2950"/>
      <c r="E15" s="2950"/>
      <c r="F15" s="2950"/>
      <c r="G15" s="2950"/>
      <c r="H15" s="2950"/>
      <c r="I15" s="2950"/>
      <c r="J15" s="2950"/>
      <c r="K15" s="2950"/>
      <c r="L15" s="2951"/>
      <c r="M15" s="2680" t="s">
        <v>2045</v>
      </c>
      <c r="N15" s="2681"/>
      <c r="O15" s="2681"/>
      <c r="P15" s="2681"/>
      <c r="Q15" s="2681"/>
      <c r="R15" s="2681"/>
      <c r="S15" s="2952" t="str">
        <f>IF(Application!AB214="","",Application!AB214)</f>
        <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1" t="s">
        <v>2046</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2047</v>
      </c>
      <c r="C18" s="2944"/>
      <c r="D18" s="2944"/>
      <c r="E18" s="2944"/>
      <c r="F18" s="2944"/>
      <c r="G18" s="2944"/>
      <c r="H18" s="2944"/>
      <c r="I18" s="2945"/>
      <c r="J18" s="2929" t="s">
        <v>1879</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2048</v>
      </c>
      <c r="AU18" s="2930"/>
      <c r="AV18" s="2930"/>
      <c r="AW18" s="2930"/>
      <c r="AX18" s="2930"/>
      <c r="AY18" s="2946"/>
      <c r="AZ18" s="1529"/>
      <c r="BA18" s="1529"/>
      <c r="BB18" s="1529"/>
      <c r="BC18" s="1529"/>
      <c r="BD18" s="1529"/>
      <c r="BE18" s="1535"/>
    </row>
    <row r="19" spans="1:58" ht="14">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05" customHeight="1">
      <c r="A20" s="1818"/>
      <c r="B20" s="2941">
        <v>0.3</v>
      </c>
      <c r="C20" s="2942"/>
      <c r="D20" s="2942"/>
      <c r="E20" s="2942"/>
      <c r="F20" s="2942"/>
      <c r="G20" s="2942"/>
      <c r="H20" s="2942"/>
      <c r="I20" s="2942"/>
      <c r="J20" s="2929">
        <f t="shared" ref="J20:J27" si="1">SUM(P20:AS20)</f>
        <v>8</v>
      </c>
      <c r="K20" s="2930"/>
      <c r="L20" s="2930"/>
      <c r="M20" s="2930"/>
      <c r="N20" s="2930"/>
      <c r="O20" s="2931"/>
      <c r="P20" s="2935" cm="1">
        <f t="array" ref="P20">SUMPRODUCT((Application!$B$728:$B$752 = 'CalHFA Addendum'!P$18)*(Application!$AH$728:$AH$752 = 'CalHFA Addendum'!$B20),Application!$G$728:$G$752)</f>
        <v>4</v>
      </c>
      <c r="Q20" s="2936"/>
      <c r="R20" s="2936"/>
      <c r="S20" s="2936"/>
      <c r="T20" s="2936"/>
      <c r="U20" s="2937"/>
      <c r="V20" s="2935" cm="1">
        <f t="array" ref="V20">SUMPRODUCT((Application!$B$728:$B$752 = 'CalHFA Addendum'!V$18)*(Application!$AH$728:$AH$752 = 'CalHFA Addendum'!$B20),Application!$G$728:$G$752)</f>
        <v>2</v>
      </c>
      <c r="W20" s="2936"/>
      <c r="X20" s="2936"/>
      <c r="Y20" s="2936"/>
      <c r="Z20" s="2936"/>
      <c r="AA20" s="2937"/>
      <c r="AB20" s="2935" cm="1">
        <f t="array" ref="AB20">SUMPRODUCT((Application!$B$728:$B$752 = 'CalHFA Addendum'!AB$18)*(Application!$AH$728:$AH$752 = 'CalHFA Addendum'!$B20),Application!$G$728:$G$752)</f>
        <v>1</v>
      </c>
      <c r="AC20" s="2936"/>
      <c r="AD20" s="2936"/>
      <c r="AE20" s="2936"/>
      <c r="AF20" s="2936"/>
      <c r="AG20" s="2937"/>
      <c r="AH20" s="2935" cm="1">
        <f t="array" ref="AH20">SUMPRODUCT((Application!$B$728:$B$752 = 'CalHFA Addendum'!AH$18)*(Application!$AH$728:$AH$752 = 'CalHFA Addendum'!$B20),Application!$G$728:$G$752)</f>
        <v>1</v>
      </c>
      <c r="AI20" s="2936"/>
      <c r="AJ20" s="2936"/>
      <c r="AK20" s="2936"/>
      <c r="AL20" s="2936"/>
      <c r="AM20" s="2937"/>
      <c r="AN20" s="2935" cm="1">
        <f t="array" ref="AN20">SUMPRODUCT((Application!$B$728:$B$752 = 'CalHFA Addendum'!AN$18)*(Application!$AH$728:$AH$752 = 'CalHFA Addendum'!$B20),Application!$G$728:$G$752)</f>
        <v>0</v>
      </c>
      <c r="AO20" s="2936"/>
      <c r="AP20" s="2936"/>
      <c r="AQ20" s="2936"/>
      <c r="AR20" s="2936"/>
      <c r="AS20" s="2937"/>
      <c r="AT20" s="2938">
        <f t="shared" si="0"/>
        <v>9.8765432098765427E-2</v>
      </c>
      <c r="AU20" s="2939"/>
      <c r="AV20" s="2939"/>
      <c r="AW20" s="2939"/>
      <c r="AX20" s="2939"/>
      <c r="AY20" s="2940"/>
      <c r="AZ20" s="1529"/>
      <c r="BA20" s="1529"/>
      <c r="BB20" s="1529"/>
      <c r="BC20" s="1529"/>
      <c r="BD20" s="1529"/>
      <c r="BE20" s="1535"/>
    </row>
    <row r="21" spans="1:58" ht="14">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4">
      <c r="A22" s="1818"/>
      <c r="B22" s="2941">
        <v>0.5</v>
      </c>
      <c r="C22" s="2942"/>
      <c r="D22" s="2942"/>
      <c r="E22" s="2942"/>
      <c r="F22" s="2942"/>
      <c r="G22" s="2942"/>
      <c r="H22" s="2942"/>
      <c r="I22" s="2942"/>
      <c r="J22" s="2929">
        <f t="shared" si="1"/>
        <v>8</v>
      </c>
      <c r="K22" s="2930"/>
      <c r="L22" s="2930"/>
      <c r="M22" s="2930"/>
      <c r="N22" s="2930"/>
      <c r="O22" s="2931"/>
      <c r="P22" s="2935" cm="1">
        <f t="array" ref="P22">SUMPRODUCT((Application!$B$728:$B$752 = 'CalHFA Addendum'!P$18)*(Application!$AH$728:$AH$752 = 'CalHFA Addendum'!$B22),Application!$G$728:$G$752)</f>
        <v>1</v>
      </c>
      <c r="Q22" s="2936"/>
      <c r="R22" s="2936"/>
      <c r="S22" s="2936"/>
      <c r="T22" s="2936"/>
      <c r="U22" s="2937"/>
      <c r="V22" s="2935" cm="1">
        <f t="array" ref="V22">SUMPRODUCT((Application!$B$728:$B$752 = 'CalHFA Addendum'!V$18)*(Application!$AH$728:$AH$752 = 'CalHFA Addendum'!$B22),Application!$G$728:$G$752)</f>
        <v>2</v>
      </c>
      <c r="W22" s="2936"/>
      <c r="X22" s="2936"/>
      <c r="Y22" s="2936"/>
      <c r="Z22" s="2936"/>
      <c r="AA22" s="2937"/>
      <c r="AB22" s="2935" cm="1">
        <f t="array" ref="AB22">SUMPRODUCT((Application!$B$728:$B$752 = 'CalHFA Addendum'!AB$18)*(Application!$AH$728:$AH$752 = 'CalHFA Addendum'!$B22),Application!$G$728:$G$752)</f>
        <v>2</v>
      </c>
      <c r="AC22" s="2936"/>
      <c r="AD22" s="2936"/>
      <c r="AE22" s="2936"/>
      <c r="AF22" s="2936"/>
      <c r="AG22" s="2937"/>
      <c r="AH22" s="2935" cm="1">
        <f t="array" ref="AH22">SUMPRODUCT((Application!$B$728:$B$752 = 'CalHFA Addendum'!AH$18)*(Application!$AH$728:$AH$752 = 'CalHFA Addendum'!$B22),Application!$G$728:$G$752)</f>
        <v>3</v>
      </c>
      <c r="AI22" s="2936"/>
      <c r="AJ22" s="2936"/>
      <c r="AK22" s="2936"/>
      <c r="AL22" s="2936"/>
      <c r="AM22" s="2937"/>
      <c r="AN22" s="2935" cm="1">
        <f t="array" ref="AN22">SUMPRODUCT((Application!$B$728:$B$752 = 'CalHFA Addendum'!AN$18)*(Application!$AH$728:$AH$752 = 'CalHFA Addendum'!$B22),Application!$G$728:$G$752)</f>
        <v>0</v>
      </c>
      <c r="AO22" s="2936"/>
      <c r="AP22" s="2936"/>
      <c r="AQ22" s="2936"/>
      <c r="AR22" s="2936"/>
      <c r="AS22" s="2937"/>
      <c r="AT22" s="2938">
        <f t="shared" si="0"/>
        <v>9.8765432098765427E-2</v>
      </c>
      <c r="AU22" s="2939"/>
      <c r="AV22" s="2939"/>
      <c r="AW22" s="2939"/>
      <c r="AX22" s="2939"/>
      <c r="AY22" s="2940"/>
      <c r="AZ22" s="1529"/>
      <c r="BA22" s="1529"/>
      <c r="BB22" s="1529"/>
      <c r="BC22" s="1529"/>
      <c r="BD22" s="1529"/>
      <c r="BE22" s="1535"/>
    </row>
    <row r="23" spans="1:58" ht="14">
      <c r="A23" s="1818"/>
      <c r="B23" s="2941">
        <v>0.6</v>
      </c>
      <c r="C23" s="2942"/>
      <c r="D23" s="2942"/>
      <c r="E23" s="2942"/>
      <c r="F23" s="2942"/>
      <c r="G23" s="2942"/>
      <c r="H23" s="2942"/>
      <c r="I23" s="2942"/>
      <c r="J23" s="2929">
        <f t="shared" si="1"/>
        <v>48</v>
      </c>
      <c r="K23" s="2930"/>
      <c r="L23" s="2930"/>
      <c r="M23" s="2930"/>
      <c r="N23" s="2930"/>
      <c r="O23" s="2931"/>
      <c r="P23" s="2935" cm="1">
        <f t="array" ref="P23">SUMPRODUCT((Application!$B$728:$B$752 = 'CalHFA Addendum'!P$18)*(Application!$AH$728:$AH$752 = 'CalHFA Addendum'!$B23),Application!$G$728:$G$752)</f>
        <v>12</v>
      </c>
      <c r="Q23" s="2936"/>
      <c r="R23" s="2936"/>
      <c r="S23" s="2936"/>
      <c r="T23" s="2936"/>
      <c r="U23" s="2937"/>
      <c r="V23" s="2935" cm="1">
        <f t="array" ref="V23">SUMPRODUCT((Application!$B$728:$B$752 = 'CalHFA Addendum'!V$18)*(Application!$AH$728:$AH$752 = 'CalHFA Addendum'!$B23),Application!$G$728:$G$752)</f>
        <v>12</v>
      </c>
      <c r="W23" s="2936"/>
      <c r="X23" s="2936"/>
      <c r="Y23" s="2936"/>
      <c r="Z23" s="2936"/>
      <c r="AA23" s="2937"/>
      <c r="AB23" s="2935" cm="1">
        <f t="array" ref="AB23">SUMPRODUCT((Application!$B$728:$B$752 = 'CalHFA Addendum'!AB$18)*(Application!$AH$728:$AH$752 = 'CalHFA Addendum'!$B23),Application!$G$728:$G$752)</f>
        <v>12</v>
      </c>
      <c r="AC23" s="2936"/>
      <c r="AD23" s="2936"/>
      <c r="AE23" s="2936"/>
      <c r="AF23" s="2936"/>
      <c r="AG23" s="2937"/>
      <c r="AH23" s="2935" cm="1">
        <f t="array" ref="AH23">SUMPRODUCT((Application!$B$728:$B$752 = 'CalHFA Addendum'!AH$18)*(Application!$AH$728:$AH$752 = 'CalHFA Addendum'!$B23),Application!$G$728:$G$752)</f>
        <v>12</v>
      </c>
      <c r="AI23" s="2936"/>
      <c r="AJ23" s="2936"/>
      <c r="AK23" s="2936"/>
      <c r="AL23" s="2936"/>
      <c r="AM23" s="2937"/>
      <c r="AN23" s="2935" cm="1">
        <f t="array" ref="AN23">SUMPRODUCT((Application!$B$728:$B$752 = 'CalHFA Addendum'!AN$18)*(Application!$AH$728:$AH$752 = 'CalHFA Addendum'!$B23),Application!$G$728:$G$752)</f>
        <v>0</v>
      </c>
      <c r="AO23" s="2936"/>
      <c r="AP23" s="2936"/>
      <c r="AQ23" s="2936"/>
      <c r="AR23" s="2936"/>
      <c r="AS23" s="2937"/>
      <c r="AT23" s="2938">
        <f t="shared" si="0"/>
        <v>0.59259259259259256</v>
      </c>
      <c r="AU23" s="2939"/>
      <c r="AV23" s="2939"/>
      <c r="AW23" s="2939"/>
      <c r="AX23" s="2939"/>
      <c r="AY23" s="2940"/>
      <c r="AZ23" s="1529"/>
      <c r="BA23" s="1529"/>
      <c r="BB23" s="1529"/>
      <c r="BC23" s="1529"/>
      <c r="BD23" s="1529"/>
      <c r="BE23" s="1535"/>
    </row>
    <row r="24" spans="1:58" ht="14">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4">
      <c r="A25" s="1818"/>
      <c r="B25" s="2941">
        <v>0.8</v>
      </c>
      <c r="C25" s="2942"/>
      <c r="D25" s="2942"/>
      <c r="E25" s="2942"/>
      <c r="F25" s="2942"/>
      <c r="G25" s="2942"/>
      <c r="H25" s="2942"/>
      <c r="I25" s="2942"/>
      <c r="J25" s="2929">
        <f t="shared" si="1"/>
        <v>16</v>
      </c>
      <c r="K25" s="2930"/>
      <c r="L25" s="2930"/>
      <c r="M25" s="2930"/>
      <c r="N25" s="2930"/>
      <c r="O25" s="2931"/>
      <c r="P25" s="2935" cm="1">
        <f t="array" ref="P25">SUMPRODUCT((Application!$B$728:$B$752 = 'CalHFA Addendum'!P$18)*(Application!$AH$728:$AH$752 = 'CalHFA Addendum'!$B25),Application!$G$728:$G$752)</f>
        <v>4</v>
      </c>
      <c r="Q25" s="2936"/>
      <c r="R25" s="2936"/>
      <c r="S25" s="2936"/>
      <c r="T25" s="2936"/>
      <c r="U25" s="2937"/>
      <c r="V25" s="2935" cm="1">
        <f t="array" ref="V25">SUMPRODUCT((Application!$B$728:$B$752 = 'CalHFA Addendum'!V$18)*(Application!$AH$728:$AH$752 = 'CalHFA Addendum'!$B25),Application!$G$728:$G$752)</f>
        <v>2</v>
      </c>
      <c r="W25" s="2936"/>
      <c r="X25" s="2936"/>
      <c r="Y25" s="2936"/>
      <c r="Z25" s="2936"/>
      <c r="AA25" s="2937"/>
      <c r="AB25" s="2935" cm="1">
        <f t="array" ref="AB25">SUMPRODUCT((Application!$B$728:$B$752 = 'CalHFA Addendum'!AB$18)*(Application!$AH$728:$AH$752 = 'CalHFA Addendum'!$B25),Application!$G$728:$G$752)</f>
        <v>5</v>
      </c>
      <c r="AC25" s="2936"/>
      <c r="AD25" s="2936"/>
      <c r="AE25" s="2936"/>
      <c r="AF25" s="2936"/>
      <c r="AG25" s="2937"/>
      <c r="AH25" s="2935" cm="1">
        <f t="array" ref="AH25">SUMPRODUCT((Application!$B$728:$B$752 = 'CalHFA Addendum'!AH$18)*(Application!$AH$728:$AH$752 = 'CalHFA Addendum'!$B25),Application!$G$728:$G$752)</f>
        <v>5</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0.19753086419753085</v>
      </c>
      <c r="AU25" s="2939"/>
      <c r="AV25" s="2939"/>
      <c r="AW25" s="2939"/>
      <c r="AX25" s="2939"/>
      <c r="AY25" s="2940"/>
      <c r="AZ25" s="1529"/>
      <c r="BA25" s="1529"/>
      <c r="BB25" s="1529"/>
      <c r="BC25" s="1529"/>
      <c r="BD25" s="1529"/>
      <c r="BE25" s="1535"/>
    </row>
    <row r="26" spans="1:58" ht="14">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4">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4.55" thickBot="1">
      <c r="A28" s="1818"/>
      <c r="B28" s="2926" t="s">
        <v>2049</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1</v>
      </c>
      <c r="AC28" s="2933"/>
      <c r="AD28" s="2933"/>
      <c r="AE28" s="2933"/>
      <c r="AF28" s="2933"/>
      <c r="AG28" s="2934"/>
      <c r="AH28" s="2932">
        <f>_xlfn.IFNA(VLOOKUP(AH$18,Application!$J$772:$S$775,6,FALSE), 0)</f>
        <v>0</v>
      </c>
      <c r="AI28" s="2933"/>
      <c r="AJ28" s="2933"/>
      <c r="AK28" s="2933"/>
      <c r="AL28" s="2933"/>
      <c r="AM28" s="2934"/>
      <c r="AN28" s="2932">
        <f>_xlfn.IFNA(VLOOKUP(AN$18,Application!$J$772:$S$775,6,FALSE), 0)</f>
        <v>0</v>
      </c>
      <c r="AO28" s="2933"/>
      <c r="AP28" s="2933"/>
      <c r="AQ28" s="2933"/>
      <c r="AR28" s="2933"/>
      <c r="AS28" s="2934"/>
      <c r="AT28" s="2938">
        <f t="shared" ref="AT28" si="3">J28/$J$29</f>
        <v>1.2345679012345678E-2</v>
      </c>
      <c r="AU28" s="2939"/>
      <c r="AV28" s="2939"/>
      <c r="AW28" s="2939"/>
      <c r="AX28" s="2939"/>
      <c r="AY28" s="2940"/>
      <c r="AZ28" s="1529"/>
      <c r="BA28" s="1529"/>
      <c r="BB28" s="1529"/>
      <c r="BC28" s="1529"/>
      <c r="BD28" s="1529"/>
      <c r="BE28" s="1535"/>
    </row>
    <row r="29" spans="1:58" ht="14.55" thickBot="1">
      <c r="A29" s="1818"/>
      <c r="B29" s="2919" t="s">
        <v>1879</v>
      </c>
      <c r="C29" s="2920"/>
      <c r="D29" s="2920"/>
      <c r="E29" s="2920"/>
      <c r="F29" s="2920"/>
      <c r="G29" s="2920"/>
      <c r="H29" s="2920"/>
      <c r="I29" s="2921"/>
      <c r="J29" s="2922">
        <f>SUM(J19:O28)</f>
        <v>81</v>
      </c>
      <c r="K29" s="2920"/>
      <c r="L29" s="2920"/>
      <c r="M29" s="2920"/>
      <c r="N29" s="2920"/>
      <c r="O29" s="2921"/>
      <c r="P29" s="2922">
        <f>SUM(P19:U28)</f>
        <v>21</v>
      </c>
      <c r="Q29" s="2920"/>
      <c r="R29" s="2920"/>
      <c r="S29" s="2920"/>
      <c r="T29" s="2920"/>
      <c r="U29" s="2921"/>
      <c r="V29" s="2922">
        <f>SUM(V19:AA28)</f>
        <v>18</v>
      </c>
      <c r="W29" s="2920"/>
      <c r="X29" s="2920"/>
      <c r="Y29" s="2920"/>
      <c r="Z29" s="2920"/>
      <c r="AA29" s="2921"/>
      <c r="AB29" s="2922">
        <f>SUM(AB19:AG28)</f>
        <v>21</v>
      </c>
      <c r="AC29" s="2920"/>
      <c r="AD29" s="2920"/>
      <c r="AE29" s="2920"/>
      <c r="AF29" s="2920"/>
      <c r="AG29" s="2921"/>
      <c r="AH29" s="2922">
        <f>SUM(AH19:AM28)</f>
        <v>21</v>
      </c>
      <c r="AI29" s="2920"/>
      <c r="AJ29" s="2920"/>
      <c r="AK29" s="2920"/>
      <c r="AL29" s="2920"/>
      <c r="AM29" s="2921"/>
      <c r="AN29" s="2922">
        <f>SUM(AN19:AS28)</f>
        <v>0</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9" t="s">
        <v>2050</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4.55" thickBot="1">
      <c r="A32" s="1818"/>
      <c r="B32" s="2902" t="s">
        <v>2051</v>
      </c>
      <c r="C32" s="2903"/>
      <c r="D32" s="2903"/>
      <c r="E32" s="2903"/>
      <c r="F32" s="2903"/>
      <c r="G32" s="2903"/>
      <c r="H32" s="2903"/>
      <c r="I32" s="2904"/>
      <c r="J32" s="2906" t="s">
        <v>2052</v>
      </c>
      <c r="K32" s="2907"/>
      <c r="L32" s="2907"/>
      <c r="M32" s="2908"/>
      <c r="N32" s="2906" t="s">
        <v>2053</v>
      </c>
      <c r="O32" s="2907"/>
      <c r="P32" s="2907"/>
      <c r="Q32" s="2907"/>
      <c r="R32" s="2910" t="s">
        <v>2054</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05" customHeight="1">
      <c r="A33" s="1818"/>
      <c r="B33" s="2905"/>
      <c r="C33" s="2903"/>
      <c r="D33" s="2903"/>
      <c r="E33" s="2903"/>
      <c r="F33" s="2903"/>
      <c r="G33" s="2903"/>
      <c r="H33" s="2903"/>
      <c r="I33" s="2904"/>
      <c r="J33" s="2909"/>
      <c r="K33" s="2907"/>
      <c r="L33" s="2907"/>
      <c r="M33" s="2908"/>
      <c r="N33" s="2909"/>
      <c r="O33" s="2907"/>
      <c r="P33" s="2907"/>
      <c r="Q33" s="2907"/>
      <c r="R33" s="2913" t="s">
        <v>2055</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2056</v>
      </c>
      <c r="AP35" s="2886"/>
      <c r="AQ35" s="2886"/>
      <c r="AR35" s="2886"/>
      <c r="AS35" s="2886"/>
      <c r="AT35" s="2887"/>
      <c r="AU35" s="2885" t="s">
        <v>2057</v>
      </c>
      <c r="AV35" s="2886"/>
      <c r="AW35" s="2886"/>
      <c r="AX35" s="2886"/>
      <c r="AY35" s="2886"/>
      <c r="AZ35" s="2887"/>
      <c r="BA35" s="1536"/>
      <c r="BB35" s="1529"/>
      <c r="BC35" s="1529"/>
      <c r="BD35" s="1529"/>
      <c r="BE35" s="1535"/>
      <c r="BF35" s="1527"/>
    </row>
    <row r="36" spans="1:58" ht="15.75" customHeight="1">
      <c r="A36" s="1818"/>
      <c r="B36" s="2888" t="s">
        <v>2058</v>
      </c>
      <c r="C36" s="2889"/>
      <c r="D36" s="2889"/>
      <c r="E36" s="2889"/>
      <c r="F36" s="2889"/>
      <c r="G36" s="2889"/>
      <c r="H36" s="2889"/>
      <c r="I36" s="2890"/>
      <c r="J36" s="2891" t="s">
        <v>2059</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1.2222222222222223</v>
      </c>
      <c r="AV36" s="2857"/>
      <c r="AW36" s="2857"/>
      <c r="AX36" s="2857"/>
      <c r="AY36" s="2857"/>
      <c r="AZ36" s="2857"/>
      <c r="BA36" s="1529"/>
      <c r="BB36" s="1529"/>
      <c r="BC36" s="1529"/>
      <c r="BD36" s="1529"/>
      <c r="BE36" s="1535"/>
      <c r="BF36" s="1527"/>
    </row>
    <row r="37" spans="1:58" ht="15.75" customHeight="1">
      <c r="A37" s="1818"/>
      <c r="B37" s="2877" t="s">
        <v>2060</v>
      </c>
      <c r="C37" s="2878"/>
      <c r="D37" s="2878"/>
      <c r="E37" s="2878"/>
      <c r="F37" s="2878"/>
      <c r="G37" s="2878"/>
      <c r="H37" s="2878"/>
      <c r="I37" s="2879"/>
      <c r="J37" s="2880" t="s">
        <v>2061</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2062</v>
      </c>
      <c r="C38" s="2878"/>
      <c r="D38" s="2878"/>
      <c r="E38" s="2878"/>
      <c r="F38" s="2878"/>
      <c r="G38" s="2878"/>
      <c r="H38" s="2878"/>
      <c r="I38" s="2879"/>
      <c r="J38" s="2880" t="s">
        <v>2063</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2064</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2064</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2065</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2065</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2066</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2067</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2068</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2069</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2072</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2073</v>
      </c>
      <c r="C51" s="2847"/>
      <c r="D51" s="2847"/>
      <c r="E51" s="2847"/>
      <c r="F51" s="2847"/>
      <c r="G51" s="2847"/>
      <c r="H51" s="2847"/>
      <c r="I51" s="2848"/>
      <c r="J51" s="2846" t="s">
        <v>2074</v>
      </c>
      <c r="K51" s="2847"/>
      <c r="L51" s="2847"/>
      <c r="M51" s="2847"/>
      <c r="N51" s="2847"/>
      <c r="O51" s="2847"/>
      <c r="P51" s="2847"/>
      <c r="Q51" s="2848"/>
      <c r="R51" s="2849" t="s">
        <v>2075</v>
      </c>
      <c r="S51" s="2850"/>
      <c r="T51" s="2850"/>
      <c r="U51" s="2850"/>
      <c r="V51" s="2850"/>
      <c r="W51" s="2850"/>
      <c r="X51" s="2850"/>
      <c r="Y51" s="2851"/>
      <c r="Z51" s="2852" t="s">
        <v>2076</v>
      </c>
      <c r="AA51" s="2853"/>
      <c r="AB51" s="2853"/>
      <c r="AC51" s="2853"/>
      <c r="AD51" s="2853"/>
      <c r="AE51" s="2853"/>
      <c r="AF51" s="2853"/>
      <c r="AG51" s="2854"/>
      <c r="AH51" s="2852" t="s">
        <v>2077</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1879</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2073</v>
      </c>
      <c r="C59" s="2834"/>
      <c r="D59" s="2834"/>
      <c r="E59" s="2834"/>
      <c r="F59" s="2834"/>
      <c r="G59" s="2834"/>
      <c r="H59" s="2834"/>
      <c r="I59" s="2835"/>
      <c r="J59" s="2678" t="s">
        <v>2078</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2080</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2081</v>
      </c>
      <c r="AD68" s="2815"/>
      <c r="AE68" s="2815"/>
      <c r="AF68" s="2815"/>
      <c r="AG68" s="2815"/>
      <c r="AH68" s="2815"/>
      <c r="AI68" s="2815"/>
      <c r="AJ68" s="2815"/>
      <c r="AK68" s="2815"/>
      <c r="AL68" s="2815"/>
      <c r="AM68" s="2815"/>
      <c r="AN68" s="2815"/>
      <c r="AO68" s="2815"/>
      <c r="AP68" s="2815"/>
      <c r="AQ68" s="2815"/>
      <c r="AR68" s="2815"/>
      <c r="AS68" s="2815"/>
      <c r="AT68" s="2815"/>
      <c r="AU68" s="2815"/>
      <c r="AV68" s="2816" t="s">
        <v>2037</v>
      </c>
      <c r="AW68" s="2816"/>
      <c r="AX68" s="2816"/>
      <c r="AY68" s="2816"/>
      <c r="AZ68" s="2816"/>
      <c r="BA68" s="2816"/>
      <c r="BB68" s="2816"/>
      <c r="BC68" s="2817"/>
      <c r="BD68" s="1529"/>
      <c r="BE68" s="1535"/>
    </row>
    <row r="69" spans="1:57" ht="15.75" customHeight="1" thickBot="1">
      <c r="A69" s="1818"/>
      <c r="B69" s="2818" t="s">
        <v>2082</v>
      </c>
      <c r="C69" s="2819"/>
      <c r="D69" s="2819"/>
      <c r="E69" s="2819"/>
      <c r="F69" s="2819"/>
      <c r="G69" s="2819"/>
      <c r="H69" s="2819"/>
      <c r="I69" s="2819"/>
      <c r="J69" s="2819"/>
      <c r="K69" s="2819"/>
      <c r="L69" s="2819"/>
      <c r="M69" s="2819"/>
      <c r="N69" s="2819"/>
      <c r="O69" s="2757" t="s">
        <v>2083</v>
      </c>
      <c r="P69" s="2656"/>
      <c r="Q69" s="2656"/>
      <c r="R69" s="2656"/>
      <c r="S69" s="2656"/>
      <c r="T69" s="2656"/>
      <c r="U69" s="2656"/>
      <c r="V69" s="2656"/>
      <c r="W69" s="2656"/>
      <c r="X69" s="2656"/>
      <c r="Y69" s="2656"/>
      <c r="Z69" s="2656"/>
      <c r="AA69" s="2657"/>
      <c r="AB69" s="1529"/>
      <c r="AC69" s="2599" t="s">
        <v>2084</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2085</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2086</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2087</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2089</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2090</v>
      </c>
      <c r="J80" s="2773"/>
      <c r="K80" s="2773"/>
      <c r="L80" s="2773"/>
      <c r="M80" s="2773"/>
      <c r="N80" s="2774"/>
      <c r="O80" s="2772" t="s">
        <v>2091</v>
      </c>
      <c r="P80" s="2773"/>
      <c r="Q80" s="2773"/>
      <c r="R80" s="2773"/>
      <c r="S80" s="2773"/>
      <c r="T80" s="2773"/>
      <c r="U80" s="2774"/>
      <c r="V80" s="2772" t="s">
        <v>2092</v>
      </c>
      <c r="W80" s="2773"/>
      <c r="X80" s="2773"/>
      <c r="Y80" s="2773"/>
      <c r="Z80" s="2773"/>
      <c r="AA80" s="2774"/>
      <c r="AB80" s="2772" t="s">
        <v>2093</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2094</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2095</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2097</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2090</v>
      </c>
      <c r="J87" s="2773"/>
      <c r="K87" s="2773"/>
      <c r="L87" s="2773"/>
      <c r="M87" s="2773"/>
      <c r="N87" s="2774"/>
      <c r="O87" s="2772" t="s">
        <v>2091</v>
      </c>
      <c r="P87" s="2773"/>
      <c r="Q87" s="2773"/>
      <c r="R87" s="2773"/>
      <c r="S87" s="2773"/>
      <c r="T87" s="2773"/>
      <c r="U87" s="2774"/>
      <c r="V87" s="2772" t="s">
        <v>2092</v>
      </c>
      <c r="W87" s="2773"/>
      <c r="X87" s="2773"/>
      <c r="Y87" s="2773"/>
      <c r="Z87" s="2773"/>
      <c r="AA87" s="2774"/>
      <c r="AB87" s="2785" t="s">
        <v>2093</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2094</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2095</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2099</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2090</v>
      </c>
      <c r="J94" s="2773"/>
      <c r="K94" s="2773"/>
      <c r="L94" s="2773"/>
      <c r="M94" s="2773"/>
      <c r="N94" s="2774"/>
      <c r="O94" s="2772" t="s">
        <v>2091</v>
      </c>
      <c r="P94" s="2773"/>
      <c r="Q94" s="2773"/>
      <c r="R94" s="2773"/>
      <c r="S94" s="2773"/>
      <c r="T94" s="2773"/>
      <c r="U94" s="2774"/>
      <c r="V94" s="2772" t="s">
        <v>2092</v>
      </c>
      <c r="W94" s="2773"/>
      <c r="X94" s="2773"/>
      <c r="Y94" s="2773"/>
      <c r="Z94" s="2773"/>
      <c r="AA94" s="2774"/>
      <c r="AB94" s="2785" t="s">
        <v>2093</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2094</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2095</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2101</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2091</v>
      </c>
      <c r="J101" s="2656"/>
      <c r="K101" s="2656"/>
      <c r="L101" s="2656"/>
      <c r="M101" s="2656"/>
      <c r="N101" s="2656"/>
      <c r="O101" s="2758"/>
      <c r="P101" s="2757" t="s">
        <v>2102</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2094</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2095</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2103</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2037</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2104</v>
      </c>
      <c r="C106" s="2767"/>
      <c r="D106" s="2767"/>
      <c r="E106" s="2767"/>
      <c r="F106" s="2767"/>
      <c r="G106" s="2767"/>
      <c r="H106" s="2767"/>
      <c r="I106" s="2767"/>
      <c r="J106" s="2767"/>
      <c r="K106" s="2767"/>
      <c r="L106" s="2767"/>
      <c r="M106" s="2767"/>
      <c r="N106" s="2767"/>
      <c r="O106" s="2767"/>
      <c r="P106" s="2767"/>
      <c r="Q106" s="2768"/>
      <c r="R106" s="2769" t="s">
        <v>2105</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2106</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2108</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2091</v>
      </c>
      <c r="J121" s="2656"/>
      <c r="K121" s="2656"/>
      <c r="L121" s="2656"/>
      <c r="M121" s="2656"/>
      <c r="N121" s="2656"/>
      <c r="O121" s="2758"/>
      <c r="P121" s="2757" t="s">
        <v>2102</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2094</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2095</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2109</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2110</v>
      </c>
      <c r="D126" s="2648"/>
      <c r="E126" s="2648"/>
      <c r="F126" s="2648"/>
      <c r="G126" s="2648"/>
      <c r="H126" s="2648"/>
      <c r="I126" s="2648"/>
      <c r="J126" s="2648"/>
      <c r="K126" s="2648"/>
      <c r="L126" s="2648"/>
      <c r="M126" s="2648"/>
      <c r="N126" s="2648"/>
      <c r="O126" s="2648"/>
      <c r="P126" s="2734"/>
      <c r="Q126" s="2735" t="s">
        <v>2111</v>
      </c>
      <c r="R126" s="2648"/>
      <c r="S126" s="2734"/>
      <c r="T126" s="2736" t="s">
        <v>2112</v>
      </c>
      <c r="U126" s="2737"/>
      <c r="V126" s="2737"/>
      <c r="W126" s="2737"/>
      <c r="X126" s="2737"/>
      <c r="Y126" s="2737"/>
      <c r="Z126" s="2737"/>
      <c r="AA126" s="2738"/>
      <c r="AB126" s="2739" t="s">
        <v>2113</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2114</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e">
        <f ca="1">_xlfn.CONCAT(Application!AC515,"/", Application!AH515)</f>
        <v>#NAME?</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2115</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2116</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2069</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2117</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2117</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2117</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2118</v>
      </c>
      <c r="D136" s="2683"/>
      <c r="E136" s="2683"/>
      <c r="F136" s="2683"/>
      <c r="G136" s="2683"/>
      <c r="H136" s="2683"/>
      <c r="I136" s="2683"/>
      <c r="J136" s="2683"/>
      <c r="K136" s="2683"/>
      <c r="L136" s="2683"/>
      <c r="M136" s="2683"/>
      <c r="N136" s="2684"/>
      <c r="O136" s="1529"/>
      <c r="P136" s="2685" t="s">
        <v>2119</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2120</v>
      </c>
      <c r="D137" s="2689"/>
      <c r="E137" s="2689"/>
      <c r="F137" s="2689"/>
      <c r="G137" s="2689"/>
      <c r="H137" s="2690"/>
      <c r="I137" s="2688" t="s">
        <v>2121</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2124</v>
      </c>
      <c r="O149" s="2675"/>
      <c r="P149" s="2675"/>
      <c r="Q149" s="2675"/>
      <c r="R149" s="2675"/>
      <c r="S149" s="2675"/>
      <c r="T149" s="2676"/>
      <c r="U149" s="2677" t="s">
        <v>2110</v>
      </c>
      <c r="V149" s="2678"/>
      <c r="W149" s="2678"/>
      <c r="X149" s="2678"/>
      <c r="Y149" s="2678"/>
      <c r="Z149" s="2678"/>
      <c r="AA149" s="2678"/>
      <c r="AB149" s="2678"/>
      <c r="AC149" s="2678"/>
      <c r="AD149" s="2678"/>
      <c r="AE149" s="2679"/>
      <c r="AF149" s="1529"/>
      <c r="AG149" s="1529"/>
      <c r="AH149" s="2680" t="s">
        <v>2125</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2126</v>
      </c>
      <c r="D150" s="2648"/>
      <c r="E150" s="2648"/>
      <c r="F150" s="2648"/>
      <c r="G150" s="2648"/>
      <c r="H150" s="2648"/>
      <c r="I150" s="2648"/>
      <c r="J150" s="2648"/>
      <c r="K150" s="2648"/>
      <c r="L150" s="2648"/>
      <c r="M150" s="2649"/>
      <c r="N150" s="2650">
        <f>'Sources and Uses Budget'!B104</f>
        <v>3500000</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2127</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2128</v>
      </c>
      <c r="D151" s="2648"/>
      <c r="E151" s="2648"/>
      <c r="F151" s="2648"/>
      <c r="G151" s="2648"/>
      <c r="H151" s="2648"/>
      <c r="I151" s="2648"/>
      <c r="J151" s="2648"/>
      <c r="K151" s="2648"/>
      <c r="L151" s="2648"/>
      <c r="M151" s="2649"/>
      <c r="N151" s="2650">
        <f>N150/J29</f>
        <v>43209.876543209873</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2129</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2130</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2131</v>
      </c>
      <c r="D153" s="2639"/>
      <c r="E153" s="2639"/>
      <c r="F153" s="2639"/>
      <c r="G153" s="2639"/>
      <c r="H153" s="2639"/>
      <c r="I153" s="2639"/>
      <c r="J153" s="2639"/>
      <c r="K153" s="2639"/>
      <c r="L153" s="2639"/>
      <c r="M153" s="2640"/>
      <c r="N153" s="2641">
        <f>SUM('Sources and Uses Budget'!B85:B86)</f>
        <v>1482086</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2132</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2133</v>
      </c>
      <c r="D154" s="2639"/>
      <c r="E154" s="2639"/>
      <c r="F154" s="2639"/>
      <c r="G154" s="2639"/>
      <c r="H154" s="2639"/>
      <c r="I154" s="2639"/>
      <c r="J154" s="2639"/>
      <c r="K154" s="2639"/>
      <c r="L154" s="2639"/>
      <c r="M154" s="2640"/>
      <c r="N154" s="2641">
        <f>'Sources and Uses Budget'!B8</f>
        <v>650000</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2134</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2127</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2117</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2117</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2117</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2135</v>
      </c>
      <c r="D160" s="2622"/>
      <c r="E160" s="2622"/>
      <c r="F160" s="2622"/>
      <c r="G160" s="2622"/>
      <c r="H160" s="2622"/>
      <c r="I160" s="2622"/>
      <c r="J160" s="2622"/>
      <c r="K160" s="2622"/>
      <c r="L160" s="2622"/>
      <c r="M160" s="2623"/>
      <c r="N160" s="2624">
        <f>SUM(N152:T159)</f>
        <v>2132086</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2136</v>
      </c>
      <c r="D161" s="2600"/>
      <c r="E161" s="2600"/>
      <c r="F161" s="2600"/>
      <c r="G161" s="2600"/>
      <c r="H161" s="2600"/>
      <c r="I161" s="2600"/>
      <c r="J161" s="2600"/>
      <c r="K161" s="2600"/>
      <c r="L161" s="2600"/>
      <c r="M161" s="2600"/>
      <c r="N161" s="2601">
        <f>(N150-N160)/J29</f>
        <v>16887.827160493827</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2137</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2138</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2139</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2140</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2142</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2143</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2144</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2145</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2146</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463</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2147</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2148</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L65" sqref="AL65"/>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1" t="s">
        <v>1557</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8"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1562</v>
      </c>
      <c r="AF7" s="3010"/>
      <c r="AG7" s="3010"/>
      <c r="AH7" s="3010"/>
      <c r="AI7" s="3010"/>
      <c r="AJ7" s="3010"/>
      <c r="AK7" s="3010"/>
      <c r="AL7" s="933"/>
      <c r="AM7" s="933"/>
      <c r="AN7" s="929"/>
    </row>
    <row r="8" spans="1:42" s="930" customFormat="1" ht="12.8"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4" t="s">
        <v>625</v>
      </c>
      <c r="C12" s="2994"/>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4" t="s">
        <v>625</v>
      </c>
      <c r="C15" s="2994"/>
      <c r="D15" s="940"/>
      <c r="E15" s="3011" t="s">
        <v>1565</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8"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1566</v>
      </c>
    </row>
    <row r="17" spans="1:42" s="930" customFormat="1" ht="12.8"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4" t="s">
        <v>625</v>
      </c>
      <c r="C21" s="2994"/>
      <c r="D21" s="940"/>
      <c r="E21" s="2995" t="s">
        <v>1568</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1566</v>
      </c>
    </row>
    <row r="22" spans="1:42" s="930" customFormat="1" ht="12.8"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4" t="s">
        <v>625</v>
      </c>
      <c r="C24" s="2994"/>
      <c r="D24" s="940"/>
      <c r="E24" s="3001" t="s">
        <v>1569</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8"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4" t="s">
        <v>625</v>
      </c>
      <c r="C29" s="2994"/>
      <c r="D29" s="940"/>
      <c r="E29" s="3001" t="s">
        <v>1571</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8"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1566</v>
      </c>
    </row>
    <row r="31" spans="1:42" s="930" customFormat="1" ht="12.8"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8" t="s">
        <v>2398</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8"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4" t="s">
        <v>625</v>
      </c>
      <c r="C37" s="2994"/>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4" t="s">
        <v>625</v>
      </c>
      <c r="C39" s="2994"/>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4" t="s">
        <v>625</v>
      </c>
      <c r="C41" s="2994"/>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4" t="s">
        <v>625</v>
      </c>
      <c r="C43" s="2994"/>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4" t="s">
        <v>625</v>
      </c>
      <c r="C45" s="2994"/>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4" t="s">
        <v>625</v>
      </c>
      <c r="C47" s="2994"/>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4" t="s">
        <v>625</v>
      </c>
      <c r="C49" s="2994"/>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5">
        <f>AO32</f>
        <v>0</v>
      </c>
      <c r="AL51" s="3026"/>
      <c r="AM51" s="302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1583</v>
      </c>
      <c r="AF54" s="3010"/>
      <c r="AG54" s="3010"/>
      <c r="AH54" s="3010"/>
      <c r="AI54" s="3010"/>
      <c r="AJ54" s="3010"/>
      <c r="AK54" s="3010"/>
      <c r="AL54" s="933"/>
      <c r="AM54" s="933"/>
      <c r="AN54" s="929"/>
    </row>
    <row r="55" spans="1:50" s="930" customFormat="1" ht="12.8"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4" t="s">
        <v>625</v>
      </c>
      <c r="C57" s="2994"/>
      <c r="D57" s="940" t="s">
        <v>1584</v>
      </c>
      <c r="E57" s="3011" t="s">
        <v>2237</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8"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8"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8"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4" t="s">
        <v>577</v>
      </c>
      <c r="C62" s="2994"/>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0" t="s">
        <v>625</v>
      </c>
      <c r="F63" s="2994"/>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9" t="s">
        <v>625</v>
      </c>
      <c r="F64" s="2990"/>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9" t="s">
        <v>577</v>
      </c>
      <c r="F65" s="2990"/>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0" t="s">
        <v>577</v>
      </c>
      <c r="F67" s="2994"/>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4" t="s">
        <v>625</v>
      </c>
      <c r="C69" s="2994"/>
      <c r="D69" s="940" t="s">
        <v>1589</v>
      </c>
      <c r="E69" s="3001" t="s">
        <v>2238</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8"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5">
        <f>IF(AK51&gt;0,0,AO60)</f>
        <v>10</v>
      </c>
      <c r="AL72" s="3026"/>
      <c r="AM72" s="302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1562</v>
      </c>
      <c r="AF75" s="3010"/>
      <c r="AG75" s="3010"/>
      <c r="AH75" s="3010"/>
      <c r="AI75" s="3010"/>
      <c r="AJ75" s="3010"/>
      <c r="AK75" s="3010"/>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4" t="s">
        <v>625</v>
      </c>
      <c r="C78" s="2994"/>
      <c r="D78" s="940" t="s">
        <v>1584</v>
      </c>
      <c r="E78" s="3033" t="s">
        <v>1594</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8"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9">
        <f>Application!AH753</f>
        <v>0.6</v>
      </c>
      <c r="F81" s="3040"/>
      <c r="G81" s="3040"/>
      <c r="H81" s="3040"/>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1">
        <f>0.6-ROUNDUP(E81,2)</f>
        <v>0</v>
      </c>
      <c r="F82" s="3042"/>
      <c r="G82" s="3042"/>
      <c r="H82" s="3042"/>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1">
        <f>IF(E82*200&gt;20,20,E82*200)</f>
        <v>0</v>
      </c>
      <c r="F83" s="3032"/>
      <c r="G83" s="3032"/>
      <c r="H83" s="303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4" t="s">
        <v>577</v>
      </c>
      <c r="C86" s="2994"/>
      <c r="D86" s="940" t="s">
        <v>1586</v>
      </c>
      <c r="E86" s="3033" t="s">
        <v>2222</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8"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8"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8"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9">
        <f>Application!AH753</f>
        <v>0.6</v>
      </c>
      <c r="F91" s="3040"/>
      <c r="G91" s="3040"/>
      <c r="H91" s="3040"/>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9">
        <f ca="1">SUMIF(Application!AH728:AL752,0.2,Application!G728:J752)/Application!G753+SUMIF(Application!AH728:AL752,0.25,Application!G728:J752)/Application!G753+SUMIF(Application!AH728:AL752,0.3,Application!G728:J752)/Application!G753</f>
        <v>0.1</v>
      </c>
      <c r="F92" s="3040"/>
      <c r="G92" s="3040"/>
      <c r="H92" s="3040"/>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0.1</v>
      </c>
      <c r="F93" s="3040"/>
      <c r="G93" s="3040"/>
      <c r="H93" s="3040"/>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0">
        <f ca="1">IF(AND(E91&lt;=0.6,E92&gt;=0.1,OR(E93&gt;=0.1,E92=1)),20,0)</f>
        <v>20</v>
      </c>
      <c r="F94" s="3051"/>
      <c r="G94" s="3051"/>
      <c r="H94" s="3051"/>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5">
        <f ca="1">MAX(AP83,AP94)</f>
        <v>20</v>
      </c>
      <c r="AL97" s="3026"/>
      <c r="AM97" s="302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1583</v>
      </c>
      <c r="AF100" s="3010"/>
      <c r="AG100" s="3010"/>
      <c r="AH100" s="3010"/>
      <c r="AI100" s="3010"/>
      <c r="AJ100" s="3010"/>
      <c r="AK100" s="3010"/>
      <c r="AL100" s="933"/>
      <c r="AM100" s="933"/>
      <c r="AN100" s="929"/>
      <c r="AO100" s="930" t="str">
        <f>Application!B728</f>
        <v>SRO/Studio</v>
      </c>
      <c r="AQ100" s="930">
        <f>Application!O728</f>
        <v>348</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625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763</v>
      </c>
    </row>
    <row r="103" spans="1:49" s="930" customFormat="1" ht="12.8" customHeight="1">
      <c r="A103" s="933"/>
      <c r="B103" s="2994" t="s">
        <v>577</v>
      </c>
      <c r="C103" s="2994"/>
      <c r="D103" s="940" t="s">
        <v>1584</v>
      </c>
      <c r="E103" s="3033" t="s">
        <v>2384</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SRO/Studio</v>
      </c>
      <c r="AQ103" s="930">
        <f>Application!O731</f>
        <v>1040</v>
      </c>
      <c r="AU103" s="930" t="s">
        <v>2362</v>
      </c>
      <c r="AV103" s="1765" t="s">
        <v>2363</v>
      </c>
      <c r="AW103" s="930" t="s">
        <v>2364</v>
      </c>
    </row>
    <row r="104" spans="1:49" s="930" customFormat="1" ht="12.8"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t="str">
        <f>Application!B732</f>
        <v>1 Bedroom</v>
      </c>
      <c r="AQ104" s="930">
        <f>Application!O732</f>
        <v>366</v>
      </c>
      <c r="AU104" s="1768" t="str">
        <f>E112</f>
        <v>Studio/SRO</v>
      </c>
      <c r="AV104" s="930">
        <f t="array" ref="AV104">SUM(IF(Application!B728:F752="SRO/Studio",Application!G728:J752))</f>
        <v>21</v>
      </c>
      <c r="AW104" s="1803">
        <f>AV104/AV110</f>
        <v>0.26250000000000001</v>
      </c>
    </row>
    <row r="105" spans="1:49" s="930" customFormat="1" ht="12.8"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t="str">
        <f>Application!B733</f>
        <v>1 Bedroom</v>
      </c>
      <c r="AQ105" s="930">
        <f>Application!O733</f>
        <v>662</v>
      </c>
      <c r="AU105" s="1768" t="str">
        <f>J112</f>
        <v>1-bedroom</v>
      </c>
      <c r="AV105" s="930">
        <f t="array" ref="AV105">SUM(IF(Application!B728:F752="1 Bedroom",Application!G728:J752))</f>
        <v>18</v>
      </c>
      <c r="AW105" s="1803">
        <f>AV105/AV110</f>
        <v>0.22500000000000001</v>
      </c>
    </row>
    <row r="106" spans="1:49" s="930" customFormat="1" ht="12.8"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t="str">
        <f>Application!B734</f>
        <v>1 Bedroom</v>
      </c>
      <c r="AQ106" s="930">
        <f>Application!O734</f>
        <v>810</v>
      </c>
      <c r="AU106" s="1768" t="str">
        <f>O112</f>
        <v>2-bedroom</v>
      </c>
      <c r="AV106" s="930">
        <f t="array" ref="AV106">SUM(IF(Application!B728:F752="2 Bedrooms",Application!G728:J752))</f>
        <v>20</v>
      </c>
      <c r="AW106" s="1803">
        <f>AV106/AV110</f>
        <v>0.25</v>
      </c>
    </row>
    <row r="107" spans="1:49" s="930" customFormat="1" ht="12.8"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t="str">
        <f>Application!B735</f>
        <v>1 Bedroom</v>
      </c>
      <c r="AQ107" s="930">
        <f>Application!O735</f>
        <v>1107</v>
      </c>
      <c r="AU107" s="1768" t="str">
        <f>T112</f>
        <v>3-bedroom</v>
      </c>
      <c r="AV107" s="930">
        <f t="array" ref="AV107">SUM(IF(Application!B728:F752="3 Bedrooms",Application!G728:J752))</f>
        <v>21</v>
      </c>
      <c r="AW107" s="1803">
        <f>AV107/AV110</f>
        <v>0.26250000000000001</v>
      </c>
    </row>
    <row r="108" spans="1:49" s="930" customFormat="1" ht="12.8"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t="str">
        <f>Application!B736</f>
        <v>2 Bedrooms</v>
      </c>
      <c r="AQ108" s="930">
        <f>Application!O736</f>
        <v>428</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t="str">
        <f>Application!B737</f>
        <v>2 Bedrooms</v>
      </c>
      <c r="AQ109" s="930">
        <f>Application!O737</f>
        <v>783</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t="str">
        <f>Application!B738</f>
        <v>2 Bedrooms</v>
      </c>
      <c r="AQ110" s="930">
        <f>Application!O738</f>
        <v>961</v>
      </c>
      <c r="AV110" s="930">
        <f>SUM(AV104:AV109)</f>
        <v>80</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1317</v>
      </c>
    </row>
    <row r="112" spans="1:49" s="930" customFormat="1" ht="12.8" customHeight="1">
      <c r="A112" s="933"/>
      <c r="B112" s="932"/>
      <c r="C112" s="933"/>
      <c r="D112" s="933"/>
      <c r="E112" s="3039" t="s">
        <v>1885</v>
      </c>
      <c r="F112" s="3040"/>
      <c r="G112" s="3040"/>
      <c r="H112" s="3040"/>
      <c r="I112" s="1473"/>
      <c r="J112" s="3040" t="s">
        <v>1978</v>
      </c>
      <c r="K112" s="3040"/>
      <c r="L112" s="3040"/>
      <c r="M112" s="3040"/>
      <c r="N112" s="1473"/>
      <c r="O112" s="3040" t="s">
        <v>1979</v>
      </c>
      <c r="P112" s="3040"/>
      <c r="Q112" s="3040"/>
      <c r="R112" s="3040"/>
      <c r="S112" s="1473"/>
      <c r="T112" s="3040" t="s">
        <v>1603</v>
      </c>
      <c r="U112" s="3040"/>
      <c r="V112" s="3040"/>
      <c r="W112" s="3040"/>
      <c r="X112" s="1473"/>
      <c r="Y112" s="3040" t="s">
        <v>1980</v>
      </c>
      <c r="Z112" s="3040"/>
      <c r="AA112" s="3040"/>
      <c r="AB112" s="3040"/>
      <c r="AC112" s="1473"/>
      <c r="AD112" s="3040" t="s">
        <v>1981</v>
      </c>
      <c r="AE112" s="3040"/>
      <c r="AF112" s="3040"/>
      <c r="AG112" s="3040"/>
      <c r="AH112" s="971"/>
      <c r="AI112" s="971"/>
      <c r="AJ112" s="973"/>
      <c r="AK112" s="933"/>
      <c r="AL112" s="933"/>
      <c r="AM112" s="933"/>
      <c r="AN112" s="929"/>
      <c r="AO112" s="930" t="str">
        <f>Application!B740</f>
        <v>3 Bedrooms</v>
      </c>
      <c r="AQ112" s="930">
        <f>Application!O740</f>
        <v>484</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895</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1100</v>
      </c>
    </row>
    <row r="115" spans="1:52" s="930" customFormat="1" ht="12.8" customHeight="1">
      <c r="A115" s="933"/>
      <c r="B115" s="954"/>
      <c r="C115" s="933"/>
      <c r="D115" s="933"/>
      <c r="E115" s="3052">
        <v>1196</v>
      </c>
      <c r="F115" s="3029"/>
      <c r="G115" s="3029"/>
      <c r="H115" s="3029"/>
      <c r="I115" s="1475"/>
      <c r="J115" s="3029">
        <v>1539</v>
      </c>
      <c r="K115" s="3029"/>
      <c r="L115" s="3029"/>
      <c r="M115" s="3029"/>
      <c r="N115" s="1475"/>
      <c r="O115" s="3029">
        <v>1765</v>
      </c>
      <c r="P115" s="3029"/>
      <c r="Q115" s="3029"/>
      <c r="R115" s="3029"/>
      <c r="S115" s="1475"/>
      <c r="T115" s="3029">
        <v>2063</v>
      </c>
      <c r="U115" s="3029"/>
      <c r="V115" s="3029"/>
      <c r="W115" s="3029"/>
      <c r="X115" s="1475"/>
      <c r="Y115" s="3029"/>
      <c r="Z115" s="3029"/>
      <c r="AA115" s="3029"/>
      <c r="AB115" s="3029"/>
      <c r="AC115" s="1475"/>
      <c r="AD115" s="3029"/>
      <c r="AE115" s="3029"/>
      <c r="AF115" s="3029"/>
      <c r="AG115" s="3029"/>
      <c r="AH115" s="1473"/>
      <c r="AI115" s="1473"/>
      <c r="AJ115" s="1474"/>
      <c r="AK115" s="933"/>
      <c r="AL115" s="933"/>
      <c r="AM115" s="933"/>
      <c r="AN115" s="929"/>
      <c r="AO115" s="930" t="str">
        <f>Application!B743</f>
        <v>3 Bedrooms</v>
      </c>
      <c r="AQ115" s="930">
        <f>Application!O743</f>
        <v>1511</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0">
        <f>Application!DX663</f>
        <v>730.14285714285711</v>
      </c>
      <c r="F118" s="2988"/>
      <c r="G118" s="2988"/>
      <c r="H118" s="2988"/>
      <c r="I118" s="1475"/>
      <c r="J118" s="2988">
        <f>Application!EC663</f>
        <v>777.22222222222217</v>
      </c>
      <c r="K118" s="2988"/>
      <c r="L118" s="2988"/>
      <c r="M118" s="2988"/>
      <c r="N118" s="1475"/>
      <c r="O118" s="2988">
        <f>Application!EH663</f>
        <v>1005.5500000000001</v>
      </c>
      <c r="P118" s="2988"/>
      <c r="Q118" s="2988"/>
      <c r="R118" s="2988"/>
      <c r="S118" s="1479"/>
      <c r="T118" s="2988">
        <f>Application!EM663</f>
        <v>1139.2380952380952</v>
      </c>
      <c r="U118" s="2988"/>
      <c r="V118" s="2988"/>
      <c r="W118" s="2988"/>
      <c r="X118" s="1479"/>
      <c r="Y118" s="2988">
        <f>Application!ER663</f>
        <v>0</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2">
        <f>(E115-E118)/E115</f>
        <v>0.38951266125179174</v>
      </c>
      <c r="F121" s="3253"/>
      <c r="G121" s="3253"/>
      <c r="H121" s="3254"/>
      <c r="I121" s="971"/>
      <c r="J121" s="3252">
        <f>(J115-J118)/J115</f>
        <v>0.49498231174644436</v>
      </c>
      <c r="K121" s="3253"/>
      <c r="L121" s="3253"/>
      <c r="M121" s="3254"/>
      <c r="N121" s="971"/>
      <c r="O121" s="3252">
        <f>(O115-O118)/O115</f>
        <v>0.43028328611898015</v>
      </c>
      <c r="P121" s="3253"/>
      <c r="Q121" s="3253"/>
      <c r="R121" s="3254"/>
      <c r="S121" s="971"/>
      <c r="T121" s="3252">
        <f>(T115-T118)/T115</f>
        <v>0.44777600812501445</v>
      </c>
      <c r="U121" s="3253"/>
      <c r="V121" s="3253"/>
      <c r="W121" s="3254"/>
      <c r="X121" s="971"/>
      <c r="Y121" s="3252" t="e">
        <f>(Y115-Y118)/Y115</f>
        <v>#DIV/0!</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5">
        <f>IF(((E121-0.1)*AW104)&gt;0,((E121-0.1)*AW104),0)</f>
        <v>7.5997073578595337E-2</v>
      </c>
      <c r="F124" s="2986"/>
      <c r="G124" s="2986"/>
      <c r="H124" s="2987"/>
      <c r="I124" s="971"/>
      <c r="J124" s="2985">
        <f>IF(((J121-0.1)*AW105)&gt;0,((J121-0.1)*AW105),0)</f>
        <v>8.8871020142949994E-2</v>
      </c>
      <c r="K124" s="2986"/>
      <c r="L124" s="2986"/>
      <c r="M124" s="2987"/>
      <c r="N124" s="971"/>
      <c r="O124" s="2985">
        <f>IF(((O121-0.1)*AW106)&gt;0,((O121-0.1)*AW106),0)</f>
        <v>8.2570821529745042E-2</v>
      </c>
      <c r="P124" s="2986"/>
      <c r="Q124" s="2986"/>
      <c r="R124" s="2987"/>
      <c r="S124" s="971"/>
      <c r="T124" s="2985">
        <f>IF(((T121-0.1)*AW107)&gt;0,((T121-0.1)*AW107),0)</f>
        <v>9.1291202132816288E-2</v>
      </c>
      <c r="U124" s="2986"/>
      <c r="V124" s="2986"/>
      <c r="W124" s="2987"/>
      <c r="X124" s="971"/>
      <c r="Y124" s="2985" t="e">
        <f>IF(((Y121-0.1)*AW108)&gt;0,((Y121-0.1)*AW108),0)</f>
        <v>#DIV/0!</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2">
        <f>ROUNDDOWN(SUMIF(E124:AG124,"&gt;0"),2)</f>
        <v>0.33</v>
      </c>
      <c r="F126" s="3253"/>
      <c r="G126" s="3253"/>
      <c r="H126" s="3254"/>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5">
        <f>IF((E126*100)&gt;10,10,E126*100)</f>
        <v>10</v>
      </c>
      <c r="F127" s="3026"/>
      <c r="G127" s="3026"/>
      <c r="H127" s="3027"/>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5">
        <f>E127</f>
        <v>10</v>
      </c>
      <c r="AL131" s="3026"/>
      <c r="AM131" s="302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010" t="s">
        <v>1583</v>
      </c>
      <c r="AF134" s="3010"/>
      <c r="AG134" s="3010"/>
      <c r="AH134" s="3010"/>
      <c r="AI134" s="3010"/>
      <c r="AJ134" s="3010"/>
      <c r="AK134" s="30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1607</v>
      </c>
      <c r="AG136" s="3048"/>
      <c r="AH136" s="3048"/>
      <c r="AI136" s="3048"/>
      <c r="AJ136" s="3048"/>
      <c r="AK136" s="3048"/>
      <c r="AL136" s="3048"/>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9" t="s">
        <v>2531</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065" t="s">
        <v>1610</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066" t="s">
        <v>625</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065" t="s">
        <v>1612</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8">
        <f>IF($AB$143="N/A",VLOOKUP($B$141,$AO$139:$AP$142,2,FALSE),VLOOKUP($B$146,$AO$144:$AP$147,2,FALSE))</f>
        <v>7</v>
      </c>
      <c r="AK149" s="306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1621</v>
      </c>
      <c r="AG151" s="3048"/>
      <c r="AH151" s="3048"/>
      <c r="AI151" s="3048"/>
      <c r="AJ151" s="3048"/>
      <c r="AK151" s="3048"/>
      <c r="AL151" s="3048"/>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5" t="s">
        <v>1619</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625</v>
      </c>
      <c r="AD155" s="3066"/>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065" t="s">
        <v>1612</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049" t="s">
        <v>2577</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7">
        <f>IF($AC$155="N/A",VLOOKUP($C$153,$AO$153:$AP$156,2,FALSE),VLOOKUP($C$157,$AO$160:$AP$162,2,FALSE))</f>
        <v>3</v>
      </c>
      <c r="AK163" s="306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5">
        <f>$AJ$149+$AJ$163</f>
        <v>10</v>
      </c>
      <c r="AL166" s="3026"/>
      <c r="AM166" s="302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1583</v>
      </c>
      <c r="AF169" s="3062"/>
      <c r="AG169" s="3062"/>
      <c r="AH169" s="3062"/>
      <c r="AI169" s="3062"/>
      <c r="AJ169" s="3062"/>
      <c r="AK169" s="3062"/>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063" t="s">
        <v>1153</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1632</v>
      </c>
      <c r="AG171" s="3048"/>
      <c r="AH171" s="3048"/>
      <c r="AI171" s="3048"/>
      <c r="AJ171" s="3048"/>
      <c r="AK171" s="3048"/>
      <c r="AL171" s="3048"/>
      <c r="AN171" s="1000"/>
      <c r="AP171" s="943" t="s">
        <v>1155</v>
      </c>
      <c r="AQ171" s="943">
        <v>10</v>
      </c>
    </row>
    <row r="172" spans="1:81" s="943" customFormat="1" ht="12.8" customHeight="1">
      <c r="A172" s="927"/>
      <c r="B172" s="3064" t="s">
        <v>2223</v>
      </c>
      <c r="C172" s="3064"/>
      <c r="D172" s="3064"/>
      <c r="E172" s="3064"/>
      <c r="F172" s="3064"/>
      <c r="G172" s="3064"/>
      <c r="H172" s="3064"/>
      <c r="I172" s="3064"/>
      <c r="J172" s="3064"/>
      <c r="K172" s="3064"/>
      <c r="L172" s="3064"/>
      <c r="M172" s="3064"/>
      <c r="N172" s="3064"/>
      <c r="O172" s="3064"/>
      <c r="P172" s="3064"/>
      <c r="Q172" s="3064"/>
      <c r="R172" s="3064"/>
      <c r="S172" s="3064"/>
      <c r="T172" s="3049" t="s">
        <v>625</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2">
        <f>IF(AK72&gt;0,VLOOKUP($B$171,AP168:AQ175,2,FALSE),0)</f>
        <v>10</v>
      </c>
      <c r="AL174" s="3073"/>
      <c r="AM174" s="3074"/>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1641</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2686</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2300000</v>
      </c>
      <c r="AE182" s="3057"/>
      <c r="AF182" s="3057"/>
      <c r="AG182" s="3057"/>
      <c r="AH182" s="3057"/>
      <c r="AI182" s="3057"/>
      <c r="AJ182" s="3057"/>
      <c r="AK182" s="1024"/>
    </row>
    <row r="183" spans="1:37">
      <c r="A183" s="1016"/>
      <c r="B183" s="3054" t="s">
        <v>2657</v>
      </c>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v>650000</v>
      </c>
      <c r="AE183" s="3057"/>
      <c r="AF183" s="3057"/>
      <c r="AG183" s="3057"/>
      <c r="AH183" s="3057"/>
      <c r="AI183" s="3057"/>
      <c r="AJ183" s="3057"/>
      <c r="AK183" s="1024"/>
    </row>
    <row r="184" spans="1:37">
      <c r="A184" s="1016"/>
      <c r="B184" s="3054" t="s">
        <v>2663</v>
      </c>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v>293600</v>
      </c>
      <c r="AE184" s="3057"/>
      <c r="AF184" s="3057"/>
      <c r="AG184" s="3057"/>
      <c r="AH184" s="3057"/>
      <c r="AI184" s="3057"/>
      <c r="AJ184" s="3057"/>
      <c r="AK184" s="1024"/>
    </row>
    <row r="185" spans="1:37">
      <c r="A185" s="1016"/>
      <c r="B185" s="3054" t="s">
        <v>2687</v>
      </c>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v>6750000</v>
      </c>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1929</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0</v>
      </c>
      <c r="AE192" s="3079"/>
      <c r="AF192" s="3079"/>
      <c r="AG192" s="3079"/>
      <c r="AH192" s="3079"/>
      <c r="AI192" s="3079"/>
      <c r="AJ192" s="3079"/>
      <c r="AK192" s="1024"/>
    </row>
    <row r="193" spans="1:37">
      <c r="A193" s="1016"/>
      <c r="B193" s="3220" t="s">
        <v>1892</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4">
        <f>SUM(AD182:AJ192)-AD193</f>
        <v>9993600</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1909</v>
      </c>
      <c r="J205" s="3060"/>
      <c r="K205" s="3060"/>
      <c r="L205" s="991"/>
      <c r="M205" s="991"/>
      <c r="N205" s="991"/>
      <c r="O205" s="991"/>
      <c r="P205" s="991"/>
      <c r="Q205" s="991"/>
      <c r="R205" s="991"/>
      <c r="S205" s="991"/>
      <c r="T205" s="3256" t="s">
        <v>1903</v>
      </c>
      <c r="U205" s="3256"/>
      <c r="V205" s="3256"/>
      <c r="W205" s="3256"/>
      <c r="X205" s="3256"/>
      <c r="Y205" s="3256"/>
      <c r="Z205" s="1401"/>
      <c r="AA205" s="1402"/>
      <c r="AB205" s="3053" t="s">
        <v>1904</v>
      </c>
      <c r="AC205" s="3053"/>
      <c r="AD205" s="3053"/>
      <c r="AE205" s="3053"/>
      <c r="AF205" s="3053"/>
      <c r="AG205" s="3053"/>
      <c r="AH205" s="1371"/>
      <c r="AI205" s="1371"/>
      <c r="AJ205" s="1371"/>
      <c r="AK205" s="1024"/>
    </row>
    <row r="206" spans="1:37">
      <c r="A206" s="1016"/>
      <c r="B206" s="3058" t="s">
        <v>1882</v>
      </c>
      <c r="C206" s="3058"/>
      <c r="D206" s="3058"/>
      <c r="E206" s="3058"/>
      <c r="F206" s="3058"/>
      <c r="G206" s="3058"/>
      <c r="I206" s="3059" t="s">
        <v>1910</v>
      </c>
      <c r="J206" s="3059"/>
      <c r="K206" s="3059"/>
      <c r="L206" s="1799"/>
      <c r="N206" s="3046" t="s">
        <v>1905</v>
      </c>
      <c r="O206" s="3046"/>
      <c r="P206" s="3046"/>
      <c r="Q206" s="3046"/>
      <c r="R206" s="3046"/>
      <c r="T206" s="3046" t="s">
        <v>1906</v>
      </c>
      <c r="U206" s="3046"/>
      <c r="V206" s="3046"/>
      <c r="W206" s="3046"/>
      <c r="X206" s="3046"/>
      <c r="Y206" s="3046"/>
      <c r="Z206" s="1403"/>
      <c r="AA206" s="1402"/>
      <c r="AB206" s="3223" t="s">
        <v>1907</v>
      </c>
      <c r="AC206" s="3223"/>
      <c r="AD206" s="3223"/>
      <c r="AE206" s="3223"/>
      <c r="AF206" s="3223"/>
      <c r="AG206" s="3223"/>
      <c r="AH206" s="1371"/>
      <c r="AI206" s="1371"/>
      <c r="AJ206" s="1371"/>
      <c r="AK206" s="1024"/>
    </row>
    <row r="207" spans="1:37">
      <c r="A207" s="1016"/>
      <c r="B207" s="3061" t="s">
        <v>1382</v>
      </c>
      <c r="C207" s="3061"/>
      <c r="D207" s="3061"/>
      <c r="E207" s="3061"/>
      <c r="F207" s="3061"/>
      <c r="G207" s="3061"/>
      <c r="H207" s="1405"/>
      <c r="I207" s="3044"/>
      <c r="J207" s="3044"/>
      <c r="K207" s="3044"/>
      <c r="L207" s="1799"/>
      <c r="N207" s="3047"/>
      <c r="O207" s="3047"/>
      <c r="P207" s="3047"/>
      <c r="Q207" s="3047"/>
      <c r="R207" s="3047"/>
      <c r="T207" s="3221"/>
      <c r="U207" s="3221"/>
      <c r="V207" s="3221"/>
      <c r="W207" s="3221"/>
      <c r="X207" s="3221"/>
      <c r="Y207" s="3221"/>
      <c r="Z207" s="1404"/>
      <c r="AA207" s="1404"/>
      <c r="AB207" s="3043">
        <f t="shared" ref="AB207:AB216" si="0">MAX(($T207-$N207)*$I207*12,0)</f>
        <v>0</v>
      </c>
      <c r="AC207" s="3043"/>
      <c r="AD207" s="3043"/>
      <c r="AE207" s="3043"/>
      <c r="AF207" s="3043"/>
      <c r="AG207" s="3043"/>
      <c r="AH207" s="1371"/>
      <c r="AI207" s="1371"/>
      <c r="AJ207" s="1371"/>
      <c r="AK207" s="1024"/>
    </row>
    <row r="208" spans="1:37">
      <c r="A208" s="1016"/>
      <c r="B208" s="3061" t="s">
        <v>1382</v>
      </c>
      <c r="C208" s="3061"/>
      <c r="D208" s="3061"/>
      <c r="E208" s="3061"/>
      <c r="F208" s="3061"/>
      <c r="G208" s="3061"/>
      <c r="I208" s="3044"/>
      <c r="J208" s="3044"/>
      <c r="K208" s="3044"/>
      <c r="L208" s="1799"/>
      <c r="N208" s="3047"/>
      <c r="O208" s="3047"/>
      <c r="P208" s="3047"/>
      <c r="Q208" s="3047"/>
      <c r="R208" s="3047"/>
      <c r="T208" s="3221"/>
      <c r="U208" s="3221"/>
      <c r="V208" s="3221"/>
      <c r="W208" s="3221"/>
      <c r="X208" s="3221"/>
      <c r="Y208" s="3221"/>
      <c r="Z208" s="1404"/>
      <c r="AA208" s="1404"/>
      <c r="AB208" s="3043">
        <f t="shared" si="0"/>
        <v>0</v>
      </c>
      <c r="AC208" s="3043"/>
      <c r="AD208" s="3043"/>
      <c r="AE208" s="3043"/>
      <c r="AF208" s="3043"/>
      <c r="AG208" s="3043"/>
      <c r="AH208" s="1371"/>
      <c r="AI208" s="1371"/>
      <c r="AJ208" s="1371"/>
      <c r="AK208" s="1024"/>
    </row>
    <row r="209" spans="1:37">
      <c r="A209" s="1016"/>
      <c r="B209" s="3061" t="s">
        <v>1382</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1382</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1382</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1382</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1382</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1382</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1382</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1382</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3">
        <f>SUM(AB207:AB216)</f>
        <v>0</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0</v>
      </c>
      <c r="AC233" s="3055"/>
      <c r="AD233" s="3055"/>
      <c r="AE233" s="3055"/>
      <c r="AF233" s="3055"/>
      <c r="AG233" s="305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0</v>
      </c>
      <c r="AC235" s="3089"/>
      <c r="AD235" s="3089"/>
      <c r="AE235" s="3089"/>
      <c r="AF235" s="3089"/>
      <c r="AG235" s="3089"/>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0</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0</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9993600</v>
      </c>
      <c r="AH251" s="3075"/>
      <c r="AI251" s="3075"/>
      <c r="AJ251" s="3075"/>
      <c r="AK251" s="3075"/>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50004295</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0.39</v>
      </c>
      <c r="AH253" s="3076"/>
      <c r="AI253" s="3076"/>
      <c r="AJ253" s="3076"/>
      <c r="AK253" s="3076"/>
    </row>
    <row r="254" spans="1:39" ht="13.45">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7">
        <f>IF(AG253=0,0,IF((AG253*100)&gt;8,8,(AG253*100)))</f>
        <v>8</v>
      </c>
      <c r="AL256" s="3077"/>
      <c r="AM256" s="307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9" t="s">
        <v>577</v>
      </c>
      <c r="D261" s="3069"/>
      <c r="E261" s="940"/>
      <c r="F261" s="3240" t="s">
        <v>2413</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1632</v>
      </c>
      <c r="AH261" s="3070"/>
      <c r="AI261" s="3070"/>
      <c r="AJ261" s="3070"/>
      <c r="AK261" s="1026"/>
      <c r="AL261" s="1026"/>
      <c r="AM261" s="1026"/>
      <c r="AN261" s="1061"/>
      <c r="AO261" s="943"/>
      <c r="AS261" s="21"/>
      <c r="AT261" s="21"/>
    </row>
    <row r="262" spans="1:81" ht="13.7"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7">
        <f>IF($C$261="yes",10,0)</f>
        <v>10</v>
      </c>
      <c r="AL267" s="3077"/>
      <c r="AM267" s="307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05" customHeight="1">
      <c r="B271" s="932" t="s">
        <v>2378</v>
      </c>
    </row>
    <row r="272" spans="1:81" ht="15.0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8" t="s">
        <v>1651</v>
      </c>
      <c r="B274" s="3098"/>
      <c r="C274" s="3069" t="s">
        <v>577</v>
      </c>
      <c r="D274" s="3069"/>
      <c r="E274" s="940"/>
      <c r="F274" s="3099" t="s">
        <v>1652</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2" t="s">
        <v>1654</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2" t="s">
        <v>1655</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2" t="s">
        <v>1656</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8" t="s">
        <v>1657</v>
      </c>
      <c r="B284" s="3098"/>
      <c r="C284" s="3069" t="s">
        <v>625</v>
      </c>
      <c r="D284" s="3069"/>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2" t="s">
        <v>1660</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0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1655</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1661</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1662</v>
      </c>
      <c r="B292" s="3098"/>
      <c r="C292" s="3069" t="s">
        <v>625</v>
      </c>
      <c r="D292" s="3069"/>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92" t="s">
        <v>1663</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1382</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2" t="s">
        <v>1382</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08" t="s">
        <v>1382</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8" t="s">
        <v>1382</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098" t="s">
        <v>1666</v>
      </c>
      <c r="B315" s="3098"/>
      <c r="C315" s="3069" t="s">
        <v>625</v>
      </c>
      <c r="D315" s="3069"/>
      <c r="E315" s="940"/>
      <c r="F315" s="3001" t="s">
        <v>1667</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0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2">
        <f>AP279</f>
        <v>20</v>
      </c>
      <c r="AL320" s="3073"/>
      <c r="AM320" s="307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1583</v>
      </c>
      <c r="AF323" s="3062"/>
      <c r="AG323" s="3062"/>
      <c r="AH323" s="3062"/>
      <c r="AI323" s="3062"/>
      <c r="AJ323" s="3062"/>
      <c r="AK323" s="306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3" t="s">
        <v>2190</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8"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8"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8"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8"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8"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8"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8"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8"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1607</v>
      </c>
      <c r="AG339" s="3048"/>
      <c r="AH339" s="3048"/>
      <c r="AI339" s="3048"/>
      <c r="AJ339" s="3048"/>
      <c r="AK339" s="3048"/>
      <c r="AL339" s="3048"/>
      <c r="AM339" s="1026"/>
      <c r="AN339" s="1000"/>
    </row>
    <row r="340" spans="1:42" s="943" customFormat="1" ht="12.8"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1673</v>
      </c>
      <c r="AG346" s="3048"/>
      <c r="AH346" s="3048"/>
      <c r="AI346" s="3048"/>
      <c r="AJ346" s="3048"/>
      <c r="AK346" s="3048"/>
      <c r="AL346" s="3048"/>
      <c r="AM346" s="1026"/>
      <c r="AN346" s="1000"/>
    </row>
    <row r="347" spans="1:42" s="943" customFormat="1" ht="12.8"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1647</v>
      </c>
      <c r="AG352" s="3048"/>
      <c r="AH352" s="3048"/>
      <c r="AI352" s="3048"/>
      <c r="AJ352" s="3048"/>
      <c r="AK352" s="3048"/>
      <c r="AL352" s="3048"/>
      <c r="AM352" s="1026"/>
      <c r="AN352" s="1000"/>
      <c r="AO352" s="1118" t="s">
        <v>1675</v>
      </c>
      <c r="AP352" s="943">
        <v>3</v>
      </c>
    </row>
    <row r="353" spans="1:53" s="943" customFormat="1" ht="12.8"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1676</v>
      </c>
      <c r="AG358" s="3048"/>
      <c r="AH358" s="3048"/>
      <c r="AI358" s="3048"/>
      <c r="AJ358" s="3048"/>
      <c r="AK358" s="3048"/>
      <c r="AL358" s="3048"/>
      <c r="AM358" s="1026"/>
      <c r="AN358" s="1000"/>
      <c r="AO358" s="943" t="str">
        <f>X395</f>
        <v>N/A</v>
      </c>
    </row>
    <row r="359" spans="1:53" s="943" customFormat="1" ht="12.8"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2394</v>
      </c>
      <c r="O362" s="3115" t="s">
        <v>1382</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1621</v>
      </c>
      <c r="AG364" s="3048"/>
      <c r="AH364" s="3048"/>
      <c r="AI364" s="3048"/>
      <c r="AJ364" s="3048"/>
      <c r="AK364" s="3048"/>
      <c r="AL364" s="3048"/>
      <c r="AM364" s="1026"/>
      <c r="AN364" s="1001"/>
    </row>
    <row r="365" spans="1:53" s="943" customFormat="1" ht="12.8"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9"/>
      <c r="D367" s="1023" t="s">
        <v>1677</v>
      </c>
      <c r="E367" s="1643"/>
      <c r="F367" s="1643"/>
      <c r="G367" s="1643"/>
      <c r="H367" s="3112" t="s">
        <v>625</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9"/>
      <c r="D375" s="1023"/>
      <c r="E375" s="1023" t="s">
        <v>1677</v>
      </c>
      <c r="F375" s="1643"/>
      <c r="G375" s="1643"/>
      <c r="I375" s="3114" t="s">
        <v>625</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066" t="s">
        <v>625</v>
      </c>
      <c r="C377" s="3066"/>
      <c r="D377" s="1644"/>
      <c r="E377" s="3093" t="s">
        <v>1680</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8"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8"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8"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2">
        <f>VLOOKUP($H$367,$AO$347:$AP$352,2,FALSE)+VLOOKUP($I$375,$AO$374:$AP$376,2,FALSE)</f>
        <v>0</v>
      </c>
      <c r="AK382" s="307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13" t="s">
        <v>2191</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1621</v>
      </c>
      <c r="AG386" s="3048"/>
      <c r="AH386" s="3048"/>
      <c r="AI386" s="3048"/>
      <c r="AJ386" s="3048"/>
      <c r="AK386" s="3048"/>
      <c r="AL386" s="3048"/>
      <c r="AM386" s="1026"/>
      <c r="AN386" s="1125"/>
    </row>
    <row r="387" spans="1:42" s="943" customFormat="1" ht="12.8"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6" t="s">
        <v>625</v>
      </c>
      <c r="Y395" s="306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1685</v>
      </c>
      <c r="AG397" s="3048"/>
      <c r="AH397" s="3048"/>
      <c r="AI397" s="3048"/>
      <c r="AJ397" s="3048"/>
      <c r="AK397" s="3048"/>
      <c r="AL397" s="304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112" t="s">
        <v>625</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2">
        <f>VLOOKUP($H$399,$AO$366:$AP$368,2,FALSE)</f>
        <v>0</v>
      </c>
      <c r="AK401" s="3074"/>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1621</v>
      </c>
      <c r="AG405" s="3048"/>
      <c r="AH405" s="3048"/>
      <c r="AI405" s="3048"/>
      <c r="AJ405" s="3048"/>
      <c r="AK405" s="3048"/>
      <c r="AL405" s="3048"/>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1685</v>
      </c>
      <c r="AG408" s="3048"/>
      <c r="AH408" s="3048"/>
      <c r="AI408" s="3048"/>
      <c r="AJ408" s="3048"/>
      <c r="AK408" s="3048"/>
      <c r="AL408" s="3048"/>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112" t="s">
        <v>625</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2">
        <f>VLOOKUP(H411,AT366:AU368,2,FALSE)</f>
        <v>0</v>
      </c>
      <c r="AK413" s="3074"/>
      <c r="AL413" s="1005"/>
      <c r="AN413" s="1001"/>
      <c r="AO413" s="1002" t="s">
        <v>625</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93" t="s">
        <v>1697</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1647</v>
      </c>
      <c r="AG418" s="3048"/>
      <c r="AH418" s="3048"/>
      <c r="AI418" s="3048"/>
      <c r="AJ418" s="3048"/>
      <c r="AK418" s="3048"/>
      <c r="AL418" s="3048"/>
      <c r="AN418" s="1000"/>
    </row>
    <row r="419" spans="1:42" s="943" customFormat="1" ht="12.8"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8"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541</v>
      </c>
      <c r="E422" s="3093" t="s">
        <v>1698</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1676</v>
      </c>
      <c r="AG422" s="3048"/>
      <c r="AH422" s="3048"/>
      <c r="AI422" s="3048"/>
      <c r="AJ422" s="3048"/>
      <c r="AK422" s="3048"/>
      <c r="AL422" s="3048"/>
      <c r="AN422" s="1000"/>
    </row>
    <row r="423" spans="1:42" s="943" customFormat="1" ht="12.8"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0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3" t="s">
        <v>1699</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1621</v>
      </c>
      <c r="AG426" s="3048"/>
      <c r="AH426" s="3048"/>
      <c r="AI426" s="3048"/>
      <c r="AJ426" s="3048"/>
      <c r="AK426" s="3048"/>
      <c r="AL426" s="3048"/>
      <c r="AN426" s="1000"/>
    </row>
    <row r="427" spans="1:42" s="943" customFormat="1" ht="12.8"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625</v>
      </c>
      <c r="AP427" s="1120">
        <v>0</v>
      </c>
    </row>
    <row r="428" spans="1:42" s="943" customFormat="1" ht="12.8"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6"/>
      <c r="D430" s="1106" t="s">
        <v>1674</v>
      </c>
      <c r="E430" s="3093" t="s">
        <v>1700</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1676</v>
      </c>
      <c r="AG430" s="3048"/>
      <c r="AH430" s="3048"/>
      <c r="AI430" s="3048"/>
      <c r="AJ430" s="3048"/>
      <c r="AK430" s="3048"/>
      <c r="AL430" s="3048"/>
      <c r="AN430" s="1000"/>
    </row>
    <row r="431" spans="1:42" s="943" customFormat="1" ht="12.8"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93" t="s">
        <v>1701</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1621</v>
      </c>
      <c r="AG434" s="3048"/>
      <c r="AH434" s="3048"/>
      <c r="AI434" s="3048"/>
      <c r="AJ434" s="3048"/>
      <c r="AK434" s="3048"/>
      <c r="AL434" s="3048"/>
      <c r="AM434" s="1065"/>
      <c r="AN434" s="1000"/>
    </row>
    <row r="435" spans="1:42" s="943" customFormat="1" ht="12.8"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93" t="s">
        <v>1702</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1685</v>
      </c>
      <c r="AG438" s="3048"/>
      <c r="AH438" s="3048"/>
      <c r="AI438" s="3048"/>
      <c r="AJ438" s="3048"/>
      <c r="AK438" s="3048"/>
      <c r="AL438" s="3048"/>
      <c r="AM438" s="1065"/>
      <c r="AN438" s="1000"/>
    </row>
    <row r="439" spans="1:42" s="943" customFormat="1" ht="12.8"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8" customHeight="1">
      <c r="A442" s="1126"/>
      <c r="B442" s="1006"/>
      <c r="C442" s="1637"/>
      <c r="D442" s="1106" t="s">
        <v>1688</v>
      </c>
      <c r="E442" s="3093" t="s">
        <v>1703</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1704</v>
      </c>
      <c r="AG442" s="3048"/>
      <c r="AH442" s="3048"/>
      <c r="AI442" s="3048"/>
      <c r="AJ442" s="3048"/>
      <c r="AK442" s="3048"/>
      <c r="AL442" s="3048"/>
      <c r="AM442" s="1065"/>
      <c r="AN442" s="1000"/>
      <c r="AO442" s="1118" t="s">
        <v>724</v>
      </c>
      <c r="AP442" s="943">
        <v>3</v>
      </c>
    </row>
    <row r="443" spans="1:42" s="943" customFormat="1" ht="12.8"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541</v>
      </c>
      <c r="AP443" s="943">
        <v>2</v>
      </c>
    </row>
    <row r="444" spans="1:42" s="943" customFormat="1" ht="12.8"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112" t="s">
        <v>625</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2">
        <f>VLOOKUP($H$446,$AO$394:$AP$401,2,FALSE)</f>
        <v>0</v>
      </c>
      <c r="AK448" s="307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93" t="s">
        <v>2187</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1621</v>
      </c>
      <c r="AG452" s="3048"/>
      <c r="AH452" s="3048"/>
      <c r="AI452" s="3048"/>
      <c r="AJ452" s="3048"/>
      <c r="AK452" s="3048"/>
      <c r="AL452" s="3048"/>
      <c r="AM452" s="1026"/>
      <c r="AN452" s="1001"/>
    </row>
    <row r="453" spans="1:42" s="1002" customFormat="1" ht="12.8"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8"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541</v>
      </c>
      <c r="E457" s="3093" t="s">
        <v>2189</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1685</v>
      </c>
      <c r="AG457" s="3048"/>
      <c r="AH457" s="3048"/>
      <c r="AI457" s="3048"/>
      <c r="AJ457" s="3048"/>
      <c r="AK457" s="3048"/>
      <c r="AL457" s="3048"/>
      <c r="AM457" s="1026"/>
      <c r="AN457" s="1000"/>
      <c r="AO457" s="1118" t="s">
        <v>541</v>
      </c>
      <c r="AP457" s="943">
        <v>1</v>
      </c>
    </row>
    <row r="458" spans="1:42" s="943" customFormat="1" ht="11.95"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3" t="s">
        <v>2188</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112" t="s">
        <v>625</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2">
        <f>VLOOKUP($H$466,$AO$413:$AP$415,2,FALSE)</f>
        <v>0</v>
      </c>
      <c r="AK468" s="3074"/>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17" t="s">
        <v>2192</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1621</v>
      </c>
      <c r="AG472" s="3048"/>
      <c r="AH472" s="3048"/>
      <c r="AI472" s="3048"/>
      <c r="AJ472" s="3048"/>
      <c r="AK472" s="3048"/>
      <c r="AL472" s="3048"/>
      <c r="AM472" s="1026"/>
      <c r="AN472" s="1133"/>
      <c r="AP472" s="1135" t="s">
        <v>1713</v>
      </c>
    </row>
    <row r="473" spans="1:43" s="1134" customFormat="1" ht="11.8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541</v>
      </c>
      <c r="E476" s="3118" t="s">
        <v>1716</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1685</v>
      </c>
      <c r="AG476" s="3048"/>
      <c r="AH476" s="3048"/>
      <c r="AI476" s="3048"/>
      <c r="AJ476" s="3048"/>
      <c r="AK476" s="3048"/>
      <c r="AL476" s="3048"/>
      <c r="AM476" s="1026"/>
      <c r="AN476" s="1136"/>
    </row>
    <row r="477" spans="1:43" s="1134" customFormat="1" ht="12.8"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625</v>
      </c>
      <c r="AQ477" s="1120">
        <v>0</v>
      </c>
    </row>
    <row r="478" spans="1:43" s="1134" customFormat="1" ht="13.85"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85" customHeight="1">
      <c r="A480" s="1060"/>
      <c r="B480" s="1023"/>
      <c r="C480" s="1639"/>
      <c r="D480" s="1023" t="s">
        <v>1677</v>
      </c>
      <c r="E480" s="1643"/>
      <c r="F480" s="1643"/>
      <c r="G480" s="1643"/>
      <c r="H480" s="3112" t="s">
        <v>625</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3" t="s">
        <v>2193</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1621</v>
      </c>
      <c r="AG486" s="3048"/>
      <c r="AH486" s="3048"/>
      <c r="AI486" s="3048"/>
      <c r="AJ486" s="3048"/>
      <c r="AK486" s="3048"/>
      <c r="AL486" s="3048"/>
      <c r="AM486" s="1026"/>
      <c r="AN486" s="1133"/>
      <c r="AT486" s="51"/>
      <c r="AU486" s="51"/>
      <c r="AV486" s="51"/>
      <c r="AW486" s="51"/>
      <c r="AX486" s="51"/>
      <c r="AY486" s="51"/>
      <c r="AZ486" s="51"/>
    </row>
    <row r="487" spans="1:81" s="1134" customFormat="1" ht="13.45">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541</v>
      </c>
      <c r="E489" s="3093" t="s">
        <v>1720</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1685</v>
      </c>
      <c r="AG489" s="3048"/>
      <c r="AH489" s="3048"/>
      <c r="AI489" s="3048"/>
      <c r="AJ489" s="3048"/>
      <c r="AK489" s="3048"/>
      <c r="AL489" s="3048"/>
      <c r="AM489" s="1026"/>
      <c r="AN489" s="1133"/>
      <c r="AT489" s="51"/>
      <c r="AU489" s="51"/>
      <c r="AV489" s="51"/>
      <c r="AW489" s="51"/>
      <c r="AX489" s="51"/>
      <c r="AY489" s="51"/>
      <c r="AZ489" s="51"/>
    </row>
    <row r="490" spans="1:81" s="1134" customFormat="1" ht="13.45">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112" t="s">
        <v>625</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3" t="s">
        <v>1723</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1621</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3" t="s">
        <v>1724</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1685</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112" t="s">
        <v>625</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3" t="s">
        <v>1726</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1685</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3" t="s">
        <v>1727</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1704</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112" t="s">
        <v>625</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2">
        <f>VLOOKUP($H$520,$AO$455:$AP$457,2,FALSE)</f>
        <v>0</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3" t="s">
        <v>2186</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1685</v>
      </c>
      <c r="AG526" s="3048"/>
      <c r="AH526" s="3048"/>
      <c r="AI526" s="3048"/>
      <c r="AJ526" s="3048"/>
      <c r="AK526" s="3048"/>
      <c r="AL526" s="3048"/>
      <c r="AM526" s="1031"/>
      <c r="AN526" s="1133"/>
    </row>
    <row r="527" spans="1:74" s="1134" customFormat="1" ht="13.7"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541</v>
      </c>
      <c r="E531" s="3120" t="s">
        <v>2194</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1621</v>
      </c>
      <c r="AG531" s="3048"/>
      <c r="AH531" s="3048"/>
      <c r="AI531" s="3048"/>
      <c r="AJ531" s="3048"/>
      <c r="AK531" s="3048"/>
      <c r="AL531" s="3048"/>
      <c r="AM531" s="1031"/>
      <c r="AN531" s="1000"/>
    </row>
    <row r="532" spans="1:81" s="943" customFormat="1" ht="12.8"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112" t="s">
        <v>625</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3" t="s">
        <v>2185</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1731</v>
      </c>
      <c r="AG542" s="3048"/>
      <c r="AH542" s="3048"/>
      <c r="AI542" s="3048"/>
      <c r="AJ542" s="3048"/>
      <c r="AK542" s="3048"/>
      <c r="AL542" s="3048"/>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12" t="s">
        <v>625</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2">
        <f>IF(($AJ$382+$AJ$401+$AJ$413+$AJ$448+$AJ$468+$AJ$482+$AJ$494+$AJ$510+$AJ$522+$AJ$538+AJ549)&gt;10,10,($AJ$382+$AJ$401+$AJ$413+$AJ$448+$AJ$468+$AJ$482+$AJ$494+$AJ$510+$AJ$522+$AJ$538+AJ549))</f>
        <v>0</v>
      </c>
      <c r="AL551" s="3073"/>
      <c r="AM551" s="307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2">
        <f>IF((AK320+AK551)&gt;20,20,(AK320+AK551))</f>
        <v>20</v>
      </c>
      <c r="AL553" s="3073"/>
      <c r="AM553" s="307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1583</v>
      </c>
      <c r="AF556" s="3062"/>
      <c r="AG556" s="3062"/>
      <c r="AH556" s="3062"/>
      <c r="AI556" s="3062"/>
      <c r="AJ556" s="3062"/>
      <c r="AK556" s="306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9" t="s">
        <v>1736</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8"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8"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8"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4"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1737</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9" t="s">
        <v>2391</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29.95"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8"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8" customHeight="1">
      <c r="A568" s="1027"/>
      <c r="B568" s="1118"/>
      <c r="C568" s="3119" t="s">
        <v>1738</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8"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8"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8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1739</v>
      </c>
    </row>
    <row r="573" spans="1:46" s="943" customFormat="1" ht="12.8"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8"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1740</v>
      </c>
    </row>
    <row r="575" spans="1:46" s="943" customFormat="1" ht="12.8"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10</v>
      </c>
      <c r="AT575" s="3126"/>
    </row>
    <row r="576" spans="1:46" s="943" customFormat="1" ht="12.8"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615</v>
      </c>
      <c r="AP576" s="1152">
        <f>IF(C622="Yes",5,0)</f>
        <v>0</v>
      </c>
      <c r="AQ576" s="1002"/>
      <c r="AR576" s="1002"/>
      <c r="AS576" s="932" t="s">
        <v>2414</v>
      </c>
    </row>
    <row r="577" spans="1:81" s="943" customFormat="1" ht="12.8" customHeight="1">
      <c r="A577" s="1027"/>
      <c r="B577" s="1118"/>
      <c r="C577" s="3127" t="s">
        <v>1741</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8"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820</v>
      </c>
      <c r="AP578" s="1152">
        <f>IF(C627="Yes",5,0)</f>
        <v>0</v>
      </c>
    </row>
    <row r="579" spans="1:81" s="943" customFormat="1" ht="12.8"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618</v>
      </c>
      <c r="AP579" s="1152">
        <f>IF(C636="Yes",5,0)</f>
        <v>0</v>
      </c>
    </row>
    <row r="580" spans="1:81" s="943" customFormat="1" ht="11.8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4"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8"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8" customHeight="1">
      <c r="A584" s="1027"/>
      <c r="B584" s="1118"/>
      <c r="C584" s="3119" t="s">
        <v>1742</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487</v>
      </c>
      <c r="AP584" s="1152">
        <f>IF(C657="Yes",5,0)</f>
        <v>5</v>
      </c>
    </row>
    <row r="585" spans="1:81" s="943" customFormat="1" ht="12.8"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493</v>
      </c>
      <c r="AP585" s="1152">
        <f>IF(C664="Yes",5,0)</f>
        <v>0</v>
      </c>
    </row>
    <row r="586" spans="1:81" s="943" customFormat="1" ht="68.099999999999994"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131</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11</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28">
        <f>IF(AP590&gt;0,AP590,0)</f>
        <v>10</v>
      </c>
      <c r="AR590" s="3128"/>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124" t="s">
        <v>1747</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1" t="s">
        <v>625</v>
      </c>
      <c r="D596" s="3069"/>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1749</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124" t="s">
        <v>1750</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1" t="s">
        <v>625</v>
      </c>
      <c r="D604" s="3069"/>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1749</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124" t="s">
        <v>1752</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1" t="s">
        <v>577</v>
      </c>
      <c r="D612" s="3069"/>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1754</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1" t="s">
        <v>625</v>
      </c>
      <c r="D614" s="3069"/>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1749</v>
      </c>
      <c r="AG614" s="3122"/>
      <c r="AH614" s="3122"/>
      <c r="AI614" s="3122"/>
      <c r="AJ614" s="3122"/>
      <c r="AK614" s="3122"/>
      <c r="AL614" s="312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124" t="s">
        <v>1758</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1" t="s">
        <v>625</v>
      </c>
      <c r="D622" s="3069"/>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1749</v>
      </c>
      <c r="AG622" s="3122"/>
      <c r="AH622" s="3122"/>
      <c r="AI622" s="3122"/>
      <c r="AJ622" s="3122"/>
      <c r="AK622" s="3122"/>
      <c r="AL622" s="312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1" t="s">
        <v>577</v>
      </c>
      <c r="D624" s="3069"/>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1761</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1" t="s">
        <v>625</v>
      </c>
      <c r="D627" s="3069"/>
      <c r="E627" s="1174" t="s">
        <v>1762</v>
      </c>
      <c r="F627" s="3124" t="s">
        <v>1763</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1749</v>
      </c>
      <c r="AG628" s="3130"/>
      <c r="AH628" s="3130"/>
      <c r="AI628" s="3130"/>
      <c r="AJ628" s="3130"/>
      <c r="AK628" s="3130"/>
      <c r="AL628" s="3131"/>
      <c r="AM628" s="1134"/>
      <c r="AN628" s="1000"/>
      <c r="BS628" s="1134"/>
      <c r="BT628" s="1134"/>
      <c r="BY628" s="1134"/>
      <c r="BZ628" s="1134"/>
      <c r="CA628" s="1134"/>
      <c r="CB628" s="1134"/>
      <c r="CC628" s="1134"/>
    </row>
    <row r="629" spans="1:81" s="943" customFormat="1" ht="12.8"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2" t="s">
        <v>1765</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8"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8"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8" customHeight="1">
      <c r="A636" s="927"/>
      <c r="B636" s="51"/>
      <c r="C636" s="3121" t="s">
        <v>625</v>
      </c>
      <c r="D636" s="3069"/>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1749</v>
      </c>
      <c r="AG636" s="3130"/>
      <c r="AH636" s="3130"/>
      <c r="AI636" s="3130"/>
      <c r="AJ636" s="3130"/>
      <c r="AK636" s="3130"/>
      <c r="AL636" s="313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1" t="s">
        <v>625</v>
      </c>
      <c r="D638" s="3069"/>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1761</v>
      </c>
      <c r="AG638" s="3130"/>
      <c r="AH638" s="3130"/>
      <c r="AI638" s="3130"/>
      <c r="AJ638" s="3130"/>
      <c r="AK638" s="3130"/>
      <c r="AL638" s="313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124" t="s">
        <v>1770</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8" customHeight="1">
      <c r="A645" s="927"/>
      <c r="B645" s="51"/>
      <c r="C645" s="3121" t="s">
        <v>577</v>
      </c>
      <c r="D645" s="3069"/>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1749</v>
      </c>
      <c r="AG645" s="3130"/>
      <c r="AH645" s="3130"/>
      <c r="AI645" s="3130"/>
      <c r="AJ645" s="3130"/>
      <c r="AK645" s="3130"/>
      <c r="AL645" s="313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124" t="s">
        <v>1773</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8"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8"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8" customHeight="1">
      <c r="A657" s="927"/>
      <c r="B657" s="51"/>
      <c r="C657" s="3121" t="s">
        <v>577</v>
      </c>
      <c r="D657" s="3069"/>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1749</v>
      </c>
      <c r="AG657" s="3130"/>
      <c r="AH657" s="3130"/>
      <c r="AI657" s="3130"/>
      <c r="AJ657" s="3130"/>
      <c r="AK657" s="3130"/>
      <c r="AL657" s="313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124" t="s">
        <v>1776</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121" t="s">
        <v>625</v>
      </c>
      <c r="D664" s="3069"/>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1749</v>
      </c>
      <c r="AG664" s="3130"/>
      <c r="AH664" s="3130"/>
      <c r="AI664" s="3130"/>
      <c r="AJ664" s="3130"/>
      <c r="AK664" s="3130"/>
      <c r="AL664" s="3131"/>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34" t="s">
        <v>625</v>
      </c>
      <c r="D668" s="3135"/>
      <c r="E668" s="1174" t="s">
        <v>1785</v>
      </c>
      <c r="F668" s="3124" t="s">
        <v>1786</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1749</v>
      </c>
      <c r="AG668" s="3136"/>
      <c r="AH668" s="3136"/>
      <c r="AI668" s="3136"/>
      <c r="AJ668" s="3136"/>
      <c r="AK668" s="3136"/>
      <c r="AL668" s="3137"/>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121" t="s">
        <v>625</v>
      </c>
      <c r="D672" s="3069"/>
      <c r="E672" s="1174" t="s">
        <v>1791</v>
      </c>
      <c r="F672" s="3124" t="s">
        <v>1792</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1749</v>
      </c>
      <c r="AG672" s="3136"/>
      <c r="AH672" s="3136"/>
      <c r="AI672" s="3136"/>
      <c r="AJ672" s="3136"/>
      <c r="AK672" s="3136"/>
      <c r="AL672" s="3137"/>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2" t="s">
        <v>1795</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8"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8"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8"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8" customHeight="1">
      <c r="A681" s="927"/>
      <c r="B681" s="51"/>
      <c r="C681" s="3121" t="s">
        <v>625</v>
      </c>
      <c r="D681" s="3069"/>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1749</v>
      </c>
      <c r="AG681" s="3122"/>
      <c r="AH681" s="3122"/>
      <c r="AI681" s="3122"/>
      <c r="AJ681" s="3122"/>
      <c r="AK681" s="3122"/>
      <c r="AL681" s="312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2">
        <f>IF(Application!D213="N/A",AS573,AS575)</f>
        <v>10</v>
      </c>
      <c r="AL684" s="3073"/>
      <c r="AM684" s="307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1799</v>
      </c>
      <c r="AF687" s="3188"/>
      <c r="AG687" s="3188"/>
      <c r="AH687" s="3188"/>
      <c r="AI687" s="3188"/>
      <c r="AJ687" s="3188"/>
      <c r="AK687" s="3188"/>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38" t="s">
        <v>625</v>
      </c>
      <c r="D693" s="3139"/>
      <c r="E693" s="1248" t="s">
        <v>539</v>
      </c>
      <c r="F693" s="3140" t="s">
        <v>1805</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42" t="s">
        <v>625</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43" t="s">
        <v>577</v>
      </c>
      <c r="D697" s="3144"/>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0" t="s">
        <v>625</v>
      </c>
      <c r="W700" s="3150"/>
      <c r="X700" s="3150"/>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0" t="s">
        <v>625</v>
      </c>
      <c r="W702" s="3150"/>
      <c r="X702" s="3150"/>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0" t="s">
        <v>625</v>
      </c>
      <c r="W707" s="3150"/>
      <c r="X707" s="3150"/>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49"/>
      <c r="E710" s="3149"/>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0" t="s">
        <v>625</v>
      </c>
      <c r="W711" s="3150"/>
      <c r="X711" s="3150"/>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0" t="s">
        <v>625</v>
      </c>
      <c r="W713" s="3150"/>
      <c r="X713" s="3150"/>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8" t="s">
        <v>625</v>
      </c>
      <c r="D716" s="3139"/>
      <c r="E716" s="1248" t="s">
        <v>539</v>
      </c>
      <c r="F716" s="3140" t="s">
        <v>1805</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5" t="s">
        <v>625</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8" t="s">
        <v>625</v>
      </c>
      <c r="D720" s="3139"/>
      <c r="E720" s="1248" t="s">
        <v>797</v>
      </c>
      <c r="F720" s="3146" t="s">
        <v>1827</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8" t="s">
        <v>625</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8" t="s">
        <v>625</v>
      </c>
      <c r="D725" s="3139"/>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1"/>
      <c r="D727" s="3149"/>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2" t="s">
        <v>625</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3" t="s">
        <v>625</v>
      </c>
      <c r="D730" s="3164"/>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3" t="s">
        <v>625</v>
      </c>
      <c r="D734" s="3164"/>
      <c r="E734" s="1025"/>
      <c r="F734" s="1290" t="s">
        <v>1835</v>
      </c>
      <c r="G734" s="3165" t="s">
        <v>1836</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1" t="s">
        <v>625</v>
      </c>
      <c r="D738" s="3152"/>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3" t="s">
        <v>625</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1850</v>
      </c>
      <c r="AF753" s="3062"/>
      <c r="AG753" s="3062"/>
      <c r="AH753" s="3062"/>
      <c r="AI753" s="3062"/>
      <c r="AJ753" s="3062"/>
      <c r="AK753" s="3062"/>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9" t="s">
        <v>625</v>
      </c>
      <c r="D756" s="3069"/>
      <c r="E756" s="944"/>
      <c r="F756" s="3155" t="s">
        <v>1851</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8"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9" t="s">
        <v>577</v>
      </c>
      <c r="D759" s="3069"/>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3" t="s">
        <v>1853</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8"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3" t="s">
        <v>1855</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8"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28418277</v>
      </c>
      <c r="AQ765" s="3226"/>
      <c r="AR765" s="3226"/>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48604845</v>
      </c>
      <c r="AG766" s="3075"/>
      <c r="AH766" s="3075"/>
      <c r="AI766" s="3075"/>
      <c r="AJ766" s="3075"/>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52334985.100000001</v>
      </c>
      <c r="AG767" s="3238"/>
      <c r="AH767" s="3238"/>
      <c r="AI767" s="3238"/>
      <c r="AJ767" s="3238"/>
      <c r="AK767" s="1005"/>
      <c r="AL767" s="1005"/>
      <c r="AM767" s="1005"/>
      <c r="AN767" s="1000"/>
      <c r="AP767" s="3226">
        <f>Application!AJ1024</f>
        <v>2841827.7</v>
      </c>
      <c r="AQ767" s="3226"/>
      <c r="AR767" s="32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0.14000000000000001</v>
      </c>
      <c r="AG768" s="3239"/>
      <c r="AH768" s="3239"/>
      <c r="AI768" s="3239"/>
      <c r="AJ768" s="3239"/>
      <c r="AK768" s="1005"/>
      <c r="AL768" s="1005"/>
      <c r="AM768" s="1005"/>
      <c r="AN768" s="1000"/>
      <c r="AP768" s="3230">
        <f>Application!AJ1028</f>
        <v>5683655.4000000004</v>
      </c>
      <c r="AQ768" s="3230"/>
      <c r="AR768" s="323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0.30000000000000004</v>
      </c>
      <c r="AQ769" s="3225"/>
      <c r="AR769" s="3225"/>
    </row>
    <row r="770" spans="1:44" s="943" customFormat="1" ht="12.8" customHeight="1">
      <c r="A770" s="1048"/>
      <c r="B770" s="3174" t="s">
        <v>1858</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8"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43809502</v>
      </c>
      <c r="AQ771" s="3227"/>
      <c r="AR771" s="3227"/>
    </row>
    <row r="772" spans="1:44" s="943" customFormat="1" ht="12.8"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52334985.100000001</v>
      </c>
      <c r="AQ772" s="3226"/>
      <c r="AR772" s="32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3">
        <f>IF(AF768=0,0,IF((AF768*100)&gt;12,12,(AF768*100)))</f>
        <v>12</v>
      </c>
      <c r="AL774" s="3183"/>
      <c r="AM774" s="3184"/>
      <c r="AN774" s="1000"/>
      <c r="AP774" s="3249">
        <f>AP771+(AP765*AP769)</f>
        <v>52334985.100000001</v>
      </c>
      <c r="AQ774" s="3250"/>
      <c r="AR774" s="325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1860</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1861</v>
      </c>
      <c r="U782" s="3190"/>
      <c r="V782" s="3190"/>
      <c r="W782" s="3190"/>
      <c r="X782" s="3190"/>
      <c r="Y782" s="3191"/>
      <c r="Z782" s="3189" t="s">
        <v>1862</v>
      </c>
      <c r="AA782" s="3190"/>
      <c r="AB782" s="3190"/>
      <c r="AC782" s="3190"/>
      <c r="AD782" s="3190"/>
      <c r="AE782" s="3191"/>
      <c r="AF782" s="3189" t="s">
        <v>1863</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797</v>
      </c>
      <c r="B784" s="3167" t="s">
        <v>1561</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1829</v>
      </c>
      <c r="B785" s="3167" t="s">
        <v>1582</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1838</v>
      </c>
      <c r="B786" s="3167" t="s">
        <v>1592</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1864</v>
      </c>
      <c r="B787" s="3167" t="s">
        <v>1602</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1865</v>
      </c>
      <c r="B788" s="3167" t="s">
        <v>1866</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1867</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1868</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1630</v>
      </c>
      <c r="B791" s="3167" t="s">
        <v>1869</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1639</v>
      </c>
      <c r="B792" s="3167" t="s">
        <v>1640</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623</v>
      </c>
      <c r="B793" s="3167" t="s">
        <v>1870</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67" t="s">
        <v>1871</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67" t="s">
        <v>1650</v>
      </c>
      <c r="C795" s="3167"/>
      <c r="D795" s="3167"/>
      <c r="E795" s="3167"/>
      <c r="F795" s="3167"/>
      <c r="G795" s="3167"/>
      <c r="H795" s="3167"/>
      <c r="I795" s="3167"/>
      <c r="J795" s="3167"/>
      <c r="K795" s="3167"/>
      <c r="L795" s="3167"/>
      <c r="M795" s="3167"/>
      <c r="N795" s="3167"/>
      <c r="O795" s="3167"/>
      <c r="P795" s="3167"/>
      <c r="Q795" s="3167"/>
      <c r="R795" s="3167"/>
      <c r="S795" s="3168"/>
      <c r="T795" s="3195">
        <f>AK553</f>
        <v>20</v>
      </c>
      <c r="U795" s="3195"/>
      <c r="V795" s="3195"/>
      <c r="W795" s="3195"/>
      <c r="X795" s="3195"/>
      <c r="Y795" s="3195"/>
      <c r="Z795" s="3202">
        <v>20</v>
      </c>
      <c r="AA795" s="3203"/>
      <c r="AB795" s="3203"/>
      <c r="AC795" s="3203"/>
      <c r="AD795" s="3203"/>
      <c r="AE795" s="3204"/>
      <c r="AF795" s="3202">
        <f>IF(T795&gt;Z795,Z795,T795)</f>
        <v>20</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7">
        <f>AK551</f>
        <v>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67" t="s">
        <v>907</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67" t="s">
        <v>1849</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1874</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1875</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5" t="s">
        <v>1876</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120</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2021-09-01T18:41:24Z</cp:lastPrinted>
  <dcterms:created xsi:type="dcterms:W3CDTF">2007-12-27T18:26:28Z</dcterms:created>
  <dcterms:modified xsi:type="dcterms:W3CDTF">2021-09-06T14:53:56Z</dcterms:modified>
</cp:coreProperties>
</file>