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C:\Users\daniel\Dropbox\WONG CDLAC-TCAC Joint App 2021 Round 3\TAB 40 - Excel Application\"/>
    </mc:Choice>
  </mc:AlternateContent>
  <xr:revisionPtr revIDLastSave="0" documentId="13_ncr:1_{7718DB99-6AEA-45D0-8CDB-9A69FFC7449A}" xr6:coauthVersionLast="47" xr6:coauthVersionMax="47" xr10:uidLastSave="{00000000-0000-0000-0000-000000000000}"/>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Application!$A$1:$AR$166</definedName>
    <definedName name="_xlnm.Print_Area" localSheetId="3">'Application Checklist'!$A$1:$I$1103</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Budget'!$A$1:$K$41</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4" l="1"/>
  <c r="O638" i="3" l="1"/>
  <c r="R641" i="3"/>
  <c r="O641" i="3"/>
  <c r="R642" i="3" l="1"/>
  <c r="S93" i="4"/>
  <c r="C84" i="4"/>
  <c r="AF637" i="3"/>
  <c r="H30" i="4" l="1"/>
  <c r="K30" i="4"/>
  <c r="J30" i="4"/>
  <c r="N99" i="4"/>
  <c r="C49" i="4"/>
  <c r="C30" i="4" l="1"/>
  <c r="AM573" i="3"/>
  <c r="AM566" i="3"/>
  <c r="AO650" i="3"/>
  <c r="AD185" i="20" l="1"/>
  <c r="B185" i="20"/>
  <c r="AD184" i="20"/>
  <c r="B184" i="20"/>
  <c r="AA934" i="3"/>
  <c r="I934" i="3"/>
  <c r="O642" i="3"/>
  <c r="R638" i="3"/>
  <c r="AM570" i="3" l="1"/>
  <c r="AM569" i="3"/>
  <c r="C570" i="3"/>
  <c r="C569" i="3"/>
  <c r="AM567" i="3"/>
  <c r="W859" i="3" l="1"/>
  <c r="AM565" i="3"/>
  <c r="E49" i="4"/>
  <c r="U827" i="3"/>
  <c r="Q827" i="3"/>
  <c r="AD182" i="20"/>
  <c r="B182" i="20"/>
  <c r="A31" i="7"/>
  <c r="S51" i="4"/>
  <c r="S89" i="4"/>
  <c r="S86" i="4"/>
  <c r="S85" i="4"/>
  <c r="S67" i="4"/>
  <c r="S52" i="4"/>
  <c r="S50" i="4"/>
  <c r="S40" i="4"/>
  <c r="S31" i="4"/>
  <c r="S32" i="4"/>
  <c r="S33" i="4"/>
  <c r="S34" i="4"/>
  <c r="S35" i="4"/>
  <c r="S36" i="4"/>
  <c r="S37" i="4"/>
  <c r="S29" i="4"/>
  <c r="G30" i="4"/>
  <c r="C69" i="4"/>
  <c r="C53" i="4"/>
  <c r="C65" i="4"/>
  <c r="AC884" i="3"/>
  <c r="C85" i="4"/>
  <c r="C32" i="4"/>
  <c r="C33" i="4"/>
  <c r="E33" i="4"/>
  <c r="E15" i="4"/>
  <c r="E31" i="4"/>
  <c r="E32" i="4"/>
  <c r="E34" i="4"/>
  <c r="E35" i="4"/>
  <c r="E36" i="4"/>
  <c r="E37" i="4"/>
  <c r="E46" i="4"/>
  <c r="E47" i="4"/>
  <c r="E48" i="4"/>
  <c r="E50" i="4"/>
  <c r="E51" i="4"/>
  <c r="E52" i="4"/>
  <c r="E53" i="4"/>
  <c r="E57" i="4"/>
  <c r="E58" i="4"/>
  <c r="E59" i="4"/>
  <c r="E60" i="4"/>
  <c r="E61" i="4"/>
  <c r="E73" i="4"/>
  <c r="E74" i="4"/>
  <c r="E75" i="4"/>
  <c r="E76" i="4"/>
  <c r="E84" i="4"/>
  <c r="E86" i="4"/>
  <c r="E87" i="4"/>
  <c r="E88" i="4"/>
  <c r="E89" i="4"/>
  <c r="E90" i="4"/>
  <c r="E91" i="4"/>
  <c r="E92" i="4"/>
  <c r="E93" i="4"/>
  <c r="E94" i="4"/>
  <c r="E95" i="4"/>
  <c r="E100" i="4"/>
  <c r="E101" i="4"/>
  <c r="E102" i="4"/>
  <c r="E103" i="4"/>
  <c r="E83" i="4"/>
  <c r="E80" i="4"/>
  <c r="E79" i="4"/>
  <c r="E72" i="4"/>
  <c r="E69" i="4"/>
  <c r="E68" i="4"/>
  <c r="E67" i="4"/>
  <c r="E66" i="4"/>
  <c r="E65" i="4"/>
  <c r="E56" i="4"/>
  <c r="E45" i="4"/>
  <c r="E43" i="4"/>
  <c r="E41" i="4"/>
  <c r="E40" i="4"/>
  <c r="E29" i="4"/>
  <c r="E27" i="4"/>
  <c r="E19" i="4"/>
  <c r="E20" i="4"/>
  <c r="E21" i="4"/>
  <c r="E22" i="4"/>
  <c r="E23" i="4"/>
  <c r="E24" i="4"/>
  <c r="E25" i="4"/>
  <c r="E18" i="4"/>
  <c r="E17" i="4"/>
  <c r="E14" i="4"/>
  <c r="E13" i="4"/>
  <c r="E10" i="4"/>
  <c r="E9" i="4"/>
  <c r="E5" i="4"/>
  <c r="E6" i="4"/>
  <c r="E7" i="4"/>
  <c r="AA933" i="3"/>
  <c r="AA932" i="3"/>
  <c r="I933" i="3"/>
  <c r="I932" i="3"/>
  <c r="AA915" i="3"/>
  <c r="AM568" i="3"/>
  <c r="W566" i="3"/>
  <c r="W565" i="3"/>
  <c r="C566" i="3"/>
  <c r="C567" i="3"/>
  <c r="C568" i="3"/>
  <c r="C565" i="3"/>
  <c r="R639" i="3"/>
  <c r="O639" i="3"/>
  <c r="R637" i="3"/>
  <c r="O637"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K28" i="7"/>
  <c r="Y28" i="7"/>
  <c r="W28" i="7"/>
  <c r="U28" i="7"/>
  <c r="S28" i="7"/>
  <c r="AE28" i="7"/>
  <c r="G28" i="7"/>
  <c r="AC28" i="7"/>
  <c r="AA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6"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T788" i="20" s="1"/>
  <c r="AF788" i="20" s="1"/>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T789"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S10" i="4" s="1"/>
  <c r="E10" i="13" s="1"/>
  <c r="R91" i="4"/>
  <c r="R84" i="4"/>
  <c r="S84" i="4" s="1"/>
  <c r="T25" i="15"/>
  <c r="AI7" i="15"/>
  <c r="AG440" i="3"/>
  <c r="AG443" i="3"/>
  <c r="AG444" i="3" s="1"/>
  <c r="B59" i="4"/>
  <c r="C80" i="11"/>
  <c r="C81" i="11"/>
  <c r="B80" i="11"/>
  <c r="B81" i="11"/>
  <c r="I96" i="13"/>
  <c r="J96" i="13"/>
  <c r="J81" i="13"/>
  <c r="I81" i="13"/>
  <c r="G81" i="13"/>
  <c r="F81" i="13"/>
  <c r="D81" i="13"/>
  <c r="C81" i="13"/>
  <c r="H80" i="13"/>
  <c r="B80" i="13"/>
  <c r="R80" i="4"/>
  <c r="S80" i="4" s="1"/>
  <c r="E80" i="13" s="1"/>
  <c r="R79" i="4"/>
  <c r="S79" i="4" s="1"/>
  <c r="S70" i="4"/>
  <c r="E70" i="13"/>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6" i="13"/>
  <c r="E85"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E93" i="13" s="1"/>
  <c r="R92" i="4"/>
  <c r="R90" i="4"/>
  <c r="R89" i="4"/>
  <c r="R88" i="4"/>
  <c r="R87" i="4"/>
  <c r="R86" i="4"/>
  <c r="R83" i="4"/>
  <c r="R76" i="4"/>
  <c r="R75" i="4"/>
  <c r="R72" i="4"/>
  <c r="R73" i="4"/>
  <c r="R74" i="4"/>
  <c r="R69" i="4"/>
  <c r="R65" i="4"/>
  <c r="R61" i="4"/>
  <c r="R60" i="4"/>
  <c r="R59" i="4"/>
  <c r="R58" i="4"/>
  <c r="R57" i="4"/>
  <c r="R56" i="4"/>
  <c r="R53" i="4"/>
  <c r="R52" i="4"/>
  <c r="R51" i="4"/>
  <c r="R50"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D47" i="11" s="1"/>
  <c r="C47" i="11"/>
  <c r="B48" i="11"/>
  <c r="B49" i="11"/>
  <c r="B50" i="11"/>
  <c r="D50" i="11" s="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s="1"/>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62" i="4"/>
  <c r="B62" i="13" s="1"/>
  <c r="C77" i="4"/>
  <c r="B77" i="13" s="1"/>
  <c r="C96" i="4"/>
  <c r="B96" i="13" s="1"/>
  <c r="B104" i="13"/>
  <c r="D8" i="4"/>
  <c r="D11" i="4"/>
  <c r="D26" i="4"/>
  <c r="D38" i="4"/>
  <c r="D42" i="4"/>
  <c r="D54" i="4"/>
  <c r="D62" i="4"/>
  <c r="D77" i="4"/>
  <c r="D96" i="4"/>
  <c r="D104" i="4"/>
  <c r="B104" i="4"/>
  <c r="N150" i="23" s="1"/>
  <c r="AO649" i="3"/>
  <c r="AO651" i="3" s="1"/>
  <c r="S26" i="4"/>
  <c r="E26" i="13"/>
  <c r="S42" i="4"/>
  <c r="E42" i="13"/>
  <c r="S54" i="4"/>
  <c r="E54" i="13" s="1"/>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K11" i="4"/>
  <c r="L8" i="4"/>
  <c r="L11" i="4"/>
  <c r="M8" i="4"/>
  <c r="M12" i="4" s="1"/>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K96" i="4"/>
  <c r="L96" i="4"/>
  <c r="Q96" i="4"/>
  <c r="B101" i="4"/>
  <c r="B102" i="4"/>
  <c r="B103" i="4"/>
  <c r="F104" i="4"/>
  <c r="G104" i="4"/>
  <c r="H104" i="4"/>
  <c r="I104" i="4"/>
  <c r="K104" i="4"/>
  <c r="Q104" i="4"/>
  <c r="E108" i="4"/>
  <c r="F108" i="4"/>
  <c r="F30" i="4" s="1"/>
  <c r="G108" i="4"/>
  <c r="H108" i="4"/>
  <c r="I108" i="4"/>
  <c r="I85" i="4" s="1"/>
  <c r="I96" i="4" s="1"/>
  <c r="I97" i="4" s="1"/>
  <c r="I105" i="4" s="1"/>
  <c r="J108" i="4"/>
  <c r="K108" i="4"/>
  <c r="L108" i="4"/>
  <c r="L99" i="4" s="1"/>
  <c r="L104" i="4" s="1"/>
  <c r="L105" i="4" s="1"/>
  <c r="M108" i="4"/>
  <c r="M4" i="4" s="1"/>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c r="D30" i="11"/>
  <c r="E6" i="21"/>
  <c r="E92" i="20"/>
  <c r="B77" i="4"/>
  <c r="E93" i="20"/>
  <c r="DC658" i="3"/>
  <c r="DH658" i="3"/>
  <c r="DM658" i="3"/>
  <c r="CS658" i="3"/>
  <c r="DR658" i="3"/>
  <c r="CX658" i="3"/>
  <c r="B27" i="11"/>
  <c r="D49"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Q12" i="4"/>
  <c r="B11" i="4"/>
  <c r="O63" i="4"/>
  <c r="O97" i="4"/>
  <c r="O105" i="4"/>
  <c r="D18" i="11"/>
  <c r="R70" i="4"/>
  <c r="B8" i="4"/>
  <c r="N154" i="23" s="1"/>
  <c r="N160" i="23" s="1"/>
  <c r="D10" i="11"/>
  <c r="D36" i="11"/>
  <c r="G63" i="13"/>
  <c r="G97" i="13"/>
  <c r="G105" i="13"/>
  <c r="G107" i="13"/>
  <c r="D61" i="11"/>
  <c r="D57" i="11"/>
  <c r="D20" i="11"/>
  <c r="D8" i="11"/>
  <c r="D85" i="11"/>
  <c r="B43" i="11"/>
  <c r="D102" i="11"/>
  <c r="D94" i="11"/>
  <c r="C43" i="11"/>
  <c r="C12" i="13"/>
  <c r="D63" i="4"/>
  <c r="D97" i="4"/>
  <c r="D105" i="4"/>
  <c r="B78" i="11"/>
  <c r="D7" i="11"/>
  <c r="J12" i="4"/>
  <c r="D22" i="11"/>
  <c r="O12" i="4"/>
  <c r="I63" i="4"/>
  <c r="D95" i="11"/>
  <c r="D25" i="11"/>
  <c r="B82" i="11"/>
  <c r="B11" i="13"/>
  <c r="D12" i="4"/>
  <c r="R77" i="4"/>
  <c r="H12" i="4"/>
  <c r="C82" i="11"/>
  <c r="B9" i="11"/>
  <c r="D9" i="11" s="1"/>
  <c r="C39" i="11"/>
  <c r="D23" i="11"/>
  <c r="D19" i="11"/>
  <c r="D89" i="11"/>
  <c r="D73" i="11"/>
  <c r="D44" i="11"/>
  <c r="D35" i="11"/>
  <c r="D76" i="11"/>
  <c r="D31" i="11"/>
  <c r="D32" i="11"/>
  <c r="D15" i="11"/>
  <c r="D63" i="13"/>
  <c r="D97" i="13"/>
  <c r="D105" i="13"/>
  <c r="D14" i="11"/>
  <c r="Q63" i="4"/>
  <c r="Q97" i="4"/>
  <c r="Q105" i="4"/>
  <c r="D87" i="11"/>
  <c r="N63" i="4"/>
  <c r="N97" i="4"/>
  <c r="N105" i="4"/>
  <c r="N12" i="4"/>
  <c r="H63" i="4"/>
  <c r="H97" i="4" s="1"/>
  <c r="H105" i="4" s="1"/>
  <c r="F12" i="4"/>
  <c r="D60" i="11"/>
  <c r="D84" i="11"/>
  <c r="D74" i="11"/>
  <c r="D59" i="11"/>
  <c r="D38" i="11"/>
  <c r="R42" i="4"/>
  <c r="P63" i="4"/>
  <c r="P97" i="4"/>
  <c r="P105" i="4"/>
  <c r="B38" i="4"/>
  <c r="C63" i="11"/>
  <c r="B63" i="11"/>
  <c r="D63" i="11" s="1"/>
  <c r="C9" i="11"/>
  <c r="D12" i="13"/>
  <c r="D58" i="11"/>
  <c r="D100" i="11"/>
  <c r="D62" i="11"/>
  <c r="D24" i="11"/>
  <c r="D101" i="11"/>
  <c r="D90" i="11"/>
  <c r="R62" i="4"/>
  <c r="D66" i="11"/>
  <c r="C63" i="13"/>
  <c r="C97" i="13"/>
  <c r="C105" i="13"/>
  <c r="D92" i="11"/>
  <c r="D75" i="11"/>
  <c r="B71" i="11"/>
  <c r="B39" i="11"/>
  <c r="D28" i="11"/>
  <c r="C55" i="11"/>
  <c r="D103" i="11"/>
  <c r="D88" i="11"/>
  <c r="C78" i="11"/>
  <c r="D78" i="11" s="1"/>
  <c r="D42" i="11"/>
  <c r="D21" i="11"/>
  <c r="D16" i="11"/>
  <c r="B12" i="11"/>
  <c r="R26" i="4"/>
  <c r="D81" i="11"/>
  <c r="D86" i="11"/>
  <c r="B55" i="11"/>
  <c r="F63" i="13"/>
  <c r="F97" i="13"/>
  <c r="F105" i="13"/>
  <c r="F107" i="13"/>
  <c r="AM733" i="3"/>
  <c r="BI708" i="3"/>
  <c r="AM731" i="3"/>
  <c r="BI706" i="3"/>
  <c r="AM730" i="3"/>
  <c r="BI705" i="3"/>
  <c r="AM728" i="3"/>
  <c r="BI703" i="3"/>
  <c r="AD193" i="20"/>
  <c r="AD194" i="20"/>
  <c r="B42" i="4"/>
  <c r="D77" i="11"/>
  <c r="C71" i="11"/>
  <c r="M63" i="4"/>
  <c r="M97" i="4" s="1"/>
  <c r="M105" i="4" s="1"/>
  <c r="G63" i="4"/>
  <c r="G97" i="4"/>
  <c r="G105" i="4"/>
  <c r="D91" i="11"/>
  <c r="J63" i="4"/>
  <c r="J97" i="4"/>
  <c r="D41" i="11"/>
  <c r="C12" i="11"/>
  <c r="B62" i="4"/>
  <c r="B105" i="11"/>
  <c r="U39" i="7"/>
  <c r="U42" i="7" s="1"/>
  <c r="S39" i="7"/>
  <c r="E42" i="7"/>
  <c r="I39" i="7"/>
  <c r="I42" i="7" s="1"/>
  <c r="K39" i="7"/>
  <c r="W39" i="7"/>
  <c r="W42" i="7" s="1"/>
  <c r="Y39" i="7"/>
  <c r="Y42" i="7" s="1"/>
  <c r="AD7" i="15"/>
  <c r="G39" i="7"/>
  <c r="G42" i="7" s="1"/>
  <c r="O39" i="7"/>
  <c r="O42" i="7" s="1"/>
  <c r="BN644" i="3"/>
  <c r="BR645" i="3"/>
  <c r="CM644" i="3"/>
  <c r="CQ645" i="3"/>
  <c r="AE39" i="7"/>
  <c r="AE42" i="7" s="1"/>
  <c r="AA39" i="7"/>
  <c r="AA42" i="7" s="1"/>
  <c r="CH644" i="3"/>
  <c r="CL645" i="3"/>
  <c r="BS644" i="3"/>
  <c r="BW645" i="3"/>
  <c r="AG39" i="7"/>
  <c r="AG42" i="7" s="1"/>
  <c r="Q39" i="7"/>
  <c r="Q42" i="7" s="1"/>
  <c r="AC39" i="7"/>
  <c r="AC42" i="7" s="1"/>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AJ1028" i="3"/>
  <c r="BG635" i="3"/>
  <c r="X1027" i="3"/>
  <c r="E9" i="7"/>
  <c r="F30" i="8"/>
  <c r="K14" i="7"/>
  <c r="G9" i="7"/>
  <c r="I8" i="7"/>
  <c r="I16" i="7"/>
  <c r="K16" i="7"/>
  <c r="M16" i="7"/>
  <c r="O16" i="7"/>
  <c r="Q16" i="7"/>
  <c r="S16" i="7"/>
  <c r="U16" i="7"/>
  <c r="W16" i="7"/>
  <c r="Y16" i="7"/>
  <c r="AA16" i="7"/>
  <c r="AC16" i="7"/>
  <c r="AE16" i="7"/>
  <c r="AG16" i="7"/>
  <c r="D104" i="11"/>
  <c r="B96" i="4"/>
  <c r="T63" i="4"/>
  <c r="T97" i="4"/>
  <c r="D11" i="11"/>
  <c r="C12" i="4"/>
  <c r="B12" i="13" s="1"/>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BI728" i="3"/>
  <c r="AM753" i="3"/>
  <c r="D71" i="11"/>
  <c r="D82" i="11"/>
  <c r="B12" i="4"/>
  <c r="B13" i="11"/>
  <c r="D39" i="11"/>
  <c r="D12" i="11"/>
  <c r="C13" i="11"/>
  <c r="D26" i="11"/>
  <c r="D27" i="11"/>
  <c r="CM636" i="3"/>
  <c r="BX663" i="3"/>
  <c r="AB971" i="3"/>
  <c r="Y798" i="3"/>
  <c r="C64" i="11"/>
  <c r="BN663" i="3"/>
  <c r="AB969" i="3"/>
  <c r="AC883"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M14" i="7"/>
  <c r="H63" i="13"/>
  <c r="T105" i="4"/>
  <c r="H97" i="13"/>
  <c r="CS637" i="3"/>
  <c r="D96" i="11"/>
  <c r="C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Z816" i="3"/>
  <c r="AB973" i="3"/>
  <c r="E10" i="7"/>
  <c r="G4" i="7"/>
  <c r="G5" i="7"/>
  <c r="BI671" i="3"/>
  <c r="BI696" i="3"/>
  <c r="AH753" i="3"/>
  <c r="O14" i="7"/>
  <c r="M8" i="7"/>
  <c r="K9" i="7"/>
  <c r="G7" i="7"/>
  <c r="I6" i="7"/>
  <c r="T107" i="4"/>
  <c r="H105" i="13"/>
  <c r="CS663" i="3"/>
  <c r="J8" i="22"/>
  <c r="J10" i="22"/>
  <c r="U588" i="20"/>
  <c r="P420" i="3"/>
  <c r="E126" i="20"/>
  <c r="E127" i="20"/>
  <c r="H107" i="13"/>
  <c r="AD11" i="15"/>
  <c r="AD23" i="15"/>
  <c r="AD26" i="15"/>
  <c r="E91" i="20"/>
  <c r="E81" i="20"/>
  <c r="E82" i="20"/>
  <c r="E83" i="20"/>
  <c r="AP83" i="20"/>
  <c r="I11" i="21"/>
  <c r="AJ973" i="3"/>
  <c r="AJ975" i="3"/>
  <c r="AJ1024" i="3"/>
  <c r="E16" i="21"/>
  <c r="AB974" i="3"/>
  <c r="G10" i="7"/>
  <c r="I4" i="7"/>
  <c r="I5" i="7"/>
  <c r="I7" i="7"/>
  <c r="K6" i="7"/>
  <c r="M9" i="7"/>
  <c r="O8" i="7"/>
  <c r="Q14" i="7"/>
  <c r="AP94" i="20"/>
  <c r="AJ1015" i="3"/>
  <c r="AJ1011" i="3"/>
  <c r="AJ1008" i="3"/>
  <c r="AJ1020" i="3"/>
  <c r="AJ977" i="3"/>
  <c r="AJ986" i="3"/>
  <c r="AJ995" i="3"/>
  <c r="AP765" i="20"/>
  <c r="AJ992" i="3"/>
  <c r="AP768" i="20"/>
  <c r="AP767" i="20"/>
  <c r="AK97" i="20"/>
  <c r="T786" i="20"/>
  <c r="AF786" i="20"/>
  <c r="B1039" i="3"/>
  <c r="I15" i="21"/>
  <c r="I14" i="21"/>
  <c r="K4" i="7"/>
  <c r="M4" i="7"/>
  <c r="M5" i="7"/>
  <c r="I10" i="7"/>
  <c r="S14" i="7"/>
  <c r="M6" i="7"/>
  <c r="K7" i="7"/>
  <c r="O9" i="7"/>
  <c r="Q8" i="7"/>
  <c r="AZ846" i="3"/>
  <c r="AZ849" i="3"/>
  <c r="AJ1032" i="3"/>
  <c r="T24" i="15"/>
  <c r="I16" i="21"/>
  <c r="AP769" i="20"/>
  <c r="O4" i="7"/>
  <c r="O5" i="7"/>
  <c r="K5" i="7"/>
  <c r="K10" i="7"/>
  <c r="U14" i="7"/>
  <c r="Q9" i="7"/>
  <c r="S8" i="7"/>
  <c r="O6" i="7"/>
  <c r="M7" i="7"/>
  <c r="M10" i="7"/>
  <c r="AZ854" i="3"/>
  <c r="AP772" i="20"/>
  <c r="AP771" i="20"/>
  <c r="AP774" i="20"/>
  <c r="AF767" i="20"/>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AS153" i="23"/>
  <c r="AK131" i="20"/>
  <c r="T787" i="20"/>
  <c r="AF787" i="20"/>
  <c r="K42" i="7" l="1"/>
  <c r="S42" i="7"/>
  <c r="M42" i="7"/>
  <c r="S96" i="4"/>
  <c r="E96" i="13" s="1"/>
  <c r="E84" i="13"/>
  <c r="D105" i="11"/>
  <c r="S81" i="4"/>
  <c r="E81" i="13" s="1"/>
  <c r="E79" i="13"/>
  <c r="R81" i="4"/>
  <c r="B64" i="11"/>
  <c r="D64" i="11" s="1"/>
  <c r="D97" i="11"/>
  <c r="K8" i="4"/>
  <c r="E30" i="4"/>
  <c r="F38" i="4"/>
  <c r="F63" i="4" s="1"/>
  <c r="F97" i="4" s="1"/>
  <c r="F105" i="4" s="1"/>
  <c r="E85" i="4"/>
  <c r="G20" i="7"/>
  <c r="I20" i="7" s="1"/>
  <c r="K20" i="7" s="1"/>
  <c r="M20" i="7" s="1"/>
  <c r="O20" i="7" s="1"/>
  <c r="Q20" i="7" s="1"/>
  <c r="S20" i="7" s="1"/>
  <c r="U20" i="7" s="1"/>
  <c r="W20" i="7" s="1"/>
  <c r="Y20" i="7" s="1"/>
  <c r="AA20" i="7" s="1"/>
  <c r="AC20" i="7" s="1"/>
  <c r="AE20" i="7" s="1"/>
  <c r="AG20" i="7" s="1"/>
  <c r="E21" i="7"/>
  <c r="E34" i="7" s="1"/>
  <c r="E36" i="7" s="1"/>
  <c r="G21" i="7"/>
  <c r="G34" i="7" s="1"/>
  <c r="G36" i="7" s="1"/>
  <c r="I17" i="7"/>
  <c r="T27" i="15"/>
  <c r="AD27" i="15"/>
  <c r="AD28" i="15" s="1"/>
  <c r="AI27" i="15"/>
  <c r="AI28" i="15" s="1"/>
  <c r="Y27" i="15"/>
  <c r="AK166" i="20"/>
  <c r="AB48" i="15"/>
  <c r="N151" i="23"/>
  <c r="N161" i="23"/>
  <c r="R49" i="4"/>
  <c r="R54" i="4" s="1"/>
  <c r="E54" i="4"/>
  <c r="J104" i="4"/>
  <c r="J105" i="4" s="1"/>
  <c r="E99" i="4"/>
  <c r="D55" i="11"/>
  <c r="C98" i="11"/>
  <c r="C54" i="4"/>
  <c r="E94" i="20"/>
  <c r="B98" i="11" l="1"/>
  <c r="B106" i="11" s="1"/>
  <c r="R30" i="4"/>
  <c r="E38" i="4"/>
  <c r="K12" i="4"/>
  <c r="K63" i="4"/>
  <c r="K97" i="4" s="1"/>
  <c r="K105" i="4" s="1"/>
  <c r="R85" i="4"/>
  <c r="R96" i="4" s="1"/>
  <c r="E96" i="4"/>
  <c r="R4" i="4"/>
  <c r="R8" i="4" s="1"/>
  <c r="R12" i="4" s="1"/>
  <c r="E8" i="4"/>
  <c r="E12" i="4" s="1"/>
  <c r="G48" i="7"/>
  <c r="G44" i="7"/>
  <c r="E44" i="7"/>
  <c r="E48" i="7"/>
  <c r="K17" i="7"/>
  <c r="I21" i="7"/>
  <c r="I34" i="7" s="1"/>
  <c r="I36" i="7" s="1"/>
  <c r="E104" i="4"/>
  <c r="R99" i="4"/>
  <c r="B54" i="4"/>
  <c r="B63" i="4" s="1"/>
  <c r="B54" i="13"/>
  <c r="C63" i="4"/>
  <c r="C106" i="11"/>
  <c r="D106" i="11" l="1"/>
  <c r="D98" i="11"/>
  <c r="E63" i="4"/>
  <c r="E97" i="4" s="1"/>
  <c r="E105" i="4" s="1"/>
  <c r="S30" i="4"/>
  <c r="R38" i="4"/>
  <c r="R63" i="4" s="1"/>
  <c r="R97" i="4" s="1"/>
  <c r="I44" i="7"/>
  <c r="I48" i="7"/>
  <c r="K21" i="7"/>
  <c r="K34" i="7" s="1"/>
  <c r="K36" i="7" s="1"/>
  <c r="M17" i="7"/>
  <c r="E47" i="7"/>
  <c r="E46" i="7"/>
  <c r="E59" i="7"/>
  <c r="G59" i="7"/>
  <c r="G46" i="7"/>
  <c r="G47" i="7"/>
  <c r="C97" i="4"/>
  <c r="B63" i="13"/>
  <c r="R104" i="4"/>
  <c r="S99" i="4"/>
  <c r="R105" i="4" l="1"/>
  <c r="E30" i="13"/>
  <c r="S38" i="4"/>
  <c r="O17" i="7"/>
  <c r="M21" i="7"/>
  <c r="M34" i="7" s="1"/>
  <c r="M36" i="7" s="1"/>
  <c r="K44" i="7"/>
  <c r="K48" i="7"/>
  <c r="G61" i="7"/>
  <c r="G66" i="7"/>
  <c r="G65" i="7"/>
  <c r="E66" i="7"/>
  <c r="E65" i="7"/>
  <c r="E69" i="7" s="1"/>
  <c r="E61" i="7"/>
  <c r="I46" i="7"/>
  <c r="I59" i="7"/>
  <c r="I47" i="7"/>
  <c r="S104" i="4"/>
  <c r="E99" i="13"/>
  <c r="B97" i="13"/>
  <c r="C105" i="4"/>
  <c r="B97" i="4"/>
  <c r="E71" i="7" l="1"/>
  <c r="S63" i="4"/>
  <c r="E38" i="13"/>
  <c r="G69" i="7"/>
  <c r="G71" i="7" s="1"/>
  <c r="K46" i="7"/>
  <c r="K59" i="7"/>
  <c r="K47" i="7"/>
  <c r="I61" i="7"/>
  <c r="I66" i="7"/>
  <c r="I65" i="7"/>
  <c r="M44" i="7"/>
  <c r="M48" i="7"/>
  <c r="O21" i="7"/>
  <c r="O34" i="7" s="1"/>
  <c r="O36" i="7" s="1"/>
  <c r="Q17" i="7"/>
  <c r="E104" i="13"/>
  <c r="AG252" i="20"/>
  <c r="AC454" i="3"/>
  <c r="B105" i="4"/>
  <c r="B105" i="13"/>
  <c r="I69" i="7" l="1"/>
  <c r="I71" i="7" s="1"/>
  <c r="E63" i="13"/>
  <c r="S97" i="4"/>
  <c r="M46" i="7"/>
  <c r="M59" i="7"/>
  <c r="M47" i="7"/>
  <c r="S17" i="7"/>
  <c r="Q21" i="7"/>
  <c r="Q34" i="7" s="1"/>
  <c r="Q36" i="7" s="1"/>
  <c r="O44" i="7"/>
  <c r="O48" i="7"/>
  <c r="K61" i="7"/>
  <c r="K65" i="7"/>
  <c r="K66" i="7"/>
  <c r="AB249" i="20"/>
  <c r="AG251" i="20" s="1"/>
  <c r="AG253" i="20" s="1"/>
  <c r="AK256" i="20" s="1"/>
  <c r="T792" i="20" s="1"/>
  <c r="AF792" i="20" s="1"/>
  <c r="AB47" i="15"/>
  <c r="AB49" i="15" s="1"/>
  <c r="AC453" i="3"/>
  <c r="E97" i="13" l="1"/>
  <c r="S105" i="4"/>
  <c r="K69" i="7"/>
  <c r="K71" i="7" s="1"/>
  <c r="O59" i="7"/>
  <c r="O46" i="7"/>
  <c r="O47" i="7"/>
  <c r="M61" i="7"/>
  <c r="M65" i="7"/>
  <c r="M66" i="7"/>
  <c r="U17" i="7"/>
  <c r="S21" i="7"/>
  <c r="S34" i="7" s="1"/>
  <c r="S36" i="7" s="1"/>
  <c r="Q48" i="7"/>
  <c r="Q44" i="7"/>
  <c r="S107" i="4" l="1"/>
  <c r="E105" i="13"/>
  <c r="S44" i="7"/>
  <c r="S48" i="7"/>
  <c r="M69" i="7"/>
  <c r="M71" i="7" s="1"/>
  <c r="O65" i="7"/>
  <c r="O61" i="7"/>
  <c r="O66" i="7"/>
  <c r="Q46" i="7"/>
  <c r="Q59" i="7"/>
  <c r="Q47" i="7"/>
  <c r="W17" i="7"/>
  <c r="U21" i="7"/>
  <c r="U34" i="7" s="1"/>
  <c r="U36" i="7" s="1"/>
  <c r="O69" i="7" l="1"/>
  <c r="O71" i="7" s="1"/>
  <c r="AC455" i="3"/>
  <c r="AF766" i="20"/>
  <c r="AF768" i="20" s="1"/>
  <c r="AK774" i="20" s="1"/>
  <c r="T799" i="20" s="1"/>
  <c r="AF799" i="20" s="1"/>
  <c r="AF801" i="20" s="1"/>
  <c r="E107" i="13"/>
  <c r="U48" i="7"/>
  <c r="U44" i="7"/>
  <c r="Y17" i="7"/>
  <c r="W21" i="7"/>
  <c r="W34" i="7" s="1"/>
  <c r="W36" i="7" s="1"/>
  <c r="Q65" i="7"/>
  <c r="Q61" i="7"/>
  <c r="Q66" i="7"/>
  <c r="S59" i="7"/>
  <c r="S46" i="7"/>
  <c r="S47" i="7"/>
  <c r="Y11" i="15" l="1"/>
  <c r="Y23" i="15" s="1"/>
  <c r="Y26" i="15" s="1"/>
  <c r="Y28" i="15" s="1"/>
  <c r="T11" i="15"/>
  <c r="T23" i="15" s="1"/>
  <c r="S65" i="7"/>
  <c r="S61" i="7"/>
  <c r="S66" i="7"/>
  <c r="Q69" i="7"/>
  <c r="Q71" i="7" s="1"/>
  <c r="W48" i="7"/>
  <c r="W44" i="7"/>
  <c r="AA17" i="7"/>
  <c r="Y21" i="7"/>
  <c r="Y34" i="7" s="1"/>
  <c r="Y36" i="7" s="1"/>
  <c r="U59" i="7"/>
  <c r="U46" i="7"/>
  <c r="U47" i="7"/>
  <c r="Y64" i="15" l="1"/>
  <c r="Y68" i="15" s="1"/>
  <c r="AD38" i="15"/>
  <c r="AD40" i="15" s="1"/>
  <c r="T26" i="15"/>
  <c r="T28" i="15" s="1"/>
  <c r="S69" i="7"/>
  <c r="S71" i="7" s="1"/>
  <c r="Y48" i="7"/>
  <c r="Y44" i="7"/>
  <c r="W46" i="7"/>
  <c r="W59" i="7"/>
  <c r="W47" i="7"/>
  <c r="U65" i="7"/>
  <c r="U61" i="7"/>
  <c r="U66" i="7"/>
  <c r="AC17" i="7"/>
  <c r="AA21" i="7"/>
  <c r="AA34" i="7" s="1"/>
  <c r="AA36" i="7" s="1"/>
  <c r="T29" i="15" l="1"/>
  <c r="Y38" i="15"/>
  <c r="Y40" i="15" s="1"/>
  <c r="Y41" i="15" s="1"/>
  <c r="U69" i="7"/>
  <c r="U71" i="7" s="1"/>
  <c r="Y47" i="7"/>
  <c r="Y46" i="7"/>
  <c r="Y59" i="7"/>
  <c r="AC21" i="7"/>
  <c r="AC34" i="7" s="1"/>
  <c r="AC36" i="7" s="1"/>
  <c r="AE17" i="7"/>
  <c r="W61" i="7"/>
  <c r="W65" i="7"/>
  <c r="W66" i="7"/>
  <c r="AA44" i="7"/>
  <c r="AA48" i="7"/>
  <c r="AB50" i="15" l="1"/>
  <c r="AB54" i="15" s="1"/>
  <c r="AB55" i="15" s="1"/>
  <c r="AB56" i="15" s="1"/>
  <c r="AA46" i="7"/>
  <c r="AA47" i="7"/>
  <c r="AA59" i="7"/>
  <c r="W69" i="7"/>
  <c r="W71" i="7" s="1"/>
  <c r="AC44" i="7"/>
  <c r="AC48" i="7"/>
  <c r="Y65" i="7"/>
  <c r="Y61" i="7"/>
  <c r="Y66" i="7"/>
  <c r="AE21" i="7"/>
  <c r="AE34" i="7" s="1"/>
  <c r="AE36" i="7" s="1"/>
  <c r="AG17" i="7"/>
  <c r="AG21" i="7" s="1"/>
  <c r="AG34" i="7" s="1"/>
  <c r="AG36" i="7" s="1"/>
  <c r="M26" i="3" l="1"/>
  <c r="P203" i="3" s="1"/>
  <c r="AB57" i="15"/>
  <c r="AB59" i="15" s="1"/>
  <c r="AB76" i="15" s="1"/>
  <c r="AB77" i="15" s="1"/>
  <c r="AB78" i="15" s="1"/>
  <c r="AB80" i="15" s="1"/>
  <c r="J81" i="15" s="1"/>
  <c r="AG44" i="7"/>
  <c r="AG48" i="7"/>
  <c r="AE44" i="7"/>
  <c r="AE48" i="7"/>
  <c r="Y69" i="7"/>
  <c r="Y71" i="7" s="1"/>
  <c r="AA65" i="7"/>
  <c r="AA61" i="7"/>
  <c r="AA66" i="7"/>
  <c r="AC46" i="7"/>
  <c r="AC59" i="7"/>
  <c r="AC47" i="7"/>
  <c r="M27" i="3" l="1"/>
  <c r="P204" i="3" s="1"/>
  <c r="E3" i="21"/>
  <c r="E7" i="21" s="1"/>
  <c r="E18" i="21" s="1"/>
  <c r="AC65" i="7"/>
  <c r="AC61" i="7"/>
  <c r="AC66" i="7"/>
  <c r="AE47" i="7"/>
  <c r="AE46" i="7"/>
  <c r="AE59" i="7"/>
  <c r="AA69" i="7"/>
  <c r="AA71" i="7" s="1"/>
  <c r="AG47" i="7"/>
  <c r="AG46" i="7"/>
  <c r="AG59" i="7"/>
  <c r="AG61" i="7" l="1"/>
  <c r="AG65" i="7"/>
  <c r="AG66" i="7"/>
  <c r="AE66" i="7"/>
  <c r="AE61" i="7"/>
  <c r="AE65" i="7"/>
  <c r="AC69" i="7"/>
  <c r="AC71" i="7" s="1"/>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<sst xmlns="http://schemas.openxmlformats.org/spreadsheetml/2006/main" count="5110" uniqueCount="2684">
  <si>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</si>
  <si>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</si>
  <si>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</si>
  <si>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</si>
  <si>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</si>
  <si>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</si>
  <si>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</si>
  <si>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</si>
  <si>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</si>
  <si>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</si>
  <si>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</si>
  <si>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</si>
  <si>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</si>
  <si>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</si>
  <si>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</si>
  <si>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</si>
  <si>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</si>
  <si>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</si>
  <si>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</si>
  <si>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</si>
  <si>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</si>
  <si>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</si>
  <si>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</si>
  <si>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</si>
  <si>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</si>
  <si>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</si>
  <si>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</si>
  <si>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</si>
  <si>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</si>
  <si>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</si>
  <si>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</si>
  <si>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</si>
  <si>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</si>
  <si>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</si>
  <si>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</si>
  <si>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</si>
  <si>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</si>
  <si>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</si>
  <si>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</si>
  <si>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</si>
  <si>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</si>
  <si>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</si>
  <si>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</si>
  <si>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</si>
  <si>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</si>
  <si>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</si>
  <si>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</si>
  <si>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</si>
  <si>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</si>
  <si>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</si>
  <si>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</si>
  <si>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</si>
  <si>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</si>
  <si>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</si>
  <si>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</si>
  <si>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</si>
  <si>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</si>
  <si>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</si>
  <si>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</si>
  <si>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</si>
  <si>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</si>
  <si>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</si>
  <si>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</si>
  <si>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</si>
  <si>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</si>
  <si>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</si>
  <si>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</si>
  <si>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</si>
  <si>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</si>
  <si>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</si>
  <si>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</si>
  <si>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</si>
  <si>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</si>
  <si>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</si>
  <si>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</si>
  <si>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</si>
  <si>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</si>
  <si>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</si>
  <si>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</si>
  <si>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</si>
  <si>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</si>
  <si>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</si>
  <si>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</si>
  <si>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</si>
  <si>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</si>
  <si>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</si>
  <si>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</si>
  <si>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</si>
  <si>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</si>
  <si>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</si>
  <si>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</si>
  <si>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</si>
  <si>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</si>
  <si>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</si>
  <si>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</si>
  <si>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</si>
  <si>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</si>
  <si>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</si>
  <si>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</si>
  <si>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</si>
  <si>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</si>
  <si>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</si>
  <si>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</si>
  <si>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</si>
  <si>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</si>
  <si>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</si>
  <si>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</si>
  <si>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</si>
  <si>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</si>
  <si>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</si>
  <si>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</si>
  <si>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</si>
  <si>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</si>
  <si>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</si>
  <si>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</si>
  <si>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</si>
  <si>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</si>
  <si>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</si>
  <si>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</si>
  <si>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</si>
  <si>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</si>
  <si>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</si>
  <si>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</si>
  <si>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</si>
  <si>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</si>
  <si>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</si>
  <si>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</si>
  <si>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</si>
  <si>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</si>
  <si>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</si>
  <si>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</si>
  <si>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</si>
  <si>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</si>
  <si>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</si>
  <si>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</si>
  <si>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</si>
  <si>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</si>
  <si>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</si>
  <si>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</si>
  <si>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</si>
  <si>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</si>
  <si>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</si>
  <si>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</si>
  <si>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</si>
  <si>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</si>
  <si>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</si>
  <si>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</si>
  <si>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</si>
  <si>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</si>
  <si>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</si>
  <si>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</si>
  <si>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</si>
  <si>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</si>
  <si>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</si>
  <si>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</si>
  <si>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</si>
  <si>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</si>
  <si>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</si>
  <si>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</si>
  <si>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</si>
  <si>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</si>
  <si>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</si>
  <si>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</si>
  <si>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</si>
  <si>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</si>
  <si>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</si>
  <si>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</si>
  <si>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</si>
  <si>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</si>
  <si>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</si>
  <si>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</si>
  <si>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</si>
  <si>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</si>
  <si>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</si>
  <si>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</si>
  <si>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</si>
  <si>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</si>
  <si>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</si>
  <si>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</si>
  <si>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</si>
  <si>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</si>
  <si>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</si>
  <si>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</si>
  <si>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</si>
  <si>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</si>
  <si>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</si>
  <si>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</si>
  <si>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</si>
  <si>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</si>
  <si>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</si>
  <si>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</si>
  <si>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</si>
  <si>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</si>
  <si>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</si>
  <si>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</si>
  <si>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</si>
  <si>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</si>
  <si>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</si>
  <si>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</si>
  <si>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</si>
  <si>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</si>
  <si>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</si>
  <si>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</si>
  <si>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</si>
  <si>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</si>
  <si>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</si>
  <si>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</si>
  <si>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</si>
  <si>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</si>
  <si>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</si>
  <si>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</si>
  <si>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</si>
  <si>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</si>
  <si>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</si>
  <si>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</si>
  <si>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</si>
  <si>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</si>
  <si>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</si>
  <si>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</si>
  <si>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</si>
  <si>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</si>
  <si>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</si>
  <si>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</si>
  <si>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</si>
  <si>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</si>
  <si>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</si>
  <si>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</si>
  <si>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</si>
  <si>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</si>
  <si>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</si>
  <si>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</si>
  <si>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</si>
  <si>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</si>
  <si>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</si>
  <si>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</si>
  <si>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</si>
  <si>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</si>
  <si>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</si>
  <si>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</si>
  <si>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</si>
  <si>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</si>
  <si>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</si>
  <si>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</si>
  <si>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</si>
  <si>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</si>
  <si>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</si>
  <si>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</si>
  <si>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</si>
  <si>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</si>
  <si>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</si>
  <si>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</si>
  <si>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</si>
  <si>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</si>
  <si>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</si>
  <si>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</si>
  <si>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</si>
  <si>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</si>
  <si>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</si>
  <si>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</si>
  <si>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</si>
  <si>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</si>
  <si>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</si>
  <si>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</si>
  <si>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</si>
  <si>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</si>
  <si>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</si>
  <si>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</si>
  <si>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</si>
  <si>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</si>
  <si>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</si>
  <si>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</si>
  <si>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</si>
  <si>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</si>
  <si>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</si>
  <si>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</si>
  <si>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</si>
  <si>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</si>
  <si>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</si>
  <si>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</si>
  <si>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</si>
  <si>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</si>
  <si>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</si>
  <si>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</si>
  <si>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</si>
  <si>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</si>
  <si>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</si>
  <si>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</si>
  <si>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</si>
  <si>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</si>
  <si>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</si>
  <si>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</si>
  <si>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</si>
  <si>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</si>
  <si>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</si>
  <si>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</si>
  <si>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</si>
  <si>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</si>
  <si>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</si>
  <si>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</si>
  <si>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</si>
  <si>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</si>
  <si>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</si>
  <si>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</si>
  <si>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</si>
  <si>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</si>
  <si>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</si>
  <si>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</si>
  <si>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</si>
  <si>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</si>
  <si>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</si>
  <si>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</si>
  <si>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</si>
  <si>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</si>
  <si>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</si>
  <si>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</si>
  <si>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</si>
  <si>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</si>
  <si>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</si>
  <si>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</si>
  <si>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</si>
  <si>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</si>
  <si>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</si>
  <si>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</si>
  <si>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</si>
  <si>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</si>
  <si>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</si>
  <si>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</si>
  <si>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</si>
  <si>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</si>
  <si>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</si>
  <si>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</si>
  <si>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</si>
  <si>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</si>
  <si>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</si>
  <si>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</si>
  <si>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</si>
  <si>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</si>
  <si>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</si>
  <si>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</si>
  <si>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</si>
  <si>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</si>
  <si>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</si>
  <si>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</si>
  <si>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</si>
  <si>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</si>
  <si>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</si>
  <si>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</si>
  <si>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</si>
  <si>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</si>
  <si>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</si>
  <si>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</si>
  <si>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</si>
  <si>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</si>
  <si>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</si>
  <si>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</si>
  <si>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</si>
  <si>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</si>
  <si>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</si>
  <si>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</si>
  <si>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</si>
  <si>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</si>
  <si>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</si>
  <si>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</si>
  <si>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</si>
  <si>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</si>
  <si>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</si>
  <si>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</si>
  <si>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</si>
  <si>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</si>
  <si>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</si>
  <si>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</si>
  <si>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</si>
  <si>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</si>
  <si>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</si>
  <si>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</si>
  <si>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</si>
  <si>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</si>
  <si>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</si>
  <si>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</si>
  <si>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</si>
  <si>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</si>
  <si>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</si>
  <si>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</si>
  <si>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</si>
  <si>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</si>
  <si>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</si>
  <si>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</si>
  <si>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</si>
  <si>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</si>
  <si>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</si>
  <si>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</si>
  <si>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</si>
  <si>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</si>
  <si>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</si>
  <si>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</si>
  <si>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</si>
  <si>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</si>
  <si>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</si>
  <si>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</si>
  <si>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</si>
  <si>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</si>
  <si>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</si>
  <si>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</si>
  <si>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</si>
  <si>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</si>
  <si>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</si>
  <si>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</si>
  <si>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</si>
  <si>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</si>
  <si>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</si>
  <si>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</si>
  <si>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</si>
  <si>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</si>
  <si>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</si>
  <si>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</si>
  <si>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</si>
  <si>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</si>
  <si>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</si>
  <si>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</si>
  <si>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</si>
  <si>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</si>
  <si>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</si>
  <si>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</si>
  <si>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</si>
  <si>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</si>
  <si>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</si>
  <si>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</si>
  <si>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</si>
  <si>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</si>
  <si>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</si>
  <si>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</si>
  <si>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</si>
  <si>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</si>
  <si>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</si>
  <si>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</si>
  <si>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</si>
  <si>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</si>
  <si>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</si>
  <si>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</si>
  <si>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</si>
  <si>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</si>
  <si>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</si>
  <si>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</si>
  <si>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</si>
  <si>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</si>
  <si>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</si>
  <si>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</si>
  <si>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</si>
  <si>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</si>
  <si>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</si>
  <si>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</si>
  <si>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</si>
  <si>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</si>
  <si>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</si>
  <si>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</si>
  <si>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</si>
  <si>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</si>
  <si>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</si>
  <si>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</si>
  <si>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</si>
  <si>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</si>
  <si>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</si>
  <si>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</si>
  <si>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</si>
  <si>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</si>
  <si>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</si>
  <si>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</si>
  <si>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</si>
  <si>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</si>
  <si>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</si>
  <si>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</si>
  <si>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</si>
  <si>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</si>
  <si>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</si>
  <si>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</si>
  <si>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</si>
  <si>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</si>
  <si>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</si>
  <si>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</si>
  <si>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</si>
  <si>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</si>
  <si>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</si>
  <si>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</si>
  <si>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</si>
  <si>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</si>
  <si>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</si>
  <si>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</si>
  <si>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</si>
  <si>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</si>
  <si>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</si>
  <si>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</si>
  <si>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</si>
  <si>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</si>
  <si>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</si>
  <si>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</si>
  <si>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</si>
  <si>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</si>
  <si>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</si>
  <si>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</si>
  <si>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</si>
  <si>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</si>
  <si>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</si>
  <si>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</si>
  <si>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</si>
  <si>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</si>
  <si>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</si>
  <si>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</si>
  <si>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</si>
  <si>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</si>
  <si>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</si>
  <si>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</si>
  <si>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</si>
  <si>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</si>
  <si>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</si>
  <si>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</si>
  <si>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</si>
  <si>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</si>
  <si>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</si>
  <si>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</si>
  <si>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</si>
  <si>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</si>
  <si>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</si>
  <si>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</si>
  <si>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</si>
  <si>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</si>
  <si>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</si>
  <si>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</si>
  <si>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</si>
  <si>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</si>
  <si>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</si>
  <si>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</si>
  <si>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</si>
  <si>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</si>
  <si>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</si>
  <si>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</si>
  <si>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</si>
  <si>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</si>
  <si>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</si>
  <si>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</si>
  <si>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</si>
  <si>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</si>
  <si>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</si>
  <si>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</si>
  <si>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</si>
  <si>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</si>
  <si>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</si>
  <si>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</si>
  <si>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</si>
  <si>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</si>
  <si>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</si>
  <si>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</si>
  <si>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</si>
  <si>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</si>
  <si>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</si>
  <si>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</si>
  <si>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</si>
  <si>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</si>
  <si>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</si>
  <si>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</si>
  <si>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</si>
  <si>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</si>
  <si>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</si>
  <si>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</si>
  <si>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</si>
  <si>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</si>
  <si>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</si>
  <si>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</si>
  <si>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</si>
  <si>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</si>
  <si>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</si>
  <si>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</si>
  <si>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</si>
  <si>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</si>
  <si>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</si>
  <si>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</si>
  <si>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</si>
  <si>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</si>
  <si>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</si>
  <si>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</si>
  <si>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</si>
  <si>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</si>
  <si>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</si>
  <si>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</si>
  <si>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</si>
  <si>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</si>
  <si>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</si>
  <si>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</si>
  <si>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</si>
  <si>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</si>
  <si>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</si>
  <si>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</si>
  <si>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</si>
  <si>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</si>
  <si>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</si>
  <si>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</si>
  <si>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</si>
  <si>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</si>
  <si>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</si>
  <si>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</si>
  <si>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</si>
  <si>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</si>
  <si>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</si>
  <si>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</si>
  <si>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</si>
  <si>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</si>
  <si>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</si>
  <si>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</si>
  <si>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</si>
  <si>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</si>
  <si>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</si>
  <si>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</si>
  <si>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</si>
  <si>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</si>
  <si>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</si>
  <si>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</si>
  <si>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</si>
  <si>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</si>
  <si>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</si>
  <si>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</si>
  <si>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</si>
  <si>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</si>
  <si>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</si>
  <si>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</si>
  <si>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</si>
  <si>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</si>
  <si>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</si>
  <si>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</si>
  <si>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</si>
  <si>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</si>
  <si>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</si>
  <si>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</si>
  <si>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</si>
  <si>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</si>
  <si>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</si>
  <si>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</si>
  <si>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</si>
  <si>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</si>
  <si>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</si>
  <si>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</si>
  <si>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</si>
  <si>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</si>
  <si>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</si>
  <si>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</si>
  <si>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</si>
  <si>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</si>
  <si>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</si>
  <si>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</si>
  <si>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</si>
  <si>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</si>
  <si>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</si>
  <si>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</si>
  <si>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</si>
  <si>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</si>
  <si>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</si>
  <si>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</si>
  <si>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</si>
  <si>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</si>
  <si>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</si>
  <si>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</si>
  <si>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</si>
  <si>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</si>
  <si>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</si>
  <si>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</si>
  <si>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</si>
  <si>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</si>
  <si>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</si>
  <si>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</si>
  <si>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</si>
  <si>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</si>
  <si>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</si>
  <si>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</si>
  <si>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</si>
  <si>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</si>
  <si>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</si>
  <si>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</si>
  <si>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</si>
  <si>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</si>
  <si>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</si>
  <si>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</si>
  <si>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</si>
  <si>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</si>
  <si>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</si>
  <si>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</si>
  <si>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</si>
  <si>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</si>
  <si>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</si>
  <si>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</si>
  <si>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</si>
  <si>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</si>
  <si>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</si>
  <si>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</si>
  <si>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</si>
  <si>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</si>
  <si>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</si>
  <si>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</si>
  <si>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</si>
  <si>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</si>
  <si>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</si>
  <si>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</si>
  <si>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</si>
  <si>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</si>
  <si>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</si>
  <si>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</si>
  <si>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</si>
  <si>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</si>
  <si>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</si>
  <si>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</si>
  <si>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</si>
  <si>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</si>
  <si>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</si>
  <si>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</si>
  <si>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</si>
  <si>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</si>
  <si>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</si>
  <si>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</si>
  <si>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</si>
  <si>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</si>
  <si>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</si>
  <si>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</si>
  <si>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</si>
  <si>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</si>
  <si>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</si>
  <si>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</si>
  <si>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</si>
  <si>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</si>
  <si>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</si>
  <si>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</si>
  <si>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</si>
  <si>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</si>
  <si>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</si>
  <si>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</si>
  <si>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</si>
  <si>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</si>
  <si>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</si>
  <si>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</si>
  <si>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</si>
  <si>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</si>
  <si>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</si>
  <si>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</si>
  <si>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</si>
  <si>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</si>
  <si>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</si>
  <si>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</si>
  <si>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</si>
  <si>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</si>
  <si>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</si>
  <si>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</si>
  <si>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</si>
  <si>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</si>
  <si>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</si>
  <si>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</si>
  <si>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</si>
  <si>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</si>
  <si>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</si>
  <si>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</si>
  <si>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</si>
  <si>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</si>
  <si>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</si>
  <si>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</si>
  <si>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</si>
  <si>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</si>
  <si>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</si>
  <si>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</si>
  <si>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</si>
  <si>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</si>
  <si>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</si>
  <si>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</si>
  <si>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</si>
  <si>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</si>
  <si>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</si>
  <si>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</si>
  <si>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</si>
  <si>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</si>
  <si>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</si>
  <si>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</si>
  <si>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</si>
  <si>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</si>
  <si>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</si>
  <si>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</si>
  <si>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</si>
  <si>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</si>
  <si>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</si>
  <si>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</si>
  <si>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</si>
  <si>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</si>
  <si>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</si>
  <si>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</si>
  <si>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</si>
  <si>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</si>
  <si>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</si>
  <si>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</si>
  <si>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</si>
  <si>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</si>
  <si>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</si>
  <si>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</si>
  <si>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</si>
  <si>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</si>
  <si>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</si>
  <si>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</si>
  <si>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</si>
  <si>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</si>
  <si>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</si>
  <si>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</si>
  <si>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</si>
  <si>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</si>
  <si>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</si>
  <si>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</si>
  <si>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</si>
  <si>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</si>
  <si>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</si>
  <si>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</si>
  <si>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</si>
  <si>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</si>
  <si>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</si>
  <si>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</si>
  <si>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</si>
  <si>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</si>
  <si>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</si>
  <si>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</si>
  <si>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</si>
  <si>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</si>
  <si>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</si>
  <si>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</si>
  <si>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</si>
  <si>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</si>
  <si>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</si>
  <si>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</si>
  <si>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</si>
  <si>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</si>
  <si>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</si>
  <si>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</si>
  <si>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</si>
  <si>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</si>
  <si>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</si>
  <si>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</si>
  <si>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</si>
  <si>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</si>
  <si>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</si>
  <si>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</si>
  <si>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</si>
  <si>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</si>
  <si>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</si>
  <si>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</si>
  <si>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</si>
  <si>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</si>
  <si>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</si>
  <si>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</si>
  <si>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</si>
  <si>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</si>
  <si>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</si>
  <si>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</si>
  <si>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</si>
  <si>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</si>
  <si>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</si>
  <si>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</si>
  <si>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</si>
  <si>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</si>
  <si>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</si>
  <si>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</si>
  <si>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</si>
  <si>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</si>
  <si>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</si>
  <si>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</si>
  <si>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</si>
  <si>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</si>
  <si>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</si>
  <si>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</si>
  <si>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</si>
  <si>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</si>
  <si>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</si>
  <si>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</si>
  <si>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</si>
  <si>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</si>
  <si>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</si>
  <si>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</si>
  <si>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</si>
  <si>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</si>
  <si>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</si>
  <si>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</si>
  <si>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</si>
  <si>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</si>
  <si>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</si>
  <si>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</si>
  <si>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</si>
  <si>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</si>
  <si>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</si>
  <si>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</si>
  <si>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</si>
  <si>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</si>
  <si>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</si>
  <si>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</si>
  <si>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</si>
  <si>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</si>
  <si>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</si>
  <si>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</si>
  <si>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</si>
  <si>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</si>
  <si>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</si>
  <si>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</si>
  <si>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</si>
  <si>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</si>
  <si>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</si>
  <si>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</si>
  <si>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</si>
  <si>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</si>
  <si>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</si>
  <si>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</si>
  <si>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</si>
  <si>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</si>
  <si>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</si>
  <si>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</si>
  <si>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</si>
  <si>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</si>
  <si>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</si>
  <si>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</si>
  <si>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</si>
  <si>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</si>
  <si>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</si>
  <si>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</si>
  <si>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</si>
  <si>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</si>
  <si>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</si>
  <si>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</si>
  <si>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</si>
  <si>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</si>
  <si>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</si>
  <si>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</si>
  <si>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</si>
  <si>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</si>
  <si>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</si>
  <si>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</si>
  <si>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</si>
  <si>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</si>
  <si>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</si>
  <si>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</si>
  <si>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</si>
  <si>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</si>
  <si>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</si>
  <si>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</si>
  <si>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</si>
  <si>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</si>
  <si>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</si>
  <si>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</si>
  <si>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</si>
  <si>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</si>
  <si>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</si>
  <si>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</si>
  <si>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</si>
  <si>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</si>
  <si>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</si>
  <si>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</si>
  <si>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</si>
  <si>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</si>
  <si>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</si>
  <si>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</si>
  <si>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</si>
  <si>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</si>
  <si>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</si>
  <si>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</si>
  <si>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</si>
  <si>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</si>
  <si>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</si>
  <si>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</si>
  <si>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</si>
  <si>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</si>
  <si>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</si>
  <si>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</si>
  <si>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</si>
  <si>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</si>
  <si>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</si>
  <si>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</si>
  <si>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</si>
  <si>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</si>
  <si>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</si>
  <si>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</si>
  <si>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</si>
  <si>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</si>
  <si>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</si>
  <si>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</si>
  <si>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</si>
  <si>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</si>
  <si>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</si>
  <si>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</si>
  <si>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</si>
  <si>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</si>
  <si>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</si>
  <si>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</si>
  <si>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</si>
  <si>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</si>
  <si>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</si>
  <si>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</si>
  <si>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</si>
  <si>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</si>
  <si>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</si>
  <si>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</si>
  <si>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</si>
  <si>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</si>
  <si>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</si>
  <si>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</si>
  <si>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</si>
  <si>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</si>
  <si>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</si>
  <si>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</si>
  <si>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</si>
  <si>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</si>
  <si>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</si>
  <si>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</si>
  <si>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</si>
  <si>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</si>
  <si>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</si>
  <si>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</si>
  <si>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</si>
  <si>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</si>
  <si>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</si>
  <si>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</si>
  <si>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</si>
  <si>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</si>
  <si>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</si>
  <si>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</si>
  <si>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</si>
  <si>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</si>
  <si>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</si>
  <si>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</si>
  <si>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</si>
  <si>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</si>
  <si>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</si>
  <si>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</si>
  <si>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</si>
  <si>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</si>
  <si>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</si>
  <si>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</si>
  <si>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</si>
  <si>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</si>
  <si>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</si>
  <si>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</si>
  <si>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</si>
  <si>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</si>
  <si>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</si>
  <si>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</si>
  <si>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</si>
  <si>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</si>
  <si>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</si>
  <si>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</si>
  <si>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</si>
  <si>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</si>
  <si>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</si>
  <si>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</si>
  <si>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</si>
  <si>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</si>
  <si>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</si>
  <si>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</si>
  <si>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</si>
  <si>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</si>
  <si>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</si>
  <si>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</si>
  <si>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</si>
  <si>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</si>
  <si>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</si>
  <si>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</si>
  <si>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</si>
  <si>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</si>
  <si>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</si>
  <si>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</si>
  <si>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</si>
  <si>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</si>
  <si>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</si>
  <si>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</si>
  <si>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</si>
  <si>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</si>
  <si>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</si>
  <si>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</si>
  <si>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</si>
  <si>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</si>
  <si>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</si>
  <si>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</si>
  <si>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</si>
  <si>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</si>
  <si>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</si>
  <si>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</si>
  <si>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</si>
  <si>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</si>
  <si>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</si>
  <si>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</si>
  <si>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</si>
  <si>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</si>
  <si>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</si>
  <si>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</si>
  <si>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</si>
  <si>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</si>
  <si>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</si>
  <si>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</si>
  <si>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</si>
  <si>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</si>
  <si>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</si>
  <si>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</si>
  <si>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</si>
  <si>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</si>
  <si>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</si>
  <si>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</si>
  <si>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</si>
  <si>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</si>
  <si>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</si>
  <si>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</si>
  <si>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</si>
  <si>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</si>
  <si>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</si>
  <si>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</si>
  <si>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</si>
  <si>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</si>
  <si>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</si>
  <si>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</si>
  <si>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</si>
  <si>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</si>
  <si>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</si>
  <si>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</si>
  <si>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</si>
  <si>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</si>
  <si>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</si>
  <si>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</si>
  <si>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</si>
  <si>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</si>
  <si>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</si>
  <si>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</si>
  <si>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</si>
  <si>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</si>
  <si>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</si>
  <si>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</si>
  <si>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</si>
  <si>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</si>
  <si>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</si>
  <si>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</si>
  <si>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</si>
  <si>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</si>
  <si>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</si>
  <si>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</si>
  <si>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</si>
  <si>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</si>
  <si>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</si>
  <si>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</si>
  <si>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</si>
  <si>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</si>
  <si>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</si>
  <si>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</si>
  <si>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</si>
  <si>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</si>
  <si>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</si>
  <si>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</si>
  <si>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</si>
  <si>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</si>
  <si>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</si>
  <si>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</si>
  <si>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</si>
  <si>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</si>
  <si>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</si>
  <si>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</si>
  <si>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</si>
  <si>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</si>
  <si>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</si>
  <si>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</si>
  <si>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</si>
  <si>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</si>
  <si>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</si>
  <si>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</si>
  <si>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</si>
  <si>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</si>
  <si>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</si>
  <si>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</si>
  <si>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</si>
  <si>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</si>
  <si>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</si>
  <si>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</si>
  <si>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</si>
  <si>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</si>
  <si>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</si>
  <si>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</si>
  <si>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</si>
  <si>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</si>
  <si>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</si>
  <si>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</si>
  <si>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</si>
  <si>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</si>
  <si>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</si>
  <si>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</si>
  <si>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</si>
  <si>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</si>
  <si>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</si>
  <si>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</si>
  <si>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</si>
  <si>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</si>
  <si>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</si>
  <si>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</si>
  <si>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</si>
  <si>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</si>
  <si>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</si>
  <si>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</si>
  <si>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</si>
  <si>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</si>
  <si>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</si>
  <si>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</si>
  <si>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</si>
  <si>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</si>
  <si>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</si>
  <si>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</si>
  <si>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</si>
  <si>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</si>
  <si>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</si>
  <si>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</si>
  <si>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</si>
  <si>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</si>
  <si>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</si>
  <si>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</si>
  <si>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</si>
  <si>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</si>
  <si>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</si>
  <si>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</si>
  <si>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</si>
  <si>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</si>
  <si>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</si>
  <si>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</si>
  <si>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</si>
  <si>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</si>
  <si>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</si>
  <si>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</si>
  <si>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</si>
  <si>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</si>
  <si>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</si>
  <si>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</si>
  <si>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</si>
  <si>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</si>
  <si>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</si>
  <si>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</si>
  <si>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</si>
  <si>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</si>
  <si>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</si>
  <si>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</si>
  <si>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</si>
  <si>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</si>
  <si>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</si>
  <si>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</si>
  <si>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</si>
  <si>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</si>
  <si>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</si>
  <si>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</si>
  <si>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</si>
  <si>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</si>
  <si>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</si>
  <si>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</si>
  <si>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</si>
  <si>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</si>
  <si>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</si>
  <si>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</si>
  <si>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</si>
  <si>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</si>
  <si>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</si>
  <si>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</si>
  <si>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</si>
  <si>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</si>
  <si>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</si>
  <si>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</si>
  <si>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</si>
  <si>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</si>
  <si>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</si>
  <si>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</si>
  <si>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</si>
  <si>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</si>
  <si>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</si>
  <si>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</si>
  <si>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</si>
  <si>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</si>
  <si>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</si>
  <si>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</si>
  <si>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</si>
  <si>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</si>
  <si>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</si>
  <si>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</si>
  <si>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</si>
  <si>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</si>
  <si>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</si>
  <si>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</si>
  <si>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</si>
  <si>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</si>
  <si>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</si>
  <si>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</si>
  <si>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</si>
  <si>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</si>
  <si>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</si>
  <si>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</si>
  <si>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</si>
  <si>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</si>
  <si>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</si>
  <si>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</si>
  <si>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</si>
  <si>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</si>
  <si>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</si>
  <si>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</si>
  <si>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</si>
  <si>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</si>
  <si>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</si>
  <si>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</si>
  <si>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</si>
  <si>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</si>
  <si>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</si>
  <si>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</si>
  <si>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</si>
  <si>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</si>
  <si>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</si>
  <si>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</si>
  <si>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</si>
  <si>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</si>
  <si>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</si>
  <si>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</si>
  <si>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</si>
  <si>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</si>
  <si>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</si>
  <si>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</si>
  <si>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</si>
  <si>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</si>
  <si>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</si>
  <si>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</si>
  <si>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</si>
  <si>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</si>
  <si>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</si>
  <si>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</si>
  <si>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</si>
  <si>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</si>
  <si>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</si>
  <si>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</si>
  <si>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</si>
  <si>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</si>
  <si>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</si>
  <si>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</si>
  <si>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</si>
  <si>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</si>
  <si>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</si>
  <si>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</si>
  <si>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</si>
  <si>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</si>
  <si>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</si>
  <si>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</si>
  <si>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</si>
  <si>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</si>
  <si>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</si>
  <si>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</si>
  <si>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</si>
  <si>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</si>
  <si>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</si>
  <si>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</si>
  <si>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</si>
  <si>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</si>
  <si>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</si>
  <si>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</si>
  <si>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</si>
  <si>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</si>
  <si>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</si>
  <si>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</si>
  <si>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</si>
  <si>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</si>
  <si>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</si>
  <si>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</si>
  <si>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</si>
  <si>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</si>
  <si>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</si>
  <si>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</si>
  <si>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</si>
  <si>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</si>
  <si>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</si>
  <si>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</si>
  <si>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</si>
  <si>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</si>
  <si>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</si>
  <si>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</si>
  <si>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</si>
  <si>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</si>
  <si>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</si>
  <si>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</si>
  <si>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</si>
  <si>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</si>
  <si>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</si>
  <si>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</si>
  <si>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</si>
  <si>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</si>
  <si>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</si>
  <si>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</si>
  <si>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</si>
  <si>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</si>
  <si>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</si>
  <si>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</si>
  <si>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</si>
  <si>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</si>
  <si>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</si>
  <si>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</si>
  <si>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</si>
  <si>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</si>
  <si>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</si>
  <si>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</si>
  <si>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</si>
  <si>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</si>
  <si>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</si>
  <si>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</si>
  <si>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</si>
  <si>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</si>
  <si>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</si>
  <si>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</si>
  <si>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</si>
  <si>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</si>
  <si>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</si>
  <si>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</si>
  <si>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</si>
  <si>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</si>
  <si>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</si>
  <si>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</si>
  <si>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</si>
  <si>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</si>
  <si>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</si>
  <si>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</si>
  <si>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</si>
  <si>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</si>
  <si>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</si>
  <si>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</si>
  <si>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</si>
  <si>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</si>
  <si>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</si>
  <si>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</si>
  <si>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</si>
  <si>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</si>
  <si>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</si>
  <si>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</si>
  <si>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</si>
  <si>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</si>
  <si>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</si>
  <si>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</si>
  <si>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</si>
  <si>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</si>
  <si>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</si>
  <si>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</si>
  <si>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</si>
  <si>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</si>
  <si>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</si>
  <si>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</si>
  <si>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</si>
  <si>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</si>
  <si>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</si>
  <si>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</si>
  <si>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</si>
  <si>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</si>
  <si>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</si>
  <si>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</si>
  <si>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</si>
  <si>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</si>
  <si>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</si>
  <si>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</si>
  <si>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</si>
  <si>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</si>
  <si>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</si>
  <si>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</si>
  <si>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</si>
  <si>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</si>
  <si>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</si>
  <si>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</si>
  <si>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</si>
  <si>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</si>
  <si>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</si>
  <si>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</si>
  <si>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</si>
  <si>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</si>
  <si>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</si>
  <si>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</si>
  <si>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</si>
  <si>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</si>
  <si>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</si>
  <si>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</si>
  <si>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</si>
  <si>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</si>
  <si>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</si>
  <si>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</si>
  <si>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</si>
  <si>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</si>
  <si>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</si>
  <si>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</si>
  <si>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</si>
  <si>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</si>
  <si>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</si>
  <si>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</si>
  <si>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</si>
  <si>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</si>
  <si>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</si>
  <si>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</si>
  <si>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</si>
  <si>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</si>
  <si>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</si>
  <si>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</si>
  <si>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</si>
  <si>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</si>
  <si>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</si>
  <si>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</si>
  <si>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</si>
  <si>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</si>
  <si>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</si>
  <si>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</si>
  <si>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</si>
  <si>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</si>
  <si>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</si>
  <si>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</si>
  <si>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</si>
  <si>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</si>
  <si>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</si>
  <si>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</si>
  <si>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</si>
  <si>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</si>
  <si>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</si>
  <si>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</si>
  <si>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</si>
  <si>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</si>
  <si>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</si>
  <si>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</si>
  <si>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</si>
  <si>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</si>
  <si>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</si>
  <si>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</si>
  <si>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</si>
  <si>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</si>
  <si>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</si>
  <si>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</si>
  <si>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</si>
  <si>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</si>
  <si>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</si>
  <si>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</si>
  <si>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</si>
  <si>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</si>
  <si>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</si>
  <si>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</si>
  <si>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</si>
  <si>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</si>
  <si>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</si>
  <si>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</si>
  <si>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</si>
  <si>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</si>
  <si>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</si>
  <si>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</si>
  <si>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</si>
  <si>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</si>
  <si>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</si>
  <si>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</si>
  <si>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</si>
  <si>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</si>
  <si>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</si>
  <si>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</si>
  <si>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</si>
  <si>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</si>
  <si>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</si>
  <si>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</si>
  <si>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</si>
  <si>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</si>
  <si>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</si>
  <si>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</si>
  <si>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</si>
  <si>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</si>
  <si>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</si>
  <si>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</si>
  <si>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</si>
  <si>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</si>
  <si>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</si>
  <si>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</si>
  <si>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</si>
  <si>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</si>
  <si>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</si>
  <si>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</si>
  <si>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</si>
  <si>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</si>
  <si>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</si>
  <si>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</si>
  <si>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</si>
  <si>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</si>
  <si>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</si>
  <si>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</si>
  <si>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</si>
  <si>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</si>
  <si>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</si>
  <si>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</si>
  <si>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</si>
  <si>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</si>
  <si>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</si>
  <si>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</si>
  <si>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</si>
  <si>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</si>
  <si>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</si>
  <si>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</si>
  <si>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</si>
  <si>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</si>
  <si>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</si>
  <si>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</si>
  <si>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</si>
  <si>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</si>
  <si>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</si>
  <si>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</si>
  <si>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</si>
  <si>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</si>
  <si>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</si>
  <si>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</si>
  <si>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</si>
  <si>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</si>
  <si>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</si>
  <si>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</si>
  <si>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</si>
  <si>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</si>
  <si>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</si>
  <si>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</si>
  <si>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</si>
  <si>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</si>
  <si>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</si>
  <si>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</si>
  <si>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</si>
  <si>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</si>
  <si>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</si>
  <si>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</si>
  <si>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</si>
  <si>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</si>
  <si>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</si>
  <si>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</si>
  <si>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</si>
  <si>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</si>
  <si>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</si>
  <si>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</si>
  <si>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</si>
  <si>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</si>
  <si>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</si>
  <si>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</si>
  <si>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</si>
  <si>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</si>
  <si>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</si>
  <si>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</si>
  <si>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</si>
  <si>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</si>
  <si>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</si>
  <si>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</si>
  <si>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</si>
  <si>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</si>
  <si>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</si>
  <si>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</si>
  <si>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</si>
  <si>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</si>
  <si>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</si>
  <si>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</si>
  <si>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</si>
  <si>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</si>
  <si>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</si>
  <si>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</si>
  <si>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</si>
  <si>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</si>
  <si>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</si>
  <si>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</si>
  <si>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</si>
  <si>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</si>
  <si>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</si>
  <si>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</si>
  <si>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</si>
  <si>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</si>
  <si>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</si>
  <si>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</si>
  <si>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</si>
  <si>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</si>
  <si>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</si>
  <si>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</si>
  <si>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</si>
  <si>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</si>
  <si>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</si>
  <si>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</si>
  <si>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</si>
  <si>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</si>
  <si>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</si>
  <si>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</si>
  <si>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</si>
  <si>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</si>
  <si>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</si>
  <si>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</si>
  <si>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</si>
  <si>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</si>
  <si>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</si>
  <si>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</si>
  <si>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</si>
  <si>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</si>
  <si>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</si>
  <si>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</si>
  <si>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</si>
  <si>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</si>
  <si>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</si>
  <si>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</si>
  <si>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</si>
  <si>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</si>
  <si>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</si>
  <si>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</si>
  <si>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</si>
  <si>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</si>
  <si>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</si>
  <si>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</si>
  <si>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</si>
  <si>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</si>
  <si>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</si>
  <si>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</si>
  <si>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</si>
  <si>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</si>
  <si>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</si>
  <si>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</si>
  <si>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</si>
  <si>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</si>
  <si>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</si>
  <si>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</si>
  <si>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</si>
  <si>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</si>
  <si>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</si>
  <si>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</si>
  <si>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</si>
  <si>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</si>
  <si>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</si>
  <si>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</si>
  <si>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</si>
  <si>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</si>
  <si>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</si>
  <si>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</si>
  <si>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</si>
  <si>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</si>
  <si>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</si>
  <si>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</si>
  <si>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</si>
  <si>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</si>
  <si>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</si>
  <si>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</si>
  <si>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</si>
  <si>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</si>
  <si>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</si>
  <si>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</si>
  <si>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</si>
  <si>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</si>
  <si>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</si>
  <si>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</si>
  <si>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</si>
  <si>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</si>
  <si>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</si>
  <si>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</si>
  <si>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</si>
  <si>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</si>
  <si>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</si>
  <si>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</si>
  <si>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</si>
  <si>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</si>
  <si>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</si>
  <si>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</si>
  <si>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</si>
  <si>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</si>
  <si>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</si>
  <si>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</si>
  <si>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</si>
  <si>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</si>
  <si>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</si>
  <si>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</si>
  <si>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</si>
  <si>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</si>
  <si>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</si>
  <si>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</si>
  <si>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</si>
  <si>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</si>
  <si>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</si>
  <si>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</si>
  <si>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</si>
  <si>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</si>
  <si>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</si>
  <si>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</si>
  <si>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</si>
  <si>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</si>
  <si>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</si>
  <si>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</si>
  <si>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</si>
  <si>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</si>
  <si>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</si>
  <si>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</si>
  <si>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</si>
  <si>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</si>
  <si>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</si>
  <si>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</si>
  <si>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</si>
  <si>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</si>
  <si>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</si>
  <si>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</si>
  <si>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</si>
  <si>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</si>
  <si>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</si>
  <si>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</si>
  <si>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</si>
  <si>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</si>
  <si>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</si>
  <si>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</si>
  <si>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</si>
  <si>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</si>
  <si>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</si>
  <si>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</si>
  <si>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</si>
  <si>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</si>
  <si>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</si>
  <si>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</si>
  <si>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</si>
  <si>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</si>
  <si>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</si>
  <si>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</si>
  <si>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</si>
  <si>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</si>
  <si>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</si>
  <si>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</si>
  <si>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</si>
  <si>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</si>
  <si>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</si>
  <si>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</si>
  <si>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</si>
  <si>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</si>
  <si>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</si>
  <si>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</si>
  <si>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</si>
  <si>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</si>
  <si>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</si>
  <si>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</si>
  <si>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</si>
  <si>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</si>
  <si>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</si>
  <si>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</si>
  <si>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</si>
  <si>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</si>
  <si>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</si>
  <si>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</si>
  <si>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</si>
  <si>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</si>
  <si>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</si>
  <si>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</si>
  <si>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</si>
  <si>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</si>
  <si>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</si>
  <si>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</si>
  <si>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</si>
  <si>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</si>
  <si>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</si>
  <si>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</si>
  <si>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</si>
  <si>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</si>
  <si>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</si>
  <si>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</si>
  <si>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</si>
  <si>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</si>
  <si>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</si>
  <si>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</si>
  <si>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</si>
  <si>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</si>
  <si>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</si>
  <si>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</si>
  <si>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</si>
  <si>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</si>
  <si>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</si>
  <si>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</si>
  <si>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</si>
  <si>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</si>
  <si>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</si>
  <si>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</si>
  <si>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</si>
  <si>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</si>
  <si>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</si>
  <si>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</si>
  <si>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</si>
  <si>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</si>
  <si>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</si>
  <si>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</si>
  <si>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</si>
  <si>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</si>
  <si>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</si>
  <si>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</si>
  <si>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</si>
  <si>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</si>
  <si>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</si>
  <si>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</si>
  <si>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</si>
  <si>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</si>
  <si>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</si>
  <si>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</si>
  <si>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</si>
  <si>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</si>
  <si>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</si>
  <si>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</si>
  <si>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</si>
  <si>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</si>
  <si>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</si>
  <si>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</si>
  <si>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</si>
  <si>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</si>
  <si>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</si>
  <si>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</si>
  <si>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</si>
  <si>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</si>
  <si>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</si>
  <si>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</si>
  <si>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</si>
  <si>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</si>
  <si>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</si>
  <si>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</si>
  <si>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</si>
  <si>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</si>
  <si>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</si>
  <si>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</si>
  <si>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</si>
  <si>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</si>
  <si>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</si>
  <si>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</si>
  <si>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</si>
  <si>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</si>
  <si>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</si>
  <si>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</si>
  <si>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</si>
  <si>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</si>
  <si>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</si>
  <si>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</si>
  <si>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</si>
  <si>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</si>
  <si>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</si>
  <si>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</si>
  <si>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</si>
  <si>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</si>
  <si>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</si>
  <si>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</si>
  <si>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</si>
  <si>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</si>
  <si>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</si>
  <si>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</si>
  <si>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</si>
  <si>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</si>
  <si>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</si>
  <si>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</si>
  <si>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</si>
  <si>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</si>
  <si>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</si>
  <si>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</si>
  <si>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</si>
  <si>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</si>
  <si>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</si>
  <si>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</si>
  <si>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</si>
  <si>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</si>
  <si>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</si>
  <si>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</si>
  <si>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</si>
  <si>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</si>
  <si>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</si>
  <si>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</si>
  <si>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</si>
  <si>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</si>
  <si>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</si>
  <si>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</si>
  <si>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2.</t>
  </si>
  <si>
    <t>Other Services Specialist</t>
  </si>
  <si>
    <t>Adult education, health, skill building classes</t>
  </si>
  <si>
    <t>4.</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</si>
  <si>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</si>
  <si>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</si>
  <si>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</si>
  <si>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</si>
  <si>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</si>
  <si>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</si>
  <si>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</si>
  <si>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</si>
  <si>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</si>
  <si>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</si>
  <si>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</si>
  <si>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</si>
  <si>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</si>
  <si>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</si>
  <si>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</si>
  <si>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</si>
  <si>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</si>
  <si>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</si>
  <si>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</si>
  <si>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</si>
  <si>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</si>
  <si>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</si>
  <si>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</si>
  <si>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</si>
  <si>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</si>
  <si>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</si>
  <si>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</si>
  <si>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</si>
  <si>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</si>
  <si>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</si>
  <si>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</si>
  <si>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</si>
  <si>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</si>
  <si>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</si>
  <si>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</si>
  <si>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</si>
  <si>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</si>
  <si>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</si>
  <si>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</si>
  <si>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</si>
  <si>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</si>
  <si>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</si>
  <si>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</si>
  <si>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</si>
  <si>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</si>
  <si>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</si>
  <si>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</si>
  <si>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</si>
  <si>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</si>
  <si>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</si>
  <si>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</si>
  <si>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</si>
  <si>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</si>
  <si>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</si>
  <si>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</si>
  <si>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</si>
  <si>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</si>
  <si>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</si>
  <si>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</si>
  <si>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</si>
  <si>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</si>
  <si>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</si>
  <si>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</si>
  <si>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</si>
  <si>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</si>
  <si>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</si>
  <si>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</si>
  <si>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</si>
  <si>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</si>
  <si>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</si>
  <si>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</si>
  <si>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</si>
  <si>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</si>
  <si>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</si>
  <si>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</si>
  <si>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</si>
  <si>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</si>
  <si>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</si>
  <si>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</si>
  <si>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</si>
  <si>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</si>
  <si>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</si>
  <si>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</si>
  <si>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</si>
  <si>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</si>
  <si>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</si>
  <si>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</si>
  <si>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</si>
  <si>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</si>
  <si>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</si>
  <si>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</si>
  <si>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</si>
  <si>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</si>
  <si>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</si>
  <si>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</si>
  <si>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</si>
  <si>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</si>
  <si>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</si>
  <si>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</si>
  <si>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</si>
  <si>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</si>
  <si>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</si>
  <si>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</si>
  <si>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</si>
  <si>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</si>
  <si>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</si>
  <si>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</si>
  <si>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</si>
  <si>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</si>
  <si>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</si>
  <si>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</si>
  <si>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</si>
  <si>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</si>
  <si>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</si>
  <si>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</si>
  <si>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</si>
  <si>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</si>
  <si>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</si>
  <si>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</si>
  <si>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</si>
  <si>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</si>
  <si>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</si>
  <si>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</si>
  <si>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</si>
  <si>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</si>
  <si>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</si>
  <si>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</si>
  <si>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</si>
  <si>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</si>
  <si>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</si>
  <si>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</si>
  <si>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</si>
  <si>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</si>
  <si>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</si>
  <si>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</si>
  <si>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</si>
  <si>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</si>
  <si>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</si>
  <si>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</si>
  <si>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</si>
  <si>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</si>
  <si>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</si>
  <si>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</si>
  <si>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</si>
  <si>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</si>
  <si>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</si>
  <si>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</si>
  <si>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</si>
  <si>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</si>
  <si>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</si>
  <si>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</si>
  <si>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</si>
  <si>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</si>
  <si>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</si>
  <si>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</si>
  <si>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</si>
  <si>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</si>
  <si>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</si>
  <si>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</si>
  <si>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</si>
  <si>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</si>
  <si>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</si>
  <si>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</si>
  <si>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</si>
  <si>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</si>
  <si>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</si>
  <si>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</si>
  <si>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</si>
  <si>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</si>
  <si>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</si>
  <si>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</si>
  <si>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</si>
  <si>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</si>
  <si>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</si>
  <si>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</si>
  <si>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</si>
  <si>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</si>
  <si>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</si>
  <si>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</si>
  <si>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</si>
  <si>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</si>
  <si>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</si>
  <si>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</si>
  <si>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</si>
  <si>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</si>
  <si>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</si>
  <si>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</si>
  <si>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</si>
  <si>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</si>
  <si>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</si>
  <si>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</si>
  <si>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</si>
  <si>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</si>
  <si>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</si>
  <si>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</si>
  <si>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</si>
  <si>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</si>
  <si>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</si>
  <si>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</si>
  <si>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</si>
  <si>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</si>
  <si>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</si>
  <si>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</si>
  <si>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</si>
  <si>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</si>
  <si>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</si>
  <si>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</si>
  <si>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</si>
  <si>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</si>
  <si>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</si>
  <si>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</si>
  <si>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</si>
  <si>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</si>
  <si>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</si>
  <si>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</si>
  <si>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</si>
  <si>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</si>
  <si>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</si>
  <si>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</si>
  <si>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</si>
  <si>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</si>
  <si>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</si>
  <si>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</si>
  <si>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</si>
  <si>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</si>
  <si>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</si>
  <si>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</si>
  <si>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</si>
  <si>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</si>
  <si>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</si>
  <si>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</si>
  <si>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</si>
  <si>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</si>
  <si>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</si>
  <si>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</si>
  <si>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</si>
  <si>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</si>
  <si>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</si>
  <si>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</si>
  <si>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</si>
  <si>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</si>
  <si>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</si>
  <si>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</si>
  <si>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</si>
  <si>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</si>
  <si>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</si>
  <si>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</si>
  <si>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</si>
  <si>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</si>
  <si>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</si>
  <si>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</si>
  <si>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</si>
  <si>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</si>
  <si>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</si>
  <si>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</si>
  <si>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</si>
  <si>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</si>
  <si>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</si>
  <si>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</si>
  <si>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</si>
  <si>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</si>
  <si>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</si>
  <si>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</si>
  <si>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</si>
  <si>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</si>
  <si>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</si>
  <si>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</si>
  <si>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</si>
  <si>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</si>
  <si>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</si>
  <si>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</si>
  <si>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</si>
  <si>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</si>
  <si>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</si>
  <si>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</si>
  <si>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</si>
  <si>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</si>
  <si>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</si>
  <si>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</si>
  <si>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</si>
  <si>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</si>
  <si>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</si>
  <si>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</si>
  <si>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</si>
  <si>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</si>
  <si>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</si>
  <si>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</si>
  <si>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</si>
  <si>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</si>
  <si>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</si>
  <si>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</si>
  <si>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</si>
  <si>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</si>
  <si>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</si>
  <si>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</si>
  <si>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</si>
  <si>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</si>
  <si>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</si>
  <si>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</si>
  <si>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</si>
  <si>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</si>
  <si>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</si>
  <si>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</si>
  <si>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</si>
  <si>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</si>
  <si>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</si>
  <si>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</si>
  <si>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</si>
  <si>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</si>
  <si>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</si>
  <si>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</si>
  <si>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</si>
  <si>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</si>
  <si>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</si>
  <si>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</si>
  <si>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</si>
  <si>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</si>
  <si>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</si>
  <si>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</si>
  <si>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</si>
  <si>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</si>
  <si>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</si>
  <si>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</si>
  <si>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</si>
  <si>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</si>
  <si>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</si>
  <si>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</si>
  <si>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</si>
  <si>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</si>
  <si>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</si>
  <si>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</si>
  <si>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</si>
  <si>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</si>
  <si>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</si>
  <si>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</si>
  <si>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</si>
  <si>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</si>
  <si>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</si>
  <si>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</si>
  <si>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</si>
  <si>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</si>
  <si>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</si>
  <si>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</si>
  <si>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</si>
  <si>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</si>
  <si>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</si>
  <si>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</si>
  <si>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</si>
  <si>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</si>
  <si>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</si>
  <si>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</si>
  <si>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</si>
  <si>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</si>
  <si>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</si>
  <si>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</si>
  <si>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</si>
  <si>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</si>
  <si>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</si>
  <si>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</si>
  <si>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</si>
  <si>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</si>
  <si>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</si>
  <si>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</si>
  <si>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</si>
  <si>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</si>
  <si>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</si>
  <si>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</si>
  <si>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</si>
  <si>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</si>
  <si>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</si>
  <si>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</si>
  <si>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</si>
  <si>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</si>
  <si>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</si>
  <si>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</si>
  <si>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</si>
  <si>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</si>
  <si>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</si>
  <si>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</si>
  <si>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</si>
  <si>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</si>
  <si>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</si>
  <si>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</si>
  <si>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</si>
  <si>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</si>
  <si>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</si>
  <si>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</si>
  <si>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</si>
  <si>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</si>
  <si>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</si>
  <si>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</si>
  <si>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</si>
  <si>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</si>
  <si>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</si>
  <si>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</si>
  <si>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</si>
  <si>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</si>
  <si>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</si>
  <si>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</si>
  <si>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</si>
  <si>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</si>
  <si>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</si>
  <si>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</si>
  <si>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</si>
  <si>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</si>
  <si>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</si>
  <si>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</si>
  <si>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</si>
  <si>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</si>
  <si>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</si>
  <si>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</si>
  <si>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</si>
  <si>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</si>
  <si>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</si>
  <si>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</si>
  <si>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</si>
  <si>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</si>
  <si>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</si>
  <si>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</si>
  <si>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</si>
  <si>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</si>
  <si>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</si>
  <si>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</si>
  <si>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</si>
  <si>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</si>
  <si>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</si>
  <si>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</si>
  <si>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</si>
  <si>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</si>
  <si>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</si>
  <si>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</si>
  <si>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</si>
  <si>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</si>
  <si>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</si>
  <si>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</si>
  <si>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</si>
  <si>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</si>
  <si>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</si>
  <si>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</si>
  <si>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</si>
  <si>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</si>
  <si>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</si>
  <si>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</si>
  <si>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</si>
  <si>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</si>
  <si>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</si>
  <si>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</si>
  <si>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</si>
  <si>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</si>
  <si>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</si>
  <si>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</si>
  <si>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</si>
  <si>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</si>
  <si>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</si>
  <si>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</si>
  <si>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</si>
  <si>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</si>
  <si>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</si>
  <si>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</si>
  <si>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</si>
  <si>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</si>
  <si>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</si>
  <si>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</si>
  <si>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</si>
  <si>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</si>
  <si>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</si>
  <si>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</si>
  <si>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</si>
  <si>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</si>
  <si>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</si>
  <si>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</si>
  <si>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</si>
  <si>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</si>
  <si>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</si>
  <si>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</si>
  <si>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</si>
  <si>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</si>
  <si>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</si>
  <si>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</si>
  <si>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</si>
  <si>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</si>
  <si>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</si>
  <si>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</si>
  <si>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</si>
  <si>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</si>
  <si>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</si>
  <si>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</si>
  <si>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</si>
  <si>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</si>
  <si>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</si>
  <si>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</si>
  <si>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</si>
  <si>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</si>
  <si>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</si>
  <si>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</si>
  <si>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</si>
  <si>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</si>
  <si>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</si>
  <si>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</si>
  <si>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</si>
  <si>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</si>
  <si>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</si>
  <si>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</si>
  <si>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</si>
  <si>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</si>
  <si>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</si>
  <si>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</si>
  <si>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</si>
  <si>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</si>
  <si>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</si>
  <si>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</si>
  <si>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</si>
  <si>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</si>
  <si>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</si>
  <si>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</si>
  <si>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</si>
  <si>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</si>
  <si>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</si>
  <si>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</si>
  <si>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</si>
  <si>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</si>
  <si>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</si>
  <si>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</si>
  <si>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</si>
  <si>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</si>
  <si>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</si>
  <si>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</si>
  <si>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</si>
  <si>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</si>
  <si>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</si>
  <si>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</si>
  <si>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</si>
  <si>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</si>
  <si>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</si>
  <si>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</si>
  <si>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</si>
  <si>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</si>
  <si>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</si>
  <si>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</si>
  <si>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</si>
  <si>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</si>
  <si>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</si>
  <si>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</si>
  <si>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</si>
  <si>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</si>
  <si>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</si>
  <si>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</si>
  <si>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</si>
  <si>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</si>
  <si>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</si>
  <si>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</si>
  <si>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</si>
  <si>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</si>
  <si>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</si>
  <si>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</si>
  <si>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</si>
  <si>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</si>
  <si>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</si>
  <si>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</si>
  <si>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</si>
  <si>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</si>
  <si>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</si>
  <si>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</si>
  <si>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The Wong Center</t>
  </si>
  <si>
    <t>Mutual Housing California</t>
  </si>
  <si>
    <t>City of Sacramento</t>
  </si>
  <si>
    <t>Howard Chan</t>
  </si>
  <si>
    <t>915 I Street, Sacramento</t>
  </si>
  <si>
    <t>(916)808-7488</t>
  </si>
  <si>
    <t>hchan@cityofsacramento.org</t>
  </si>
  <si>
    <t>CDLAC-TCAC Joint Application (submitting concurrently)</t>
  </si>
  <si>
    <t>631 F Street</t>
  </si>
  <si>
    <t>NW Corner of F St and 7th St</t>
  </si>
  <si>
    <t>002-0010-077</t>
  </si>
  <si>
    <t>40%/60%</t>
  </si>
  <si>
    <t>3321 Power Inn Road, Suite 320</t>
  </si>
  <si>
    <t>CA</t>
  </si>
  <si>
    <t>916.453.8400</t>
  </si>
  <si>
    <t>Roberto Jimenez</t>
  </si>
  <si>
    <t>roberto@mutualhousing.com</t>
  </si>
  <si>
    <t>Wong Center Mutual Housing Association LLC</t>
  </si>
  <si>
    <t>Wong Center Association LLC</t>
  </si>
  <si>
    <t>Managing GP</t>
  </si>
  <si>
    <t>Administrative GP</t>
  </si>
  <si>
    <t>1026 Florin Road, Suite 356</t>
  </si>
  <si>
    <t>Eugson Wong</t>
  </si>
  <si>
    <t>euwong314@gmail.com</t>
  </si>
  <si>
    <t>Wong Center, Inc.</t>
  </si>
  <si>
    <t>Sponsor, Developer, and sole member of LLC MGP</t>
  </si>
  <si>
    <t>Sacramento, CA, 95826</t>
  </si>
  <si>
    <t>Gubb &amp; Barshay</t>
  </si>
  <si>
    <t>505 14th Street, Suite 450</t>
  </si>
  <si>
    <t>Oakland, CA 94612</t>
  </si>
  <si>
    <t>415.781.6600</t>
  </si>
  <si>
    <t>415.781.6967</t>
  </si>
  <si>
    <t>Danny Kolosta</t>
  </si>
  <si>
    <t>916.403.5233</t>
  </si>
  <si>
    <t>danny@mutualhousing.com</t>
  </si>
  <si>
    <t>Lindquist Von Husen &amp; Joyce LLP</t>
  </si>
  <si>
    <t>301 Howard Street, Suite 850</t>
  </si>
  <si>
    <t>San Francisco, CA 94105</t>
  </si>
  <si>
    <t>Scott Smith</t>
  </si>
  <si>
    <t>415.905.5487</t>
  </si>
  <si>
    <t>415.957.1629</t>
  </si>
  <si>
    <t>ssmith@lvhj.com</t>
  </si>
  <si>
    <t>California Housing Partnership</t>
  </si>
  <si>
    <t>369 Pine Street, Suite 300</t>
  </si>
  <si>
    <t>San Francisco, CA 94104</t>
  </si>
  <si>
    <t>Claire Parisa</t>
  </si>
  <si>
    <t>415.433.6804</t>
  </si>
  <si>
    <t>cparisa@chpc.net</t>
  </si>
  <si>
    <t>Kuchman Architects</t>
  </si>
  <si>
    <t>2203 13th Street</t>
  </si>
  <si>
    <t>Sacramento, CA, 95818</t>
  </si>
  <si>
    <t>916.447.3436</t>
  </si>
  <si>
    <t>Phil Harvey</t>
  </si>
  <si>
    <t>phil@kuchman.com</t>
  </si>
  <si>
    <t>Laurin Associates</t>
  </si>
  <si>
    <t>1501 Sports Drive, Suite A</t>
  </si>
  <si>
    <t>Sacramento, CA 95834</t>
  </si>
  <si>
    <t>Stefanie Williams</t>
  </si>
  <si>
    <t>916.372.6100</t>
  </si>
  <si>
    <t>916.419.6108</t>
  </si>
  <si>
    <t>swilliams@laurinassociates.com</t>
  </si>
  <si>
    <t>Sunseri Construction</t>
  </si>
  <si>
    <t>48 Comanche Court</t>
  </si>
  <si>
    <t>Chico, CA 95928</t>
  </si>
  <si>
    <t>Donny Lieberman</t>
  </si>
  <si>
    <t>530-891-6444</t>
  </si>
  <si>
    <t>530-891-1309</t>
  </si>
  <si>
    <t>dl@sunsericonstruction.com</t>
  </si>
  <si>
    <t>TBD</t>
  </si>
  <si>
    <t>Mutual Housing Management</t>
  </si>
  <si>
    <t>Sacramento, CA 95826</t>
  </si>
  <si>
    <t xml:space="preserve">Winter Chaslow </t>
  </si>
  <si>
    <t>winter@mutualhousing.com</t>
  </si>
  <si>
    <t>Downtown Railyard Venture, LLC</t>
  </si>
  <si>
    <t>Denton Kelley</t>
  </si>
  <si>
    <t>Managing Principal</t>
  </si>
  <si>
    <t>McClellan, CA, 95652</t>
  </si>
  <si>
    <t>916.965.7100</t>
  </si>
  <si>
    <t>Inner City Infill Site</t>
  </si>
  <si>
    <t>Senior (Age 55+)</t>
  </si>
  <si>
    <t>NA</t>
  </si>
  <si>
    <t>3140 Peacekeeper Way</t>
  </si>
  <si>
    <t>Urban Center High</t>
  </si>
  <si>
    <t>C-3-SPD, 450 units per acre</t>
  </si>
  <si>
    <t>120 feet</t>
  </si>
  <si>
    <t>Not Applicable</t>
  </si>
  <si>
    <t>Provided</t>
  </si>
  <si>
    <t>cash flow</t>
  </si>
  <si>
    <t>from operations</t>
  </si>
  <si>
    <t>Various. See 24-B2</t>
  </si>
  <si>
    <t>Service Coordinator, not less than</t>
  </si>
  <si>
    <t>Health and wellness services and programs, not less than</t>
  </si>
  <si>
    <t>Sacramento Housing &amp; Redevelopment Agency</t>
  </si>
  <si>
    <t>801 12th Street</t>
  </si>
  <si>
    <t>Sacramento, CA 95814</t>
  </si>
  <si>
    <t>Christine Weichert</t>
  </si>
  <si>
    <t>916.440.1353</t>
  </si>
  <si>
    <t>cweichert@shra.org</t>
  </si>
  <si>
    <t>LDK Ventures, LLC</t>
  </si>
  <si>
    <t>James G. Palmer Appraisals Inc.</t>
  </si>
  <si>
    <t>1285 W Shaw Ave, Suite 108</t>
  </si>
  <si>
    <t>Fresno, CA 93711</t>
  </si>
  <si>
    <t>Gregg J . Palmer</t>
  </si>
  <si>
    <t>559.226.5020</t>
  </si>
  <si>
    <t>gregg@jgpinc.com</t>
  </si>
  <si>
    <t>none (within 1/4-mile of light rail station)</t>
  </si>
  <si>
    <t>US Bank Tax-Exempt Permanent Loan</t>
  </si>
  <si>
    <t>SHRA Loan</t>
  </si>
  <si>
    <t>Impact Fee Waiver</t>
  </si>
  <si>
    <t>GP Equity</t>
  </si>
  <si>
    <t>US Bank Tax-Exempt Construction Loan</t>
  </si>
  <si>
    <t xml:space="preserve">LIHTC Equity During Construction </t>
  </si>
  <si>
    <t>Costs Deferred Until Conversion</t>
  </si>
  <si>
    <t>Misc. Admin</t>
  </si>
  <si>
    <t>Payroll Taxes/Benefits</t>
  </si>
  <si>
    <t>Other: Security in construction contract</t>
  </si>
  <si>
    <t>Other: Construction Lender Expenses</t>
  </si>
  <si>
    <t>Other: Perm Lender Expenses</t>
  </si>
  <si>
    <t>Other: Owner Legal</t>
  </si>
  <si>
    <t>Issuer Fee (SHRA)</t>
  </si>
  <si>
    <t>Variable</t>
  </si>
  <si>
    <t>Fixed</t>
  </si>
  <si>
    <t>Holly Wunder Stiles</t>
  </si>
  <si>
    <t>916.529.1459</t>
  </si>
  <si>
    <t>1307 Washington Ave., Suite 300</t>
  </si>
  <si>
    <t>St. Louis</t>
  </si>
  <si>
    <t>314-662-7533</t>
  </si>
  <si>
    <t>Wong Center, Inc. Loan</t>
  </si>
  <si>
    <t>tax-exempt const. loan</t>
  </si>
  <si>
    <t>801 12th Street, 4th Floor</t>
  </si>
  <si>
    <t>Anne Nicholls</t>
  </si>
  <si>
    <t>916-449-6239</t>
  </si>
  <si>
    <t>deferred payment loan</t>
  </si>
  <si>
    <t>916-529-1459</t>
  </si>
  <si>
    <t>916-317-4420</t>
  </si>
  <si>
    <t>GP equity</t>
  </si>
  <si>
    <t>tax-exempt permanent loan</t>
  </si>
  <si>
    <t>Air Conditioning</t>
  </si>
  <si>
    <t>Secured by Fee Interest</t>
  </si>
  <si>
    <t>Service Coordinator, Additional Services</t>
  </si>
  <si>
    <t>300 Richards Blvd, 3rd floor</t>
  </si>
  <si>
    <t>916-833-8927</t>
  </si>
  <si>
    <t>Elise Gumm</t>
  </si>
  <si>
    <t>Jennifer Craig</t>
  </si>
  <si>
    <t>schematic</t>
  </si>
  <si>
    <t>Other Operating Expenses (specify):</t>
  </si>
  <si>
    <t>Wong Center at the Railyard, L.P.</t>
  </si>
  <si>
    <t>Nicole Klein</t>
  </si>
  <si>
    <t>nklein@gubbandbarshay.com</t>
  </si>
  <si>
    <t>Housing Authority of the City of Sacramento</t>
  </si>
  <si>
    <t>Downtown Railyard Venture, LLC Loan</t>
  </si>
  <si>
    <t>SMUD Electric-Ready Incentive</t>
  </si>
  <si>
    <t>Wong Center Inc. Loan</t>
  </si>
  <si>
    <t>Mutual Housing California (Sole member of Wong Center Mutual Housing Association LLC, the Managing GP)</t>
  </si>
  <si>
    <t>Sponsor Loan - SMUD</t>
  </si>
  <si>
    <t>0.000%</t>
  </si>
  <si>
    <t>Other: LEED/HERS Rater</t>
  </si>
  <si>
    <t>McClellan Park</t>
  </si>
  <si>
    <t>Tommy Turk</t>
  </si>
  <si>
    <t>916-732-6182</t>
  </si>
  <si>
    <t>6201 S Street, Mail Stop B100</t>
  </si>
  <si>
    <t>design incentive proceeds loaned by sponsor</t>
  </si>
  <si>
    <t>916-965-7100</t>
  </si>
  <si>
    <t>Director of Housing Development</t>
  </si>
  <si>
    <t>Donated Land</t>
  </si>
  <si>
    <t>donated land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</si>
</sst>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 fillId="0" borderId="0" xfId="570" applyFont="1" applyBorder="1"/>
    <xf numFmtId="49" fontId="16" fillId="0" borderId="8" xfId="570" applyNumberFormat="1" applyFont="1" applyBorder="1"/>
    <xf numFmtId="49" fontId="16" fillId="5" borderId="14" xfId="570" applyNumberFormat="1" applyFont="1" applyFill="1" applyBorder="1" applyProtection="1">
      <protection locked="0"/>
    </xf>
    <xf numFmtId="171" fontId="16" fillId="5" borderId="14" xfId="570" applyNumberFormat="1" applyFont="1" applyFill="1" applyBorder="1" applyProtection="1">
      <protection locked="0"/>
    </xf>
    <xf numFmtId="183" fontId="16" fillId="5" borderId="14" xfId="701" applyNumberFormat="1" applyFont="1" applyFill="1" applyBorder="1" applyProtection="1">
      <protection locked="0"/>
    </xf>
    <xf numFmtId="183" fontId="16" fillId="44" borderId="14" xfId="701" applyNumberFormat="1" applyFont="1" applyFill="1" applyBorder="1" applyProtection="1">
      <protection locked="0"/>
    </xf>
    <xf numFmtId="49" fontId="16" fillId="44" borderId="14" xfId="570" applyNumberFormat="1" applyFont="1" applyFill="1" applyBorder="1" applyProtection="1">
      <protection locked="0"/>
    </xf>
    <xf numFmtId="0" fontId="16" fillId="44" borderId="12" xfId="570" applyFont="1" applyFill="1" applyBorder="1"/>
    <xf numFmtId="0" fontId="16" fillId="44" borderId="8" xfId="570" applyFont="1" applyFill="1" applyBorder="1"/>
    <xf numFmtId="171" fontId="16" fillId="44" borderId="8" xfId="570" applyNumberFormat="1" applyFont="1" applyFill="1" applyBorder="1" applyProtection="1">
      <protection locked="0"/>
    </xf>
    <xf numFmtId="49" fontId="16" fillId="44" borderId="12" xfId="570" applyNumberFormat="1" applyFont="1" applyFill="1" applyBorder="1" applyProtection="1">
      <protection locked="0"/>
    </xf>
    <xf numFmtId="0" fontId="16" fillId="44" borderId="14" xfId="570" applyFont="1" applyFill="1" applyBorder="1"/>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1" fontId="20" fillId="5" borderId="6" xfId="0" applyNumberFormat="1"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1" fillId="5" borderId="3" xfId="0" quotePrefix="1" applyNumberFormat="1" applyFon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11" fillId="0" borderId="0" xfId="543" applyFont="1" applyBorder="1" applyAlignment="1" applyProtection="1">
      <alignment horizontal="center"/>
    </xf>
    <xf numFmtId="0" fontId="0" fillId="5" borderId="3" xfId="0" applyFill="1" applyBorder="1" applyAlignment="1" applyProtection="1">
      <alignment horizontal="center"/>
      <protection locked="0"/>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11"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9" fillId="5" borderId="3"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20" fillId="0" borderId="3" xfId="0" applyFont="1" applyBorder="1" applyAlignment="1" applyProtection="1">
      <alignment horizontal="left"/>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5" fontId="48" fillId="5" borderId="3" xfId="0" quotePrefix="1"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11" fillId="5" borderId="3" xfId="0" quotePrefix="1" applyNumberFormat="1"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58AB06E4-D34A-46DF-AC7F-C710B8305B40}"/>
    <cellStyle name="20% - Accent1 11" xfId="8718" xr:uid="{2F9210A3-230F-4708-9585-D3821D1702DA}"/>
    <cellStyle name="20% - Accent1 2" xfId="2" xr:uid="{00000000-0005-0000-0000-000002000000}"/>
    <cellStyle name="20% - Accent1 2 10" xfId="8719" xr:uid="{97048EE8-2C36-4655-A421-7A6DC0D551D4}"/>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B0E70758-21D4-4D04-A2F7-191711B4F639}"/>
    <cellStyle name="20% - Accent1 2 2 2 2 2 3" xfId="11280" xr:uid="{EC1A1C71-AFAC-446D-9A09-EB1CA88172AE}"/>
    <cellStyle name="20% - Accent1 2 2 2 2 3" xfId="4924" xr:uid="{00000000-0005-0000-0000-000008000000}"/>
    <cellStyle name="20% - Accent1 2 2 2 2 3 2" xfId="13353" xr:uid="{C1F709F6-7132-4903-B376-74D968735D84}"/>
    <cellStyle name="20% - Accent1 2 2 2 2 4" xfId="9135" xr:uid="{9285C91C-8213-432C-BE81-59EAFA872456}"/>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C3EDA12F-7A9F-424A-80A2-3A8FD73F582D}"/>
    <cellStyle name="20% - Accent1 2 2 2 3 2 3" xfId="11693" xr:uid="{BE89CA94-DB7D-4C9C-86CF-57BD64C5CC4A}"/>
    <cellStyle name="20% - Accent1 2 2 2 3 3" xfId="5337" xr:uid="{00000000-0005-0000-0000-00000C000000}"/>
    <cellStyle name="20% - Accent1 2 2 2 3 3 2" xfId="13766" xr:uid="{267A5194-21DA-4D2C-ADB0-88593384CCEB}"/>
    <cellStyle name="20% - Accent1 2 2 2 3 4" xfId="9548" xr:uid="{3AC2A4AF-E710-4A12-8CC0-21247F3A5C18}"/>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5DA2EACC-937B-40C6-A1EC-2CD1AD814FA3}"/>
    <cellStyle name="20% - Accent1 2 2 2 4 2 3" xfId="12106" xr:uid="{93E82265-5DB9-4B9C-99BE-290014898FE4}"/>
    <cellStyle name="20% - Accent1 2 2 2 4 3" xfId="5750" xr:uid="{00000000-0005-0000-0000-000010000000}"/>
    <cellStyle name="20% - Accent1 2 2 2 4 3 2" xfId="14179" xr:uid="{36F4CF9B-F68E-4A54-A44F-62567AC1EF54}"/>
    <cellStyle name="20% - Accent1 2 2 2 4 4" xfId="9961" xr:uid="{71EDBBAB-AC36-4F08-9F58-06FC62BF45C3}"/>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C2727E24-F2D8-4E80-8765-1A9BD5AB4A45}"/>
    <cellStyle name="20% - Accent1 2 2 2 5 2 3" xfId="12519" xr:uid="{F9D175DD-6E1D-48BD-AB62-A3C3659834E0}"/>
    <cellStyle name="20% - Accent1 2 2 2 5 3" xfId="6163" xr:uid="{00000000-0005-0000-0000-000014000000}"/>
    <cellStyle name="20% - Accent1 2 2 2 5 3 2" xfId="14592" xr:uid="{0611CF29-4690-4DE8-8963-16C6F8399ED3}"/>
    <cellStyle name="20% - Accent1 2 2 2 5 4" xfId="10374" xr:uid="{5367B33E-5F8D-4C2E-9652-82A47DA51923}"/>
    <cellStyle name="20% - Accent1 2 2 2 6" xfId="2268" xr:uid="{00000000-0005-0000-0000-000015000000}"/>
    <cellStyle name="20% - Accent1 2 2 2 6 2" xfId="6576" xr:uid="{00000000-0005-0000-0000-000016000000}"/>
    <cellStyle name="20% - Accent1 2 2 2 6 2 2" xfId="15005" xr:uid="{E8620CA2-280A-4851-87E1-B24C691778CB}"/>
    <cellStyle name="20% - Accent1 2 2 2 6 3" xfId="10787" xr:uid="{CF5F31F7-5D9E-4E87-8131-104277CEF1D5}"/>
    <cellStyle name="20% - Accent1 2 2 2 7" xfId="4510" xr:uid="{00000000-0005-0000-0000-000017000000}"/>
    <cellStyle name="20% - Accent1 2 2 2 7 2" xfId="12939" xr:uid="{764F3B12-D3EA-4A14-9E29-2741E7637196}"/>
    <cellStyle name="20% - Accent1 2 2 2 8" xfId="8721" xr:uid="{A0140697-AFE5-4F4D-845A-DE82B7FC4CA7}"/>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DAB7E1F9-B3D6-42F4-96E6-F90286EBE0FD}"/>
    <cellStyle name="20% - Accent1 2 2 3 2 3" xfId="11279" xr:uid="{E15DFEB8-11BB-49D0-9D88-C72A667BE5BA}"/>
    <cellStyle name="20% - Accent1 2 2 3 3" xfId="4923" xr:uid="{00000000-0005-0000-0000-00001B000000}"/>
    <cellStyle name="20% - Accent1 2 2 3 3 2" xfId="13352" xr:uid="{2BAAC283-09B3-42B1-A35C-04664D7660A6}"/>
    <cellStyle name="20% - Accent1 2 2 3 4" xfId="9134" xr:uid="{DD50E27D-CB29-4EAE-A440-BEC962B97241}"/>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AD90AD87-D097-4D30-865C-4A7E49434832}"/>
    <cellStyle name="20% - Accent1 2 2 4 2 3" xfId="11692" xr:uid="{58AFDCF3-B97A-42AC-B926-EA9AC7521B8A}"/>
    <cellStyle name="20% - Accent1 2 2 4 3" xfId="5336" xr:uid="{00000000-0005-0000-0000-00001F000000}"/>
    <cellStyle name="20% - Accent1 2 2 4 3 2" xfId="13765" xr:uid="{F3DB5339-0D59-4F2D-B443-F7280F791EB9}"/>
    <cellStyle name="20% - Accent1 2 2 4 4" xfId="9547" xr:uid="{1092C018-A6A1-4514-884B-738008005F40}"/>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C93868DA-CBCB-472D-91E8-AB4968858797}"/>
    <cellStyle name="20% - Accent1 2 2 5 2 3" xfId="12105" xr:uid="{1CE8DB7F-A324-4A1E-AAFA-93E0CBF9E2A8}"/>
    <cellStyle name="20% - Accent1 2 2 5 3" xfId="5749" xr:uid="{00000000-0005-0000-0000-000023000000}"/>
    <cellStyle name="20% - Accent1 2 2 5 3 2" xfId="14178" xr:uid="{73FE9EF6-24D6-431D-984A-CA0F0BEF6B1F}"/>
    <cellStyle name="20% - Accent1 2 2 5 4" xfId="9960" xr:uid="{BBFB3B10-7F94-469A-A01C-023403F346AB}"/>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355271F2-2611-4B49-BC58-C4F3381E12CA}"/>
    <cellStyle name="20% - Accent1 2 2 6 2 3" xfId="12518" xr:uid="{25B6A5DD-1896-4179-AA5D-AF331BA2951D}"/>
    <cellStyle name="20% - Accent1 2 2 6 3" xfId="6162" xr:uid="{00000000-0005-0000-0000-000027000000}"/>
    <cellStyle name="20% - Accent1 2 2 6 3 2" xfId="14591" xr:uid="{839C466E-F5BB-46AA-9249-F624B7001AF4}"/>
    <cellStyle name="20% - Accent1 2 2 6 4" xfId="10373" xr:uid="{16B60927-DF82-4864-9095-1449EF60B679}"/>
    <cellStyle name="20% - Accent1 2 2 7" xfId="2267" xr:uid="{00000000-0005-0000-0000-000028000000}"/>
    <cellStyle name="20% - Accent1 2 2 7 2" xfId="6575" xr:uid="{00000000-0005-0000-0000-000029000000}"/>
    <cellStyle name="20% - Accent1 2 2 7 2 2" xfId="15004" xr:uid="{5BCBE058-8A5E-4960-B453-C42F1E552FB7}"/>
    <cellStyle name="20% - Accent1 2 2 7 3" xfId="10786" xr:uid="{9AE7DC49-B355-477D-B282-0EAA70A75AEC}"/>
    <cellStyle name="20% - Accent1 2 2 8" xfId="4509" xr:uid="{00000000-0005-0000-0000-00002A000000}"/>
    <cellStyle name="20% - Accent1 2 2 8 2" xfId="12938" xr:uid="{0C8BA059-880D-41F9-AEA8-28BEFF35868A}"/>
    <cellStyle name="20% - Accent1 2 2 9" xfId="8720" xr:uid="{764D3A36-AC52-420F-95AC-DB5F04A46E22}"/>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9F75BF35-7890-4350-AC9E-230C0758963E}"/>
    <cellStyle name="20% - Accent1 2 3 2 2 3" xfId="11281" xr:uid="{2CF4A01B-B5C8-4889-9D16-30468B828428}"/>
    <cellStyle name="20% - Accent1 2 3 2 3" xfId="4925" xr:uid="{00000000-0005-0000-0000-00002F000000}"/>
    <cellStyle name="20% - Accent1 2 3 2 3 2" xfId="13354" xr:uid="{50850660-592C-4246-9D8E-F4BAD628B582}"/>
    <cellStyle name="20% - Accent1 2 3 2 4" xfId="9136" xr:uid="{3999FCC1-1553-4BDF-9F9C-CA9E0F87F5B1}"/>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A7BEFC77-3DFF-425C-98C9-670AEF6B3E6A}"/>
    <cellStyle name="20% - Accent1 2 3 3 2 3" xfId="11694" xr:uid="{887F7F1A-42E4-4CDF-B297-85FF5A6BC42C}"/>
    <cellStyle name="20% - Accent1 2 3 3 3" xfId="5338" xr:uid="{00000000-0005-0000-0000-000033000000}"/>
    <cellStyle name="20% - Accent1 2 3 3 3 2" xfId="13767" xr:uid="{16129C21-DFFD-4F23-989F-E1BB6CA5323B}"/>
    <cellStyle name="20% - Accent1 2 3 3 4" xfId="9549" xr:uid="{7A41EF0F-1288-4819-B69D-4FA78B055AA2}"/>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C1F82AAC-5E2F-43D7-96C5-01E85C0914AD}"/>
    <cellStyle name="20% - Accent1 2 3 4 2 3" xfId="12107" xr:uid="{82CA01DF-8133-40B8-830C-8A86079A03F9}"/>
    <cellStyle name="20% - Accent1 2 3 4 3" xfId="5751" xr:uid="{00000000-0005-0000-0000-000037000000}"/>
    <cellStyle name="20% - Accent1 2 3 4 3 2" xfId="14180" xr:uid="{D8FC6B91-8EAB-4BF4-B25E-8FD44D972E7F}"/>
    <cellStyle name="20% - Accent1 2 3 4 4" xfId="9962" xr:uid="{5CDD6D38-86FF-42D2-9387-E0E53B3AB466}"/>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9DE8ECF2-DCC7-4B26-863B-B21C418DBAB3}"/>
    <cellStyle name="20% - Accent1 2 3 5 2 3" xfId="12520" xr:uid="{1DAAEA03-BA1C-47EE-96D5-5265F3A6D2EF}"/>
    <cellStyle name="20% - Accent1 2 3 5 3" xfId="6164" xr:uid="{00000000-0005-0000-0000-00003B000000}"/>
    <cellStyle name="20% - Accent1 2 3 5 3 2" xfId="14593" xr:uid="{9B6FEAE9-4BDA-40AD-AAFD-0D4346C64AA5}"/>
    <cellStyle name="20% - Accent1 2 3 5 4" xfId="10375" xr:uid="{D53F7F92-E9B7-46AD-A26F-9A654C5C487F}"/>
    <cellStyle name="20% - Accent1 2 3 6" xfId="2269" xr:uid="{00000000-0005-0000-0000-00003C000000}"/>
    <cellStyle name="20% - Accent1 2 3 6 2" xfId="6577" xr:uid="{00000000-0005-0000-0000-00003D000000}"/>
    <cellStyle name="20% - Accent1 2 3 6 2 2" xfId="15006" xr:uid="{7325B657-9E93-46DB-94B5-CE943DC9D406}"/>
    <cellStyle name="20% - Accent1 2 3 6 3" xfId="10788" xr:uid="{792B0E05-6566-447A-8B83-FC7A9C60BC24}"/>
    <cellStyle name="20% - Accent1 2 3 7" xfId="4511" xr:uid="{00000000-0005-0000-0000-00003E000000}"/>
    <cellStyle name="20% - Accent1 2 3 7 2" xfId="12940" xr:uid="{3BD0DC6D-93CD-4448-88DD-D2F58123B7B0}"/>
    <cellStyle name="20% - Accent1 2 3 8" xfId="8722" xr:uid="{7AF5645B-A9E3-455E-ACCF-74B920F35146}"/>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0556D2EE-70EC-4B3C-AE48-9CEED557069C}"/>
    <cellStyle name="20% - Accent1 2 4 2 3" xfId="11278" xr:uid="{9F3737F2-3FCC-495B-8B2E-82261FF847C9}"/>
    <cellStyle name="20% - Accent1 2 4 3" xfId="4922" xr:uid="{00000000-0005-0000-0000-000042000000}"/>
    <cellStyle name="20% - Accent1 2 4 3 2" xfId="13351" xr:uid="{6E25FF9B-4812-4DC3-914F-62639F9B67E4}"/>
    <cellStyle name="20% - Accent1 2 4 4" xfId="9133" xr:uid="{4BC8082A-FADF-4212-8EA3-04BB8F0C2BEE}"/>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AC9C83CE-753E-46C0-BE03-3F8FFF084670}"/>
    <cellStyle name="20% - Accent1 2 5 2 3" xfId="11691" xr:uid="{B2A7D7CC-4325-46B6-9DC5-21AF8D95CC35}"/>
    <cellStyle name="20% - Accent1 2 5 3" xfId="5335" xr:uid="{00000000-0005-0000-0000-000046000000}"/>
    <cellStyle name="20% - Accent1 2 5 3 2" xfId="13764" xr:uid="{2B86C259-0D33-41DB-8953-7DE21E9CDC22}"/>
    <cellStyle name="20% - Accent1 2 5 4" xfId="9546" xr:uid="{9423BE34-A95D-4D65-8524-F6AFF5B567B2}"/>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7A9E1772-EE86-4C96-9374-53E2414DBEFC}"/>
    <cellStyle name="20% - Accent1 2 6 2 3" xfId="12104" xr:uid="{1A48D208-303A-4FF5-AC4F-56BF8D3B1497}"/>
    <cellStyle name="20% - Accent1 2 6 3" xfId="5748" xr:uid="{00000000-0005-0000-0000-00004A000000}"/>
    <cellStyle name="20% - Accent1 2 6 3 2" xfId="14177" xr:uid="{0B8523C7-EC74-49F7-9937-E46BDA0337DC}"/>
    <cellStyle name="20% - Accent1 2 6 4" xfId="9959" xr:uid="{225418B1-F8D3-4D37-A679-5DA54FA82706}"/>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2E64F3C4-5017-4AD0-B6A2-2AE2537D5276}"/>
    <cellStyle name="20% - Accent1 2 7 2 3" xfId="12517" xr:uid="{C32275B6-905B-452D-B005-4DC56DCB3993}"/>
    <cellStyle name="20% - Accent1 2 7 3" xfId="6161" xr:uid="{00000000-0005-0000-0000-00004E000000}"/>
    <cellStyle name="20% - Accent1 2 7 3 2" xfId="14590" xr:uid="{148CC808-F89D-43EF-864F-84E299D81CFA}"/>
    <cellStyle name="20% - Accent1 2 7 4" xfId="10372" xr:uid="{C5D31673-812A-45DA-88C4-E064A6072777}"/>
    <cellStyle name="20% - Accent1 2 8" xfId="2266" xr:uid="{00000000-0005-0000-0000-00004F000000}"/>
    <cellStyle name="20% - Accent1 2 8 2" xfId="6574" xr:uid="{00000000-0005-0000-0000-000050000000}"/>
    <cellStyle name="20% - Accent1 2 8 2 2" xfId="15003" xr:uid="{0B01970B-6DF2-4A59-86E6-0486650F509A}"/>
    <cellStyle name="20% - Accent1 2 8 3" xfId="10785" xr:uid="{A8A15FCF-8B4B-4040-9D34-A6D4BE5B12E5}"/>
    <cellStyle name="20% - Accent1 2 9" xfId="4508" xr:uid="{00000000-0005-0000-0000-000051000000}"/>
    <cellStyle name="20% - Accent1 2 9 2" xfId="12937" xr:uid="{FD069F41-382B-440E-AAE9-91EFDD6AAC77}"/>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AE7568A5-7D56-48D1-A534-AAAEBBC9B47C}"/>
    <cellStyle name="20% - Accent1 3 2 2 2 3" xfId="11283" xr:uid="{B822B851-7D8E-4639-B6F1-57CEE8B1123A}"/>
    <cellStyle name="20% - Accent1 3 2 2 3" xfId="4927" xr:uid="{00000000-0005-0000-0000-000057000000}"/>
    <cellStyle name="20% - Accent1 3 2 2 3 2" xfId="13356" xr:uid="{299A158D-346D-4913-B648-FB7E6CE45E4A}"/>
    <cellStyle name="20% - Accent1 3 2 2 4" xfId="9138" xr:uid="{C6DF47E7-37E4-4BA2-BED9-D530AAAB0BF5}"/>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C69A78D0-3B95-40B4-AF08-2CB19667DE3A}"/>
    <cellStyle name="20% - Accent1 3 2 3 2 3" xfId="11696" xr:uid="{86729B38-3536-47F7-B92F-41543186FE06}"/>
    <cellStyle name="20% - Accent1 3 2 3 3" xfId="5340" xr:uid="{00000000-0005-0000-0000-00005B000000}"/>
    <cellStyle name="20% - Accent1 3 2 3 3 2" xfId="13769" xr:uid="{D3DC1E70-6AA9-4B80-B965-0E66590C8DC1}"/>
    <cellStyle name="20% - Accent1 3 2 3 4" xfId="9551" xr:uid="{377EA188-1F1E-468C-B17E-E8186383DDBD}"/>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C3D9415F-B57E-4191-9588-B8113968FC77}"/>
    <cellStyle name="20% - Accent1 3 2 4 2 3" xfId="12109" xr:uid="{2749A7CE-8C12-4801-A48F-A74127235546}"/>
    <cellStyle name="20% - Accent1 3 2 4 3" xfId="5753" xr:uid="{00000000-0005-0000-0000-00005F000000}"/>
    <cellStyle name="20% - Accent1 3 2 4 3 2" xfId="14182" xr:uid="{A357EA06-222A-404F-9C17-E38EDA15D65B}"/>
    <cellStyle name="20% - Accent1 3 2 4 4" xfId="9964" xr:uid="{B07FA481-EDDE-46B9-8E69-F1BC6BE983BC}"/>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887D0E66-F76D-40AE-B70B-365FB50D5963}"/>
    <cellStyle name="20% - Accent1 3 2 5 2 3" xfId="12522" xr:uid="{1C2EAC2C-5FBA-4B3A-B84D-FBE19BC2C8B9}"/>
    <cellStyle name="20% - Accent1 3 2 5 3" xfId="6166" xr:uid="{00000000-0005-0000-0000-000063000000}"/>
    <cellStyle name="20% - Accent1 3 2 5 3 2" xfId="14595" xr:uid="{AE4576BB-98C9-4567-A1C9-6A67240FF3CF}"/>
    <cellStyle name="20% - Accent1 3 2 5 4" xfId="10377" xr:uid="{469C3DE9-10AF-4442-B0E0-DEA9BE1F2F3A}"/>
    <cellStyle name="20% - Accent1 3 2 6" xfId="2271" xr:uid="{00000000-0005-0000-0000-000064000000}"/>
    <cellStyle name="20% - Accent1 3 2 6 2" xfId="6579" xr:uid="{00000000-0005-0000-0000-000065000000}"/>
    <cellStyle name="20% - Accent1 3 2 6 2 2" xfId="15008" xr:uid="{F41387DD-F070-4B21-B405-42BBE358AEBE}"/>
    <cellStyle name="20% - Accent1 3 2 6 3" xfId="10790" xr:uid="{6F10D584-7879-465A-B00F-F26DA92D1675}"/>
    <cellStyle name="20% - Accent1 3 2 7" xfId="4513" xr:uid="{00000000-0005-0000-0000-000066000000}"/>
    <cellStyle name="20% - Accent1 3 2 7 2" xfId="12942" xr:uid="{F16E4636-E829-4A5B-86A5-C6107C1499BD}"/>
    <cellStyle name="20% - Accent1 3 2 8" xfId="8724" xr:uid="{E109EEF0-3808-45B4-B14D-CD362C47DD02}"/>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3839F0BF-D80C-44DE-B826-37A27F62A939}"/>
    <cellStyle name="20% - Accent1 3 3 2 3" xfId="11282" xr:uid="{7EBD6D1F-4BD6-47CA-8346-5C227D7D3067}"/>
    <cellStyle name="20% - Accent1 3 3 3" xfId="4926" xr:uid="{00000000-0005-0000-0000-00006A000000}"/>
    <cellStyle name="20% - Accent1 3 3 3 2" xfId="13355" xr:uid="{C8AF6E2C-9A12-4D10-A252-C626EBC3C064}"/>
    <cellStyle name="20% - Accent1 3 3 4" xfId="9137" xr:uid="{1D1E1E68-0A18-4695-AD20-6B592A5DEF5D}"/>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90B5B781-B174-42DE-8867-DFD1F6EA635F}"/>
    <cellStyle name="20% - Accent1 3 4 2 3" xfId="11695" xr:uid="{06E038CA-05B4-4FBF-93FD-D5BD2CB874B4}"/>
    <cellStyle name="20% - Accent1 3 4 3" xfId="5339" xr:uid="{00000000-0005-0000-0000-00006E000000}"/>
    <cellStyle name="20% - Accent1 3 4 3 2" xfId="13768" xr:uid="{9FA5A71F-EB73-43EA-A228-250EC3E07C1C}"/>
    <cellStyle name="20% - Accent1 3 4 4" xfId="9550" xr:uid="{720D2840-FA41-4FC4-B282-35C6433B09B2}"/>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4B202503-BB40-4598-8189-04A03232F8BA}"/>
    <cellStyle name="20% - Accent1 3 5 2 3" xfId="12108" xr:uid="{054F9078-E6D7-40A6-A26A-76B57A68F1D9}"/>
    <cellStyle name="20% - Accent1 3 5 3" xfId="5752" xr:uid="{00000000-0005-0000-0000-000072000000}"/>
    <cellStyle name="20% - Accent1 3 5 3 2" xfId="14181" xr:uid="{E25E649F-15DD-4B53-95FE-5824AACEB296}"/>
    <cellStyle name="20% - Accent1 3 5 4" xfId="9963" xr:uid="{87357280-C63F-4E7F-8B3B-ED7602618B3A}"/>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9A2F89B6-E272-49DC-8530-4675B6413390}"/>
    <cellStyle name="20% - Accent1 3 6 2 3" xfId="12521" xr:uid="{F463B5F3-4D32-468A-9DD7-646B167F3D07}"/>
    <cellStyle name="20% - Accent1 3 6 3" xfId="6165" xr:uid="{00000000-0005-0000-0000-000076000000}"/>
    <cellStyle name="20% - Accent1 3 6 3 2" xfId="14594" xr:uid="{13C57172-C516-48E7-94C1-25AA0E96940F}"/>
    <cellStyle name="20% - Accent1 3 6 4" xfId="10376" xr:uid="{3F2F0FE3-E0F9-4E34-A840-1A9FB38AB446}"/>
    <cellStyle name="20% - Accent1 3 7" xfId="2270" xr:uid="{00000000-0005-0000-0000-000077000000}"/>
    <cellStyle name="20% - Accent1 3 7 2" xfId="6578" xr:uid="{00000000-0005-0000-0000-000078000000}"/>
    <cellStyle name="20% - Accent1 3 7 2 2" xfId="15007" xr:uid="{B386D3C3-EFDF-4E79-9F51-E0E48DAE8E75}"/>
    <cellStyle name="20% - Accent1 3 7 3" xfId="10789" xr:uid="{C4D1EFBA-D16D-4F07-A0D0-1BABB8EF01D8}"/>
    <cellStyle name="20% - Accent1 3 8" xfId="4512" xr:uid="{00000000-0005-0000-0000-000079000000}"/>
    <cellStyle name="20% - Accent1 3 8 2" xfId="12941" xr:uid="{FB5696FD-B9CC-4D94-B061-D15B3770D39B}"/>
    <cellStyle name="20% - Accent1 3 9" xfId="8723" xr:uid="{ADA40183-58E2-448F-9CEB-EC556D1134F3}"/>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82D56C7B-7415-441F-9374-9D958ECF8C53}"/>
    <cellStyle name="20% - Accent1 4 2 2 3" xfId="11284" xr:uid="{D5414D00-63E8-437C-A2DA-B44D6BD1A607}"/>
    <cellStyle name="20% - Accent1 4 2 3" xfId="4928" xr:uid="{00000000-0005-0000-0000-00007E000000}"/>
    <cellStyle name="20% - Accent1 4 2 3 2" xfId="13357" xr:uid="{2460D9BF-BA4E-4594-8DF3-D28A4F8F11B7}"/>
    <cellStyle name="20% - Accent1 4 2 4" xfId="9139" xr:uid="{A3A96143-1C0F-487B-A3D4-A25E23327A87}"/>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CF046452-9C8D-45F5-91F1-4EFEA8DCB6A6}"/>
    <cellStyle name="20% - Accent1 4 3 2 3" xfId="11697" xr:uid="{952AF017-47EF-421A-8396-86511B370E06}"/>
    <cellStyle name="20% - Accent1 4 3 3" xfId="5341" xr:uid="{00000000-0005-0000-0000-000082000000}"/>
    <cellStyle name="20% - Accent1 4 3 3 2" xfId="13770" xr:uid="{7FE4AB5D-F6D9-4992-B332-F7DEDD797C24}"/>
    <cellStyle name="20% - Accent1 4 3 4" xfId="9552" xr:uid="{C600C381-F67E-47AF-8328-571D6D5F912B}"/>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F94DD2B6-F798-4F8D-81E3-052E2CC63D06}"/>
    <cellStyle name="20% - Accent1 4 4 2 3" xfId="12110" xr:uid="{21B7E108-6ECD-4BFA-930E-55374DCE6522}"/>
    <cellStyle name="20% - Accent1 4 4 3" xfId="5754" xr:uid="{00000000-0005-0000-0000-000086000000}"/>
    <cellStyle name="20% - Accent1 4 4 3 2" xfId="14183" xr:uid="{B624EFAF-32BD-4A39-8978-7B27F9E1F27D}"/>
    <cellStyle name="20% - Accent1 4 4 4" xfId="9965" xr:uid="{805F92BC-3468-4BD3-BD04-E2A1D73C1BD5}"/>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49F984C2-466C-49F0-9EB3-B95D384F47C4}"/>
    <cellStyle name="20% - Accent1 4 5 2 3" xfId="12523" xr:uid="{1675A407-DE1A-475B-8431-CE351958186C}"/>
    <cellStyle name="20% - Accent1 4 5 3" xfId="6167" xr:uid="{00000000-0005-0000-0000-00008A000000}"/>
    <cellStyle name="20% - Accent1 4 5 3 2" xfId="14596" xr:uid="{88797DC4-D5AD-4EFA-AB73-3382BB0B485E}"/>
    <cellStyle name="20% - Accent1 4 5 4" xfId="10378" xr:uid="{4F1D54D2-8C84-46CB-9869-D2C8944A1ACE}"/>
    <cellStyle name="20% - Accent1 4 6" xfId="2272" xr:uid="{00000000-0005-0000-0000-00008B000000}"/>
    <cellStyle name="20% - Accent1 4 6 2" xfId="6580" xr:uid="{00000000-0005-0000-0000-00008C000000}"/>
    <cellStyle name="20% - Accent1 4 6 2 2" xfId="15009" xr:uid="{3567B4AF-17F2-499D-A7E0-8C3B83D029C8}"/>
    <cellStyle name="20% - Accent1 4 6 3" xfId="10791" xr:uid="{D0182C5D-9ED1-4E2A-81A0-F0B1048456DA}"/>
    <cellStyle name="20% - Accent1 4 7" xfId="4514" xr:uid="{00000000-0005-0000-0000-00008D000000}"/>
    <cellStyle name="20% - Accent1 4 7 2" xfId="12943" xr:uid="{6BA69EA0-B2B0-4581-AFCF-81558FEDCF1C}"/>
    <cellStyle name="20% - Accent1 4 8" xfId="8725" xr:uid="{46E92153-8C54-4B70-8E3D-9D26A27D9C21}"/>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706AC765-9A5A-43EF-9CA2-F6FCE0B054C0}"/>
    <cellStyle name="20% - Accent1 5 2 3" xfId="11277" xr:uid="{0F287948-8D0A-4127-A1D8-159FEFD64B3F}"/>
    <cellStyle name="20% - Accent1 5 3" xfId="4921" xr:uid="{00000000-0005-0000-0000-000091000000}"/>
    <cellStyle name="20% - Accent1 5 3 2" xfId="13350" xr:uid="{3AD7276C-83E0-49EB-BADB-219E51FB6AE5}"/>
    <cellStyle name="20% - Accent1 5 4" xfId="9132" xr:uid="{FF7885C4-2147-4585-BA9C-8E58E1BD6229}"/>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5FED3DFB-008C-4DBB-AEAF-5E5FB0848AAC}"/>
    <cellStyle name="20% - Accent1 6 2 3" xfId="11690" xr:uid="{EF510DDC-2913-4182-9F2D-8F7031C4C670}"/>
    <cellStyle name="20% - Accent1 6 3" xfId="5334" xr:uid="{00000000-0005-0000-0000-000095000000}"/>
    <cellStyle name="20% - Accent1 6 3 2" xfId="13763" xr:uid="{8768B485-BCFB-4099-B1F3-0D8F6793432F}"/>
    <cellStyle name="20% - Accent1 6 4" xfId="9545" xr:uid="{60E057B3-2B52-4EBE-B99E-BC32539F9F1F}"/>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31FF397D-30DE-46E9-9F57-4721BDE18C07}"/>
    <cellStyle name="20% - Accent1 7 2 3" xfId="12103" xr:uid="{E2B30DE2-C046-4E7B-B43D-6C6653FB9A61}"/>
    <cellStyle name="20% - Accent1 7 3" xfId="5747" xr:uid="{00000000-0005-0000-0000-000099000000}"/>
    <cellStyle name="20% - Accent1 7 3 2" xfId="14176" xr:uid="{AA63C416-6573-47BE-BC96-1844BB978305}"/>
    <cellStyle name="20% - Accent1 7 4" xfId="9958" xr:uid="{56A26EB1-1F50-4054-B63B-6F4302D66BA9}"/>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B430FF37-D0B6-4263-9F09-FB6BDA26FBA7}"/>
    <cellStyle name="20% - Accent1 8 2 3" xfId="12516" xr:uid="{CCB4D8C8-6CE6-481E-AAE1-2CD93316F434}"/>
    <cellStyle name="20% - Accent1 8 3" xfId="6160" xr:uid="{00000000-0005-0000-0000-00009D000000}"/>
    <cellStyle name="20% - Accent1 8 3 2" xfId="14589" xr:uid="{F1944752-9469-4912-92A2-95A2952FE309}"/>
    <cellStyle name="20% - Accent1 8 4" xfId="10371" xr:uid="{81CF1291-3572-4D86-8C69-DD869F5004D3}"/>
    <cellStyle name="20% - Accent1 9" xfId="2265" xr:uid="{00000000-0005-0000-0000-00009E000000}"/>
    <cellStyle name="20% - Accent1 9 2" xfId="6573" xr:uid="{00000000-0005-0000-0000-00009F000000}"/>
    <cellStyle name="20% - Accent1 9 2 2" xfId="15002" xr:uid="{879E462A-959E-4CDE-812E-CD8912D6956A}"/>
    <cellStyle name="20% - Accent1 9 3" xfId="10784" xr:uid="{CE6934A6-443C-4327-8607-1B7557DE863F}"/>
    <cellStyle name="20% - Accent2" xfId="9" builtinId="34" customBuiltin="1"/>
    <cellStyle name="20% - Accent2 10" xfId="4515" xr:uid="{00000000-0005-0000-0000-0000A1000000}"/>
    <cellStyle name="20% - Accent2 10 2" xfId="12944" xr:uid="{D6ADDC05-1FD6-4D62-BB08-38A87BAB3B03}"/>
    <cellStyle name="20% - Accent2 11" xfId="8726" xr:uid="{2CB4CC52-7263-45F9-9F0C-557338770453}"/>
    <cellStyle name="20% - Accent2 2" xfId="10" xr:uid="{00000000-0005-0000-0000-0000A2000000}"/>
    <cellStyle name="20% - Accent2 2 10" xfId="8727" xr:uid="{F9BD8B6F-01D1-4CE3-90C3-0CCE4D652497}"/>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28D222F7-833C-45B9-92B6-90E6D384B8B6}"/>
    <cellStyle name="20% - Accent2 2 2 2 2 2 3" xfId="11288" xr:uid="{5DD525C7-2710-4023-95D4-4E95FCDABC1D}"/>
    <cellStyle name="20% - Accent2 2 2 2 2 3" xfId="4932" xr:uid="{00000000-0005-0000-0000-0000A8000000}"/>
    <cellStyle name="20% - Accent2 2 2 2 2 3 2" xfId="13361" xr:uid="{5841DB3B-2932-488E-83A4-42FDD9EE3F26}"/>
    <cellStyle name="20% - Accent2 2 2 2 2 4" xfId="9143" xr:uid="{720E5B00-B3DE-44A0-88FA-BE52DDDBB2DA}"/>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3D100695-55CB-4AA6-8C19-1D791E98C063}"/>
    <cellStyle name="20% - Accent2 2 2 2 3 2 3" xfId="11701" xr:uid="{2923923F-4DAE-4E35-ACEF-7291F99D44D5}"/>
    <cellStyle name="20% - Accent2 2 2 2 3 3" xfId="5345" xr:uid="{00000000-0005-0000-0000-0000AC000000}"/>
    <cellStyle name="20% - Accent2 2 2 2 3 3 2" xfId="13774" xr:uid="{A17F6BA9-BCA4-4C0F-85E2-5A1F38212DE1}"/>
    <cellStyle name="20% - Accent2 2 2 2 3 4" xfId="9556" xr:uid="{F88749A2-6A49-4513-B519-EC684F0C1446}"/>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C79AD6BA-DDC3-44EF-9AE6-0EBACC9FCFC4}"/>
    <cellStyle name="20% - Accent2 2 2 2 4 2 3" xfId="12114" xr:uid="{1F082A9C-436C-4E5D-B0AB-B78A600C8C44}"/>
    <cellStyle name="20% - Accent2 2 2 2 4 3" xfId="5758" xr:uid="{00000000-0005-0000-0000-0000B0000000}"/>
    <cellStyle name="20% - Accent2 2 2 2 4 3 2" xfId="14187" xr:uid="{D562F2E7-84EC-4924-A2D8-4A9D24E17E79}"/>
    <cellStyle name="20% - Accent2 2 2 2 4 4" xfId="9969" xr:uid="{6835F850-F9D6-4D95-92B9-8E9F4BA1B9AD}"/>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A7057AF7-6985-4E71-B9C0-069899C023DA}"/>
    <cellStyle name="20% - Accent2 2 2 2 5 2 3" xfId="12527" xr:uid="{C3EB44CF-FF84-49FC-A491-6B28FC365F4F}"/>
    <cellStyle name="20% - Accent2 2 2 2 5 3" xfId="6171" xr:uid="{00000000-0005-0000-0000-0000B4000000}"/>
    <cellStyle name="20% - Accent2 2 2 2 5 3 2" xfId="14600" xr:uid="{9BDE0D68-04B9-48D4-881F-F6DC1B3DC832}"/>
    <cellStyle name="20% - Accent2 2 2 2 5 4" xfId="10382" xr:uid="{342C0D57-774C-4C36-A986-90B178D40992}"/>
    <cellStyle name="20% - Accent2 2 2 2 6" xfId="2276" xr:uid="{00000000-0005-0000-0000-0000B5000000}"/>
    <cellStyle name="20% - Accent2 2 2 2 6 2" xfId="6584" xr:uid="{00000000-0005-0000-0000-0000B6000000}"/>
    <cellStyle name="20% - Accent2 2 2 2 6 2 2" xfId="15013" xr:uid="{088CE2B0-3FED-49B1-BCB2-E468D182B14F}"/>
    <cellStyle name="20% - Accent2 2 2 2 6 3" xfId="10795" xr:uid="{B396FC98-4A36-4D39-A238-C41921DDD872}"/>
    <cellStyle name="20% - Accent2 2 2 2 7" xfId="4518" xr:uid="{00000000-0005-0000-0000-0000B7000000}"/>
    <cellStyle name="20% - Accent2 2 2 2 7 2" xfId="12947" xr:uid="{89D63C38-98E3-4C3F-B587-42FE0CC17401}"/>
    <cellStyle name="20% - Accent2 2 2 2 8" xfId="8729" xr:uid="{2AD8B2FB-8F4C-487B-8F60-2CCB17CA5A2D}"/>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7E8E4B81-641E-4D10-8192-5A8408B30D53}"/>
    <cellStyle name="20% - Accent2 2 2 3 2 3" xfId="11287" xr:uid="{D898B690-D96A-4E60-AD51-5C61E6C6F2D1}"/>
    <cellStyle name="20% - Accent2 2 2 3 3" xfId="4931" xr:uid="{00000000-0005-0000-0000-0000BB000000}"/>
    <cellStyle name="20% - Accent2 2 2 3 3 2" xfId="13360" xr:uid="{15F6D58B-8543-4387-8C56-5F6A41D664C4}"/>
    <cellStyle name="20% - Accent2 2 2 3 4" xfId="9142" xr:uid="{ACA3E89C-9B4F-47EC-97EC-0ED7392CD00A}"/>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17B38FE8-DEAD-4861-901B-4E61F77C0830}"/>
    <cellStyle name="20% - Accent2 2 2 4 2 3" xfId="11700" xr:uid="{BB1C93E2-1A91-4BA3-9FAB-6FA78096F06B}"/>
    <cellStyle name="20% - Accent2 2 2 4 3" xfId="5344" xr:uid="{00000000-0005-0000-0000-0000BF000000}"/>
    <cellStyle name="20% - Accent2 2 2 4 3 2" xfId="13773" xr:uid="{CD52C3A7-C2F4-4CE5-9E14-C24ABC6F5FFD}"/>
    <cellStyle name="20% - Accent2 2 2 4 4" xfId="9555" xr:uid="{9B6FBED1-4646-4049-AB79-836CC1F84514}"/>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EE109D4D-127D-4092-994B-BA272F3E7729}"/>
    <cellStyle name="20% - Accent2 2 2 5 2 3" xfId="12113" xr:uid="{A424F743-0B20-49D4-9BF6-F8F54FC78EDC}"/>
    <cellStyle name="20% - Accent2 2 2 5 3" xfId="5757" xr:uid="{00000000-0005-0000-0000-0000C3000000}"/>
    <cellStyle name="20% - Accent2 2 2 5 3 2" xfId="14186" xr:uid="{2CFDD315-7F89-4B59-81F8-353AD0220799}"/>
    <cellStyle name="20% - Accent2 2 2 5 4" xfId="9968" xr:uid="{2E7654D6-01E2-4C75-AD5C-5BE19B1B7ED9}"/>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562AE7C9-E537-41A0-B775-F34DD37A17E9}"/>
    <cellStyle name="20% - Accent2 2 2 6 2 3" xfId="12526" xr:uid="{35866236-3D4F-4B06-91FB-19FB11C46D1C}"/>
    <cellStyle name="20% - Accent2 2 2 6 3" xfId="6170" xr:uid="{00000000-0005-0000-0000-0000C7000000}"/>
    <cellStyle name="20% - Accent2 2 2 6 3 2" xfId="14599" xr:uid="{84B922B8-5287-4391-BB96-0AEEB71C5A12}"/>
    <cellStyle name="20% - Accent2 2 2 6 4" xfId="10381" xr:uid="{3DDA9E1D-E597-47B4-8D9B-5219FEFF4C71}"/>
    <cellStyle name="20% - Accent2 2 2 7" xfId="2275" xr:uid="{00000000-0005-0000-0000-0000C8000000}"/>
    <cellStyle name="20% - Accent2 2 2 7 2" xfId="6583" xr:uid="{00000000-0005-0000-0000-0000C9000000}"/>
    <cellStyle name="20% - Accent2 2 2 7 2 2" xfId="15012" xr:uid="{C2990D61-12C4-4649-A4F0-0767322802F8}"/>
    <cellStyle name="20% - Accent2 2 2 7 3" xfId="10794" xr:uid="{E52BA75F-6B86-4E91-BFD6-A363575913B7}"/>
    <cellStyle name="20% - Accent2 2 2 8" xfId="4517" xr:uid="{00000000-0005-0000-0000-0000CA000000}"/>
    <cellStyle name="20% - Accent2 2 2 8 2" xfId="12946" xr:uid="{052E1A9A-29BB-4D4A-AC1C-38E3F0FCCF83}"/>
    <cellStyle name="20% - Accent2 2 2 9" xfId="8728" xr:uid="{9DB4D36C-46A1-4CC6-BCC9-E832BB1C79C2}"/>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6BC6F177-FAA6-4D4E-BFB3-F84113A67B87}"/>
    <cellStyle name="20% - Accent2 2 3 2 2 3" xfId="11289" xr:uid="{9C8A4A26-078B-497B-A4F3-4FCAA904D63B}"/>
    <cellStyle name="20% - Accent2 2 3 2 3" xfId="4933" xr:uid="{00000000-0005-0000-0000-0000CF000000}"/>
    <cellStyle name="20% - Accent2 2 3 2 3 2" xfId="13362" xr:uid="{9F9F0E58-B1C1-4D5C-8C9C-A5941F8C4E7A}"/>
    <cellStyle name="20% - Accent2 2 3 2 4" xfId="9144" xr:uid="{DA94FEEC-D739-40AC-92C5-EF3326F03316}"/>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1565D0E5-8B0D-4911-99DF-C7285D3B10FB}"/>
    <cellStyle name="20% - Accent2 2 3 3 2 3" xfId="11702" xr:uid="{B81433BF-8310-4888-84C1-FF36C9CFA2F6}"/>
    <cellStyle name="20% - Accent2 2 3 3 3" xfId="5346" xr:uid="{00000000-0005-0000-0000-0000D3000000}"/>
    <cellStyle name="20% - Accent2 2 3 3 3 2" xfId="13775" xr:uid="{DDEFAFF7-6E80-4799-B0EC-33432146C4E4}"/>
    <cellStyle name="20% - Accent2 2 3 3 4" xfId="9557" xr:uid="{58567C69-38B2-4C3F-B49A-88DC4F1967B4}"/>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DD16BE48-09D5-4A34-BB53-D0856FA4C375}"/>
    <cellStyle name="20% - Accent2 2 3 4 2 3" xfId="12115" xr:uid="{B5DABCDA-709B-4A84-8FA0-C85526FB55E1}"/>
    <cellStyle name="20% - Accent2 2 3 4 3" xfId="5759" xr:uid="{00000000-0005-0000-0000-0000D7000000}"/>
    <cellStyle name="20% - Accent2 2 3 4 3 2" xfId="14188" xr:uid="{69F6831C-FB43-4CD2-B871-A654B47C6AA4}"/>
    <cellStyle name="20% - Accent2 2 3 4 4" xfId="9970" xr:uid="{1D39FA92-1DC5-4C18-98D5-42C2191D9DE6}"/>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6699D2D9-9AD1-4DCC-91F8-D9832ACCC46A}"/>
    <cellStyle name="20% - Accent2 2 3 5 2 3" xfId="12528" xr:uid="{926595FC-BED5-49F6-AA3C-58783BB6E2CC}"/>
    <cellStyle name="20% - Accent2 2 3 5 3" xfId="6172" xr:uid="{00000000-0005-0000-0000-0000DB000000}"/>
    <cellStyle name="20% - Accent2 2 3 5 3 2" xfId="14601" xr:uid="{E0ECDACF-4B05-46E4-B47A-2D2DFFD438EF}"/>
    <cellStyle name="20% - Accent2 2 3 5 4" xfId="10383" xr:uid="{54AE0E86-61D1-422C-8D85-E0DB392DDC28}"/>
    <cellStyle name="20% - Accent2 2 3 6" xfId="2277" xr:uid="{00000000-0005-0000-0000-0000DC000000}"/>
    <cellStyle name="20% - Accent2 2 3 6 2" xfId="6585" xr:uid="{00000000-0005-0000-0000-0000DD000000}"/>
    <cellStyle name="20% - Accent2 2 3 6 2 2" xfId="15014" xr:uid="{C286B6F7-1220-451A-9CCC-C424F0872B67}"/>
    <cellStyle name="20% - Accent2 2 3 6 3" xfId="10796" xr:uid="{157A04EC-D762-4FBE-BFA6-17B38E8F3542}"/>
    <cellStyle name="20% - Accent2 2 3 7" xfId="4519" xr:uid="{00000000-0005-0000-0000-0000DE000000}"/>
    <cellStyle name="20% - Accent2 2 3 7 2" xfId="12948" xr:uid="{F5304A28-934A-4ECB-91F5-35A092982410}"/>
    <cellStyle name="20% - Accent2 2 3 8" xfId="8730" xr:uid="{0245EEE6-A91A-4905-B310-F6FC5565EAB2}"/>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0DC07F19-F536-487B-9C70-8F39065FDD5D}"/>
    <cellStyle name="20% - Accent2 2 4 2 3" xfId="11286" xr:uid="{4B8C832F-3A2A-4148-92FA-F6662FF98484}"/>
    <cellStyle name="20% - Accent2 2 4 3" xfId="4930" xr:uid="{00000000-0005-0000-0000-0000E2000000}"/>
    <cellStyle name="20% - Accent2 2 4 3 2" xfId="13359" xr:uid="{6BD0F0F7-1609-4077-AC70-0D5F06D9481A}"/>
    <cellStyle name="20% - Accent2 2 4 4" xfId="9141" xr:uid="{2D1D4C85-052D-4F9B-BD6C-1660ADD6FFFD}"/>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F02C0260-0F6E-4CBE-9CCB-122317F2B542}"/>
    <cellStyle name="20% - Accent2 2 5 2 3" xfId="11699" xr:uid="{60071DDD-7C93-4794-861A-795A8E6ED6E1}"/>
    <cellStyle name="20% - Accent2 2 5 3" xfId="5343" xr:uid="{00000000-0005-0000-0000-0000E6000000}"/>
    <cellStyle name="20% - Accent2 2 5 3 2" xfId="13772" xr:uid="{5033A0BB-9870-4F47-962E-683E2FC436C8}"/>
    <cellStyle name="20% - Accent2 2 5 4" xfId="9554" xr:uid="{992481F6-DD78-4AB7-9659-1B1D5A97E76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2B9527CA-592D-449D-B18D-C388BB327EDC}"/>
    <cellStyle name="20% - Accent2 2 6 2 3" xfId="12112" xr:uid="{5083CFDD-4C7F-4FB9-B876-CF79BEA9EAAA}"/>
    <cellStyle name="20% - Accent2 2 6 3" xfId="5756" xr:uid="{00000000-0005-0000-0000-0000EA000000}"/>
    <cellStyle name="20% - Accent2 2 6 3 2" xfId="14185" xr:uid="{72FEC4E8-17F8-41B8-B3DD-AB24CF81E0A1}"/>
    <cellStyle name="20% - Accent2 2 6 4" xfId="9967" xr:uid="{331A0251-8BE3-4530-BDB6-A072DDED3364}"/>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109974D1-0AA7-4938-9181-D7D7493BD827}"/>
    <cellStyle name="20% - Accent2 2 7 2 3" xfId="12525" xr:uid="{52E3CAAD-6649-4BEE-9598-39989350AF26}"/>
    <cellStyle name="20% - Accent2 2 7 3" xfId="6169" xr:uid="{00000000-0005-0000-0000-0000EE000000}"/>
    <cellStyle name="20% - Accent2 2 7 3 2" xfId="14598" xr:uid="{A4B5D064-09A0-485A-AA45-4E1ED2320154}"/>
    <cellStyle name="20% - Accent2 2 7 4" xfId="10380" xr:uid="{36251750-4D54-42BA-A576-C6E650438C02}"/>
    <cellStyle name="20% - Accent2 2 8" xfId="2274" xr:uid="{00000000-0005-0000-0000-0000EF000000}"/>
    <cellStyle name="20% - Accent2 2 8 2" xfId="6582" xr:uid="{00000000-0005-0000-0000-0000F0000000}"/>
    <cellStyle name="20% - Accent2 2 8 2 2" xfId="15011" xr:uid="{0C21F362-2A85-4DBA-8521-D9D9DD2CF653}"/>
    <cellStyle name="20% - Accent2 2 8 3" xfId="10793" xr:uid="{EDBAABF3-8756-4ABB-8243-6DEB1E65E71D}"/>
    <cellStyle name="20% - Accent2 2 9" xfId="4516" xr:uid="{00000000-0005-0000-0000-0000F1000000}"/>
    <cellStyle name="20% - Accent2 2 9 2" xfId="12945" xr:uid="{308C701C-1752-4CD0-97DC-2819181161AE}"/>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7CA9D900-F9CD-4EFF-833A-1DDA08BB8F01}"/>
    <cellStyle name="20% - Accent2 3 2 2 2 3" xfId="11291" xr:uid="{D3235D61-37F7-4833-A3BF-050C8F324042}"/>
    <cellStyle name="20% - Accent2 3 2 2 3" xfId="4935" xr:uid="{00000000-0005-0000-0000-0000F7000000}"/>
    <cellStyle name="20% - Accent2 3 2 2 3 2" xfId="13364" xr:uid="{7B11E8A6-478D-4EE9-9EA3-2916CEBBDD88}"/>
    <cellStyle name="20% - Accent2 3 2 2 4" xfId="9146" xr:uid="{9F055590-CB86-408A-BFD3-68288C73A28F}"/>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D46D4E2F-425D-4588-86D6-37989B4900DD}"/>
    <cellStyle name="20% - Accent2 3 2 3 2 3" xfId="11704" xr:uid="{AEA9CA3B-2C8F-4C58-AA49-121CBB2BE115}"/>
    <cellStyle name="20% - Accent2 3 2 3 3" xfId="5348" xr:uid="{00000000-0005-0000-0000-0000FB000000}"/>
    <cellStyle name="20% - Accent2 3 2 3 3 2" xfId="13777" xr:uid="{4A91A737-9BBC-4D21-A11D-99273F9B31D5}"/>
    <cellStyle name="20% - Accent2 3 2 3 4" xfId="9559" xr:uid="{C29B170B-E918-4C73-87C3-D91E44B732E3}"/>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473393D4-BEE9-4745-843E-AB1ABA34BDCF}"/>
    <cellStyle name="20% - Accent2 3 2 4 2 3" xfId="12117" xr:uid="{FFD6EE07-F032-4CBE-BFCE-F47E4E25B84E}"/>
    <cellStyle name="20% - Accent2 3 2 4 3" xfId="5761" xr:uid="{00000000-0005-0000-0000-0000FF000000}"/>
    <cellStyle name="20% - Accent2 3 2 4 3 2" xfId="14190" xr:uid="{C53E7FCF-2209-46CA-8453-227687D237D5}"/>
    <cellStyle name="20% - Accent2 3 2 4 4" xfId="9972" xr:uid="{C12F8A3A-CC01-4D26-9A46-79BDB1533E94}"/>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8890CB8C-8B4E-4813-A891-615A44698B41}"/>
    <cellStyle name="20% - Accent2 3 2 5 2 3" xfId="12530" xr:uid="{92D53876-A76C-4BFB-B083-54B8C208697A}"/>
    <cellStyle name="20% - Accent2 3 2 5 3" xfId="6174" xr:uid="{00000000-0005-0000-0000-000003010000}"/>
    <cellStyle name="20% - Accent2 3 2 5 3 2" xfId="14603" xr:uid="{21EE0312-3557-43AA-86DF-1160BD909090}"/>
    <cellStyle name="20% - Accent2 3 2 5 4" xfId="10385" xr:uid="{53331DB6-1B43-47F9-8791-472E9C42B974}"/>
    <cellStyle name="20% - Accent2 3 2 6" xfId="2279" xr:uid="{00000000-0005-0000-0000-000004010000}"/>
    <cellStyle name="20% - Accent2 3 2 6 2" xfId="6587" xr:uid="{00000000-0005-0000-0000-000005010000}"/>
    <cellStyle name="20% - Accent2 3 2 6 2 2" xfId="15016" xr:uid="{6EE4B7E3-3BE6-434C-9E45-BBDF6EDA2EC3}"/>
    <cellStyle name="20% - Accent2 3 2 6 3" xfId="10798" xr:uid="{3CC2CF11-A65A-4468-B610-6D6F1E2A0E9B}"/>
    <cellStyle name="20% - Accent2 3 2 7" xfId="4521" xr:uid="{00000000-0005-0000-0000-000006010000}"/>
    <cellStyle name="20% - Accent2 3 2 7 2" xfId="12950" xr:uid="{EFC6FA60-6FBD-4198-8587-3630D2265DD1}"/>
    <cellStyle name="20% - Accent2 3 2 8" xfId="8732" xr:uid="{95B8E73C-4D1C-48BA-974C-E9066D0D3953}"/>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A46AA3FF-33E9-43EB-B859-9D4AC8667A80}"/>
    <cellStyle name="20% - Accent2 3 3 2 3" xfId="11290" xr:uid="{B551038D-365F-43F6-8661-B8545CF24046}"/>
    <cellStyle name="20% - Accent2 3 3 3" xfId="4934" xr:uid="{00000000-0005-0000-0000-00000A010000}"/>
    <cellStyle name="20% - Accent2 3 3 3 2" xfId="13363" xr:uid="{BC04433E-A3A4-40A0-9E28-F76A4660F271}"/>
    <cellStyle name="20% - Accent2 3 3 4" xfId="9145" xr:uid="{7CC15C4B-C085-4397-8B3B-AA1898B83CC3}"/>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11B359CE-BBC2-4DDC-9B99-103F14BE6D61}"/>
    <cellStyle name="20% - Accent2 3 4 2 3" xfId="11703" xr:uid="{C731C733-8E6E-4931-9ADE-C9D67ED88E64}"/>
    <cellStyle name="20% - Accent2 3 4 3" xfId="5347" xr:uid="{00000000-0005-0000-0000-00000E010000}"/>
    <cellStyle name="20% - Accent2 3 4 3 2" xfId="13776" xr:uid="{362BD213-D53E-45DB-968A-93AA33B2CE1A}"/>
    <cellStyle name="20% - Accent2 3 4 4" xfId="9558" xr:uid="{64504801-A8CE-4FC3-AC99-FE4C2AF95BA5}"/>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10E0ACE0-228C-4386-947A-8B3C50E13663}"/>
    <cellStyle name="20% - Accent2 3 5 2 3" xfId="12116" xr:uid="{52CF362A-A1FA-4B85-97CD-C652B7602DC3}"/>
    <cellStyle name="20% - Accent2 3 5 3" xfId="5760" xr:uid="{00000000-0005-0000-0000-000012010000}"/>
    <cellStyle name="20% - Accent2 3 5 3 2" xfId="14189" xr:uid="{412BE957-A397-413B-89A4-0D58123B0C51}"/>
    <cellStyle name="20% - Accent2 3 5 4" xfId="9971" xr:uid="{A379F83D-2C7C-4215-BE5F-6934C9B06D54}"/>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EEDD6ED3-6B90-4EB1-B0FD-589620E1E511}"/>
    <cellStyle name="20% - Accent2 3 6 2 3" xfId="12529" xr:uid="{3AFF02AD-8B95-46F1-BBD9-2D043645D4C7}"/>
    <cellStyle name="20% - Accent2 3 6 3" xfId="6173" xr:uid="{00000000-0005-0000-0000-000016010000}"/>
    <cellStyle name="20% - Accent2 3 6 3 2" xfId="14602" xr:uid="{A1107346-01FD-4B1B-A560-654CBE0B34A8}"/>
    <cellStyle name="20% - Accent2 3 6 4" xfId="10384" xr:uid="{7DCF9381-D323-4D91-804A-586C55104CF1}"/>
    <cellStyle name="20% - Accent2 3 7" xfId="2278" xr:uid="{00000000-0005-0000-0000-000017010000}"/>
    <cellStyle name="20% - Accent2 3 7 2" xfId="6586" xr:uid="{00000000-0005-0000-0000-000018010000}"/>
    <cellStyle name="20% - Accent2 3 7 2 2" xfId="15015" xr:uid="{866FEA10-1F74-41F9-A23C-234CDAB138C1}"/>
    <cellStyle name="20% - Accent2 3 7 3" xfId="10797" xr:uid="{0BDA026E-38DF-47D9-89A6-F18AB88B9F18}"/>
    <cellStyle name="20% - Accent2 3 8" xfId="4520" xr:uid="{00000000-0005-0000-0000-000019010000}"/>
    <cellStyle name="20% - Accent2 3 8 2" xfId="12949" xr:uid="{B88E8F28-D18A-4D4F-8F23-C6124B795718}"/>
    <cellStyle name="20% - Accent2 3 9" xfId="8731" xr:uid="{6A69B340-396E-400E-B7C6-7DAAD11E9BD6}"/>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F2AEFD88-72E9-41EC-9159-2041CF029DA2}"/>
    <cellStyle name="20% - Accent2 4 2 2 3" xfId="11292" xr:uid="{4CC8EAA8-6291-4876-AA2E-AE206CF478FA}"/>
    <cellStyle name="20% - Accent2 4 2 3" xfId="4936" xr:uid="{00000000-0005-0000-0000-00001E010000}"/>
    <cellStyle name="20% - Accent2 4 2 3 2" xfId="13365" xr:uid="{2BF25D57-FB06-414D-AA32-FE2B939608AF}"/>
    <cellStyle name="20% - Accent2 4 2 4" xfId="9147" xr:uid="{39F9997F-D11F-4168-8FEF-B4C8F9752147}"/>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9EE739A7-F39E-463F-BC9E-92400C67054F}"/>
    <cellStyle name="20% - Accent2 4 3 2 3" xfId="11705" xr:uid="{0CDFE6B0-1AD5-4309-9433-98B1E8534B73}"/>
    <cellStyle name="20% - Accent2 4 3 3" xfId="5349" xr:uid="{00000000-0005-0000-0000-000022010000}"/>
    <cellStyle name="20% - Accent2 4 3 3 2" xfId="13778" xr:uid="{51FDE420-680D-4A7B-8FBC-C0640185270C}"/>
    <cellStyle name="20% - Accent2 4 3 4" xfId="9560" xr:uid="{22ADE519-1A00-4589-859D-952D009306E5}"/>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C0E62BC1-1FE5-4066-B993-56E9492072B1}"/>
    <cellStyle name="20% - Accent2 4 4 2 3" xfId="12118" xr:uid="{2B881F17-8133-479B-8AB0-5F66F052E38D}"/>
    <cellStyle name="20% - Accent2 4 4 3" xfId="5762" xr:uid="{00000000-0005-0000-0000-000026010000}"/>
    <cellStyle name="20% - Accent2 4 4 3 2" xfId="14191" xr:uid="{707BA701-12B5-404B-A1E1-5861ACDA34B0}"/>
    <cellStyle name="20% - Accent2 4 4 4" xfId="9973" xr:uid="{BBBAD126-8772-4C4C-BC93-21FE3E99E70A}"/>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A76C71A5-2463-4BDB-8540-D6564C3D0619}"/>
    <cellStyle name="20% - Accent2 4 5 2 3" xfId="12531" xr:uid="{15245284-1BC0-49D1-AF7C-7497786BFE7F}"/>
    <cellStyle name="20% - Accent2 4 5 3" xfId="6175" xr:uid="{00000000-0005-0000-0000-00002A010000}"/>
    <cellStyle name="20% - Accent2 4 5 3 2" xfId="14604" xr:uid="{DF9422D9-4934-463C-B2DB-15102DBBFB3C}"/>
    <cellStyle name="20% - Accent2 4 5 4" xfId="10386" xr:uid="{77EE7EC0-59F2-43C8-A671-2C7EAD95A1B2}"/>
    <cellStyle name="20% - Accent2 4 6" xfId="2280" xr:uid="{00000000-0005-0000-0000-00002B010000}"/>
    <cellStyle name="20% - Accent2 4 6 2" xfId="6588" xr:uid="{00000000-0005-0000-0000-00002C010000}"/>
    <cellStyle name="20% - Accent2 4 6 2 2" xfId="15017" xr:uid="{1E782604-7BBE-4C58-B89A-4F9CA6068AD6}"/>
    <cellStyle name="20% - Accent2 4 6 3" xfId="10799" xr:uid="{9B92419E-9D0F-417D-B533-38A7E01A96EC}"/>
    <cellStyle name="20% - Accent2 4 7" xfId="4522" xr:uid="{00000000-0005-0000-0000-00002D010000}"/>
    <cellStyle name="20% - Accent2 4 7 2" xfId="12951" xr:uid="{F1B4D011-29AB-4709-8FA9-EAD35FED366F}"/>
    <cellStyle name="20% - Accent2 4 8" xfId="8733" xr:uid="{743E73FC-912F-4E79-BFD1-B7C6932DDC53}"/>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68CE4D7D-DA2B-4338-900E-9D6BAF51B056}"/>
    <cellStyle name="20% - Accent2 5 2 3" xfId="11285" xr:uid="{6DA689EE-0764-432E-954C-A1035B8164D0}"/>
    <cellStyle name="20% - Accent2 5 3" xfId="4929" xr:uid="{00000000-0005-0000-0000-000031010000}"/>
    <cellStyle name="20% - Accent2 5 3 2" xfId="13358" xr:uid="{168822D6-0528-4E9C-AB43-90DFCFD38A44}"/>
    <cellStyle name="20% - Accent2 5 4" xfId="9140" xr:uid="{E2C7C2CD-1A96-45FD-9D63-4065C428313D}"/>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278C1625-7DA5-4C52-83B9-9BFD32371A16}"/>
    <cellStyle name="20% - Accent2 6 2 3" xfId="11698" xr:uid="{991A3C94-5C98-4569-A71F-519DCB50AB1E}"/>
    <cellStyle name="20% - Accent2 6 3" xfId="5342" xr:uid="{00000000-0005-0000-0000-000035010000}"/>
    <cellStyle name="20% - Accent2 6 3 2" xfId="13771" xr:uid="{0F7D712C-5C1E-48A2-B80B-46504DF913C1}"/>
    <cellStyle name="20% - Accent2 6 4" xfId="9553" xr:uid="{A9BF043A-2EF1-4C06-8BB7-1D3A783E321D}"/>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CD4CAFCE-3278-458F-ACD0-9CFEF5268774}"/>
    <cellStyle name="20% - Accent2 7 2 3" xfId="12111" xr:uid="{BEC9469B-DACA-4337-9DC2-3FE7223D6AFB}"/>
    <cellStyle name="20% - Accent2 7 3" xfId="5755" xr:uid="{00000000-0005-0000-0000-000039010000}"/>
    <cellStyle name="20% - Accent2 7 3 2" xfId="14184" xr:uid="{0ED41423-E89E-41F4-A8DC-2E7A4714166C}"/>
    <cellStyle name="20% - Accent2 7 4" xfId="9966" xr:uid="{335D1E67-5BB9-45F5-A374-8C96A111DBB6}"/>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D908AA91-6EA6-429E-B5FE-7ADBCBE04AD0}"/>
    <cellStyle name="20% - Accent2 8 2 3" xfId="12524" xr:uid="{BBEC3C70-3216-427F-8F86-2A73295E1128}"/>
    <cellStyle name="20% - Accent2 8 3" xfId="6168" xr:uid="{00000000-0005-0000-0000-00003D010000}"/>
    <cellStyle name="20% - Accent2 8 3 2" xfId="14597" xr:uid="{1A6AEE30-53B9-4A88-A96D-3A0A0C7F6120}"/>
    <cellStyle name="20% - Accent2 8 4" xfId="10379" xr:uid="{6E6D912D-E420-4D29-9F66-1B6C8B76248E}"/>
    <cellStyle name="20% - Accent2 9" xfId="2273" xr:uid="{00000000-0005-0000-0000-00003E010000}"/>
    <cellStyle name="20% - Accent2 9 2" xfId="6581" xr:uid="{00000000-0005-0000-0000-00003F010000}"/>
    <cellStyle name="20% - Accent2 9 2 2" xfId="15010" xr:uid="{A760086D-BE1E-4953-8ADD-87A36B048AC6}"/>
    <cellStyle name="20% - Accent2 9 3" xfId="10792" xr:uid="{E0D2F64D-CF52-40D8-9289-3A5EA015EFD3}"/>
    <cellStyle name="20% - Accent3" xfId="17" builtinId="38" customBuiltin="1"/>
    <cellStyle name="20% - Accent3 10" xfId="4523" xr:uid="{00000000-0005-0000-0000-000041010000}"/>
    <cellStyle name="20% - Accent3 10 2" xfId="12952" xr:uid="{E87546BD-D953-4463-AF62-74717C705703}"/>
    <cellStyle name="20% - Accent3 11" xfId="8734" xr:uid="{11BC2E19-4876-48F7-BC8A-F85FC2389F32}"/>
    <cellStyle name="20% - Accent3 2" xfId="18" xr:uid="{00000000-0005-0000-0000-000042010000}"/>
    <cellStyle name="20% - Accent3 2 10" xfId="8735" xr:uid="{BCAE70A7-41CB-4F6E-901C-638A75BE0899}"/>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22532B30-AC2D-47BD-A95D-A135A3B60C80}"/>
    <cellStyle name="20% - Accent3 2 2 2 2 2 3" xfId="11296" xr:uid="{63F4F147-6444-4639-961B-3A5D761BB8E9}"/>
    <cellStyle name="20% - Accent3 2 2 2 2 3" xfId="4940" xr:uid="{00000000-0005-0000-0000-000048010000}"/>
    <cellStyle name="20% - Accent3 2 2 2 2 3 2" xfId="13369" xr:uid="{4A8FA14D-E120-42CC-8138-CBA0C025BC8A}"/>
    <cellStyle name="20% - Accent3 2 2 2 2 4" xfId="9151" xr:uid="{DCBDAE1E-06CB-4FBE-A20B-D0C510E09FDC}"/>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E73923A1-C825-4116-94ED-009B67122799}"/>
    <cellStyle name="20% - Accent3 2 2 2 3 2 3" xfId="11709" xr:uid="{6BD74AC7-A90A-411B-803F-386B6C602429}"/>
    <cellStyle name="20% - Accent3 2 2 2 3 3" xfId="5353" xr:uid="{00000000-0005-0000-0000-00004C010000}"/>
    <cellStyle name="20% - Accent3 2 2 2 3 3 2" xfId="13782" xr:uid="{7E305C7D-7179-4BE9-AA97-B6D06226327A}"/>
    <cellStyle name="20% - Accent3 2 2 2 3 4" xfId="9564" xr:uid="{7B14BCD6-D0A5-4D8A-B844-30C4F2462E99}"/>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2909F7E9-4876-47CF-8D7C-27DFD8B1DC71}"/>
    <cellStyle name="20% - Accent3 2 2 2 4 2 3" xfId="12122" xr:uid="{6D9FF663-C73F-4ADA-ABEB-875CCEE517F4}"/>
    <cellStyle name="20% - Accent3 2 2 2 4 3" xfId="5766" xr:uid="{00000000-0005-0000-0000-000050010000}"/>
    <cellStyle name="20% - Accent3 2 2 2 4 3 2" xfId="14195" xr:uid="{8EEA2B64-0A77-44B0-98FF-078805F0847A}"/>
    <cellStyle name="20% - Accent3 2 2 2 4 4" xfId="9977" xr:uid="{6F5CBB6A-0992-4269-B9FC-E64CC30422FB}"/>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79CEACAC-405B-49D8-954E-DBF393A685D2}"/>
    <cellStyle name="20% - Accent3 2 2 2 5 2 3" xfId="12535" xr:uid="{E4CDC341-8F48-44C2-A730-0D00F821E6EE}"/>
    <cellStyle name="20% - Accent3 2 2 2 5 3" xfId="6179" xr:uid="{00000000-0005-0000-0000-000054010000}"/>
    <cellStyle name="20% - Accent3 2 2 2 5 3 2" xfId="14608" xr:uid="{FD57F589-2CD5-4F3B-944E-C184A7D2E033}"/>
    <cellStyle name="20% - Accent3 2 2 2 5 4" xfId="10390" xr:uid="{96B6807E-A414-4B3A-BC2B-67AE25AB1D73}"/>
    <cellStyle name="20% - Accent3 2 2 2 6" xfId="2284" xr:uid="{00000000-0005-0000-0000-000055010000}"/>
    <cellStyle name="20% - Accent3 2 2 2 6 2" xfId="6592" xr:uid="{00000000-0005-0000-0000-000056010000}"/>
    <cellStyle name="20% - Accent3 2 2 2 6 2 2" xfId="15021" xr:uid="{62F4DFBE-3BC6-4249-BC72-2A835197B48D}"/>
    <cellStyle name="20% - Accent3 2 2 2 6 3" xfId="10803" xr:uid="{7FF48E08-1879-4CAB-81B8-0265236CBCDF}"/>
    <cellStyle name="20% - Accent3 2 2 2 7" xfId="4526" xr:uid="{00000000-0005-0000-0000-000057010000}"/>
    <cellStyle name="20% - Accent3 2 2 2 7 2" xfId="12955" xr:uid="{A6DDEB05-E839-42FC-82E4-7FAC657A6FFC}"/>
    <cellStyle name="20% - Accent3 2 2 2 8" xfId="8737" xr:uid="{F2214A6C-8785-457A-981F-04DC2E2233FA}"/>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309DEB5E-32EB-4C7F-A999-CF40DD4E0B3A}"/>
    <cellStyle name="20% - Accent3 2 2 3 2 3" xfId="11295" xr:uid="{3173305A-3693-4289-B552-47C1019E5857}"/>
    <cellStyle name="20% - Accent3 2 2 3 3" xfId="4939" xr:uid="{00000000-0005-0000-0000-00005B010000}"/>
    <cellStyle name="20% - Accent3 2 2 3 3 2" xfId="13368" xr:uid="{A92EF630-B657-4EA9-8BE2-4B9C2A1085C7}"/>
    <cellStyle name="20% - Accent3 2 2 3 4" xfId="9150" xr:uid="{7679F112-4BFD-45F4-9D8B-8937E417D2FD}"/>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8020928B-15E3-4BD2-B9E2-54D8D2BDEF9B}"/>
    <cellStyle name="20% - Accent3 2 2 4 2 3" xfId="11708" xr:uid="{966C4B91-7525-426A-9C40-1D82E7E18998}"/>
    <cellStyle name="20% - Accent3 2 2 4 3" xfId="5352" xr:uid="{00000000-0005-0000-0000-00005F010000}"/>
    <cellStyle name="20% - Accent3 2 2 4 3 2" xfId="13781" xr:uid="{3E479179-F03E-4864-AE74-FBD06F063488}"/>
    <cellStyle name="20% - Accent3 2 2 4 4" xfId="9563" xr:uid="{67BC7F7C-DB04-41FC-A6F5-A0A34EC294A4}"/>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6AE71D45-4FE6-42E8-97C8-BF448B0C5BC7}"/>
    <cellStyle name="20% - Accent3 2 2 5 2 3" xfId="12121" xr:uid="{25A02D38-B048-4A81-BC8F-7E266F984593}"/>
    <cellStyle name="20% - Accent3 2 2 5 3" xfId="5765" xr:uid="{00000000-0005-0000-0000-000063010000}"/>
    <cellStyle name="20% - Accent3 2 2 5 3 2" xfId="14194" xr:uid="{3E502E94-1765-4100-AC6B-18A7DDE0296A}"/>
    <cellStyle name="20% - Accent3 2 2 5 4" xfId="9976" xr:uid="{F4A05F66-8D7E-4EFE-9153-B3517AB186D5}"/>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5DF6AD6A-AE8F-4EE3-B267-65A0709F8B8F}"/>
    <cellStyle name="20% - Accent3 2 2 6 2 3" xfId="12534" xr:uid="{5108EAD5-C78D-4326-833E-91A0A6D17A01}"/>
    <cellStyle name="20% - Accent3 2 2 6 3" xfId="6178" xr:uid="{00000000-0005-0000-0000-000067010000}"/>
    <cellStyle name="20% - Accent3 2 2 6 3 2" xfId="14607" xr:uid="{82413596-56FF-4E95-BBD5-3A44CA7ADF1E}"/>
    <cellStyle name="20% - Accent3 2 2 6 4" xfId="10389" xr:uid="{C6C29E26-73A5-402E-8A2E-75A4B3D47800}"/>
    <cellStyle name="20% - Accent3 2 2 7" xfId="2283" xr:uid="{00000000-0005-0000-0000-000068010000}"/>
    <cellStyle name="20% - Accent3 2 2 7 2" xfId="6591" xr:uid="{00000000-0005-0000-0000-000069010000}"/>
    <cellStyle name="20% - Accent3 2 2 7 2 2" xfId="15020" xr:uid="{0185BAA6-731A-482C-B935-152FBC08673F}"/>
    <cellStyle name="20% - Accent3 2 2 7 3" xfId="10802" xr:uid="{EB4F6CCC-DBF0-4876-A3C7-237159A42106}"/>
    <cellStyle name="20% - Accent3 2 2 8" xfId="4525" xr:uid="{00000000-0005-0000-0000-00006A010000}"/>
    <cellStyle name="20% - Accent3 2 2 8 2" xfId="12954" xr:uid="{B81342A3-7B36-4E13-BF71-A650418880BC}"/>
    <cellStyle name="20% - Accent3 2 2 9" xfId="8736" xr:uid="{19EEE880-3B0E-460A-B810-F7BB303C5D59}"/>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BF0DCEEE-9414-41EE-8CB4-DE209DA73E27}"/>
    <cellStyle name="20% - Accent3 2 3 2 2 3" xfId="11297" xr:uid="{59B50902-24A1-4047-8F19-6FD7A7598452}"/>
    <cellStyle name="20% - Accent3 2 3 2 3" xfId="4941" xr:uid="{00000000-0005-0000-0000-00006F010000}"/>
    <cellStyle name="20% - Accent3 2 3 2 3 2" xfId="13370" xr:uid="{FA0A2851-FD41-45FD-A629-3256A836352C}"/>
    <cellStyle name="20% - Accent3 2 3 2 4" xfId="9152" xr:uid="{8EDB3ACE-968E-4EDD-8C43-33EE63DDE349}"/>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0C2642BC-E673-4B1B-87F7-81C3F9A60963}"/>
    <cellStyle name="20% - Accent3 2 3 3 2 3" xfId="11710" xr:uid="{B5521354-DAB4-4E0F-9FED-4FCD3188005E}"/>
    <cellStyle name="20% - Accent3 2 3 3 3" xfId="5354" xr:uid="{00000000-0005-0000-0000-000073010000}"/>
    <cellStyle name="20% - Accent3 2 3 3 3 2" xfId="13783" xr:uid="{9886F378-5020-497A-BAE3-939B428AC44C}"/>
    <cellStyle name="20% - Accent3 2 3 3 4" xfId="9565" xr:uid="{A3419379-1CD1-4CE9-9D36-92B883DCA464}"/>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1C1F8D28-025A-41C0-A700-52FF6663996A}"/>
    <cellStyle name="20% - Accent3 2 3 4 2 3" xfId="12123" xr:uid="{D4F42111-B282-40C6-BD78-6E44FD4B61F3}"/>
    <cellStyle name="20% - Accent3 2 3 4 3" xfId="5767" xr:uid="{00000000-0005-0000-0000-000077010000}"/>
    <cellStyle name="20% - Accent3 2 3 4 3 2" xfId="14196" xr:uid="{DDB34CF9-211C-4976-BA95-C65D0B02B0D5}"/>
    <cellStyle name="20% - Accent3 2 3 4 4" xfId="9978" xr:uid="{67C2E727-F588-4048-AEF8-7B7F8B6A479F}"/>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1263EEF0-3796-4B13-970B-E2C8CF5AA578}"/>
    <cellStyle name="20% - Accent3 2 3 5 2 3" xfId="12536" xr:uid="{B64FDF79-40A0-4591-B951-A7976A1B241A}"/>
    <cellStyle name="20% - Accent3 2 3 5 3" xfId="6180" xr:uid="{00000000-0005-0000-0000-00007B010000}"/>
    <cellStyle name="20% - Accent3 2 3 5 3 2" xfId="14609" xr:uid="{2B666311-471A-4203-95C0-4C5C76870C91}"/>
    <cellStyle name="20% - Accent3 2 3 5 4" xfId="10391" xr:uid="{1354B9AA-ACFF-4B1F-9ED3-9A1FDF94DF32}"/>
    <cellStyle name="20% - Accent3 2 3 6" xfId="2285" xr:uid="{00000000-0005-0000-0000-00007C010000}"/>
    <cellStyle name="20% - Accent3 2 3 6 2" xfId="6593" xr:uid="{00000000-0005-0000-0000-00007D010000}"/>
    <cellStyle name="20% - Accent3 2 3 6 2 2" xfId="15022" xr:uid="{1C5E5CC6-C7FB-48CF-88BD-1DE110CCF923}"/>
    <cellStyle name="20% - Accent3 2 3 6 3" xfId="10804" xr:uid="{266240E9-D9C8-41CA-B842-E48B72A2504E}"/>
    <cellStyle name="20% - Accent3 2 3 7" xfId="4527" xr:uid="{00000000-0005-0000-0000-00007E010000}"/>
    <cellStyle name="20% - Accent3 2 3 7 2" xfId="12956" xr:uid="{CE4AFF4E-32B2-412A-846B-15D5344F353A}"/>
    <cellStyle name="20% - Accent3 2 3 8" xfId="8738" xr:uid="{C62E3676-A12F-4060-A704-F66EB9514401}"/>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0F095866-397D-4F1B-A196-149AE4C10BA9}"/>
    <cellStyle name="20% - Accent3 2 4 2 3" xfId="11294" xr:uid="{F5010D57-68B4-408C-88A6-2904D480C7A8}"/>
    <cellStyle name="20% - Accent3 2 4 3" xfId="4938" xr:uid="{00000000-0005-0000-0000-000082010000}"/>
    <cellStyle name="20% - Accent3 2 4 3 2" xfId="13367" xr:uid="{263EF953-E97C-4BC1-966E-C1EB7D029D31}"/>
    <cellStyle name="20% - Accent3 2 4 4" xfId="9149" xr:uid="{B7806C46-CC84-4B17-89FD-6F893A3FAA59}"/>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70E005C9-D9B4-448B-ABFF-4F2928669048}"/>
    <cellStyle name="20% - Accent3 2 5 2 3" xfId="11707" xr:uid="{037E460D-A0E4-4BCE-9FA6-16E7FAEECC9B}"/>
    <cellStyle name="20% - Accent3 2 5 3" xfId="5351" xr:uid="{00000000-0005-0000-0000-000086010000}"/>
    <cellStyle name="20% - Accent3 2 5 3 2" xfId="13780" xr:uid="{9A0C5298-0ABB-4974-AA83-77ABC72671EC}"/>
    <cellStyle name="20% - Accent3 2 5 4" xfId="9562" xr:uid="{0F011E19-B148-4546-8443-811BF616018D}"/>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5135ED18-7AAB-4273-BB7B-2216D16A606E}"/>
    <cellStyle name="20% - Accent3 2 6 2 3" xfId="12120" xr:uid="{65E7F32C-D10F-4AF1-AE91-C92FFDD4BDB5}"/>
    <cellStyle name="20% - Accent3 2 6 3" xfId="5764" xr:uid="{00000000-0005-0000-0000-00008A010000}"/>
    <cellStyle name="20% - Accent3 2 6 3 2" xfId="14193" xr:uid="{FF6203DB-4888-4B7F-BE66-BEFD4A1FE7DA}"/>
    <cellStyle name="20% - Accent3 2 6 4" xfId="9975" xr:uid="{BAB70A21-AAE3-4C46-BF72-4AD5AAB085DE}"/>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51395D95-D9B3-412D-BB7B-7EAD408220BD}"/>
    <cellStyle name="20% - Accent3 2 7 2 3" xfId="12533" xr:uid="{0EF9C601-1396-48CD-A556-C3C101BDB483}"/>
    <cellStyle name="20% - Accent3 2 7 3" xfId="6177" xr:uid="{00000000-0005-0000-0000-00008E010000}"/>
    <cellStyle name="20% - Accent3 2 7 3 2" xfId="14606" xr:uid="{B4A32CD8-7FA7-42D6-8708-A16EFE40DCE6}"/>
    <cellStyle name="20% - Accent3 2 7 4" xfId="10388" xr:uid="{8EB60016-01FC-4A21-B9C8-DA89118BBB85}"/>
    <cellStyle name="20% - Accent3 2 8" xfId="2282" xr:uid="{00000000-0005-0000-0000-00008F010000}"/>
    <cellStyle name="20% - Accent3 2 8 2" xfId="6590" xr:uid="{00000000-0005-0000-0000-000090010000}"/>
    <cellStyle name="20% - Accent3 2 8 2 2" xfId="15019" xr:uid="{B75C490A-D18C-497F-B187-D74F88DED6F3}"/>
    <cellStyle name="20% - Accent3 2 8 3" xfId="10801" xr:uid="{9EFF6F7F-3C56-4A43-A6E2-B9D8970F100A}"/>
    <cellStyle name="20% - Accent3 2 9" xfId="4524" xr:uid="{00000000-0005-0000-0000-000091010000}"/>
    <cellStyle name="20% - Accent3 2 9 2" xfId="12953" xr:uid="{0C54E3BA-AF17-43E5-8B6F-E36F96B953E2}"/>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1AAD5BEB-90F9-4813-90F8-F2877B3BE9FE}"/>
    <cellStyle name="20% - Accent3 3 2 2 2 3" xfId="11299" xr:uid="{8D02EF77-8BAC-4F8D-BEF6-68AAA3CA23D4}"/>
    <cellStyle name="20% - Accent3 3 2 2 3" xfId="4943" xr:uid="{00000000-0005-0000-0000-000097010000}"/>
    <cellStyle name="20% - Accent3 3 2 2 3 2" xfId="13372" xr:uid="{531E980A-AF8E-4D83-AC08-369697BFD166}"/>
    <cellStyle name="20% - Accent3 3 2 2 4" xfId="9154" xr:uid="{ECF6687D-BC66-4A4D-B708-AE0814DACB8A}"/>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54794848-29A8-43BE-9C3F-06EBB5B1B54C}"/>
    <cellStyle name="20% - Accent3 3 2 3 2 3" xfId="11712" xr:uid="{F70B7711-5CAA-417D-96F1-2B29ADBEBB8F}"/>
    <cellStyle name="20% - Accent3 3 2 3 3" xfId="5356" xr:uid="{00000000-0005-0000-0000-00009B010000}"/>
    <cellStyle name="20% - Accent3 3 2 3 3 2" xfId="13785" xr:uid="{844C1FA3-2E92-41A2-ADB0-178987DA6F80}"/>
    <cellStyle name="20% - Accent3 3 2 3 4" xfId="9567" xr:uid="{493BC0BA-9097-4219-B453-C29163187FA4}"/>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1C705879-D660-4D79-9134-15E8BE02CDB6}"/>
    <cellStyle name="20% - Accent3 3 2 4 2 3" xfId="12125" xr:uid="{533B9A52-2446-40E1-8CD3-BB42DF4784DC}"/>
    <cellStyle name="20% - Accent3 3 2 4 3" xfId="5769" xr:uid="{00000000-0005-0000-0000-00009F010000}"/>
    <cellStyle name="20% - Accent3 3 2 4 3 2" xfId="14198" xr:uid="{AA9DAD41-0C37-4122-BC04-B7B284E2B81C}"/>
    <cellStyle name="20% - Accent3 3 2 4 4" xfId="9980" xr:uid="{C379C7FD-CE45-4D0C-9AAB-F365F3AC4AF7}"/>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E042C17C-265F-4A98-B904-5903C0317C62}"/>
    <cellStyle name="20% - Accent3 3 2 5 2 3" xfId="12538" xr:uid="{C193AD58-7A58-4E3D-969C-1FBD693F05C3}"/>
    <cellStyle name="20% - Accent3 3 2 5 3" xfId="6182" xr:uid="{00000000-0005-0000-0000-0000A3010000}"/>
    <cellStyle name="20% - Accent3 3 2 5 3 2" xfId="14611" xr:uid="{C1347C9B-5279-440B-9E18-07DD6F515F21}"/>
    <cellStyle name="20% - Accent3 3 2 5 4" xfId="10393" xr:uid="{44508E1A-BA37-4D2D-8982-F28F839D98AD}"/>
    <cellStyle name="20% - Accent3 3 2 6" xfId="2287" xr:uid="{00000000-0005-0000-0000-0000A4010000}"/>
    <cellStyle name="20% - Accent3 3 2 6 2" xfId="6595" xr:uid="{00000000-0005-0000-0000-0000A5010000}"/>
    <cellStyle name="20% - Accent3 3 2 6 2 2" xfId="15024" xr:uid="{84E41C42-6C59-4C07-A08C-61359FBBBCC3}"/>
    <cellStyle name="20% - Accent3 3 2 6 3" xfId="10806" xr:uid="{3A775549-65EC-40EF-83A1-BDFDC7A7EDC9}"/>
    <cellStyle name="20% - Accent3 3 2 7" xfId="4529" xr:uid="{00000000-0005-0000-0000-0000A6010000}"/>
    <cellStyle name="20% - Accent3 3 2 7 2" xfId="12958" xr:uid="{FFB9BB93-E326-4414-8F43-116B50EF45F3}"/>
    <cellStyle name="20% - Accent3 3 2 8" xfId="8740" xr:uid="{1A9B5129-6B77-44BE-B02F-B14DAB636B29}"/>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C092D4A3-3636-4B06-BFF9-604DEFB8F4D0}"/>
    <cellStyle name="20% - Accent3 3 3 2 3" xfId="11298" xr:uid="{E50DD8DD-71A6-4A35-9BFD-98D5440464A7}"/>
    <cellStyle name="20% - Accent3 3 3 3" xfId="4942" xr:uid="{00000000-0005-0000-0000-0000AA010000}"/>
    <cellStyle name="20% - Accent3 3 3 3 2" xfId="13371" xr:uid="{2339C90F-A195-42B2-B57E-01C5ECE0C96F}"/>
    <cellStyle name="20% - Accent3 3 3 4" xfId="9153" xr:uid="{CA3A6615-7358-47D6-BA69-5481BF87DBAA}"/>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BCB2EC98-81C0-4E56-85CB-F4FE29979DFA}"/>
    <cellStyle name="20% - Accent3 3 4 2 3" xfId="11711" xr:uid="{F3FD45D5-ECE5-4E1C-8375-D4F8ABFB3FE6}"/>
    <cellStyle name="20% - Accent3 3 4 3" xfId="5355" xr:uid="{00000000-0005-0000-0000-0000AE010000}"/>
    <cellStyle name="20% - Accent3 3 4 3 2" xfId="13784" xr:uid="{731F731E-59EB-4AB1-AC66-4FFC1EC3D50C}"/>
    <cellStyle name="20% - Accent3 3 4 4" xfId="9566" xr:uid="{B670F671-7D22-4D96-A3FF-0617722A266B}"/>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11F6A003-3CB6-44EC-9274-CC2849D6C717}"/>
    <cellStyle name="20% - Accent3 3 5 2 3" xfId="12124" xr:uid="{308CA458-E0F8-447B-A308-CA2B166791FC}"/>
    <cellStyle name="20% - Accent3 3 5 3" xfId="5768" xr:uid="{00000000-0005-0000-0000-0000B2010000}"/>
    <cellStyle name="20% - Accent3 3 5 3 2" xfId="14197" xr:uid="{DE3CA1FD-0F89-4470-AE6E-BC22F6D13D99}"/>
    <cellStyle name="20% - Accent3 3 5 4" xfId="9979" xr:uid="{E26DB37B-9F1D-41CA-AA03-282B1084A6EB}"/>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9943EF8E-4CA8-4406-B318-576B74B22595}"/>
    <cellStyle name="20% - Accent3 3 6 2 3" xfId="12537" xr:uid="{C3D036BA-6F43-4D37-A982-EC00657BBE51}"/>
    <cellStyle name="20% - Accent3 3 6 3" xfId="6181" xr:uid="{00000000-0005-0000-0000-0000B6010000}"/>
    <cellStyle name="20% - Accent3 3 6 3 2" xfId="14610" xr:uid="{1ED974C5-1503-4141-90A2-DA17153BF699}"/>
    <cellStyle name="20% - Accent3 3 6 4" xfId="10392" xr:uid="{0EA90F30-E089-414D-A797-4D20087BC72E}"/>
    <cellStyle name="20% - Accent3 3 7" xfId="2286" xr:uid="{00000000-0005-0000-0000-0000B7010000}"/>
    <cellStyle name="20% - Accent3 3 7 2" xfId="6594" xr:uid="{00000000-0005-0000-0000-0000B8010000}"/>
    <cellStyle name="20% - Accent3 3 7 2 2" xfId="15023" xr:uid="{EFEE564D-0480-45F8-A18B-8921769F09C8}"/>
    <cellStyle name="20% - Accent3 3 7 3" xfId="10805" xr:uid="{827D6830-E1C4-48DB-ACDB-AB128924E7AE}"/>
    <cellStyle name="20% - Accent3 3 8" xfId="4528" xr:uid="{00000000-0005-0000-0000-0000B9010000}"/>
    <cellStyle name="20% - Accent3 3 8 2" xfId="12957" xr:uid="{42F95B0C-B0F3-4A1B-99C5-F275691FE5CB}"/>
    <cellStyle name="20% - Accent3 3 9" xfId="8739" xr:uid="{BF168344-0C55-4236-8616-EB7716A97DE6}"/>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A8CA4CE2-EAFB-4C74-862B-B98DD040AC94}"/>
    <cellStyle name="20% - Accent3 4 2 2 3" xfId="11300" xr:uid="{C7F70A60-094E-4DE1-A4C3-10820FAD0753}"/>
    <cellStyle name="20% - Accent3 4 2 3" xfId="4944" xr:uid="{00000000-0005-0000-0000-0000BE010000}"/>
    <cellStyle name="20% - Accent3 4 2 3 2" xfId="13373" xr:uid="{A1283D8A-3109-4E04-BA0F-CD9331AA26BF}"/>
    <cellStyle name="20% - Accent3 4 2 4" xfId="9155" xr:uid="{7A668EF5-F218-4277-AC2B-B0191FA2999A}"/>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1E4196AF-9DE6-4C82-B09C-9586518FF4CA}"/>
    <cellStyle name="20% - Accent3 4 3 2 3" xfId="11713" xr:uid="{06C5E8BB-4E9A-44D5-8B80-A723577F2459}"/>
    <cellStyle name="20% - Accent3 4 3 3" xfId="5357" xr:uid="{00000000-0005-0000-0000-0000C2010000}"/>
    <cellStyle name="20% - Accent3 4 3 3 2" xfId="13786" xr:uid="{D0C3049E-3131-4591-9E5B-AA159180DEFA}"/>
    <cellStyle name="20% - Accent3 4 3 4" xfId="9568" xr:uid="{9EA1D80F-C76D-40D7-AEEA-8660DF2E2E96}"/>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F58CBF90-0D59-4249-96EC-941CFC7E4EDB}"/>
    <cellStyle name="20% - Accent3 4 4 2 3" xfId="12126" xr:uid="{4760044B-554B-4CFC-9B90-21AAD775BDAA}"/>
    <cellStyle name="20% - Accent3 4 4 3" xfId="5770" xr:uid="{00000000-0005-0000-0000-0000C6010000}"/>
    <cellStyle name="20% - Accent3 4 4 3 2" xfId="14199" xr:uid="{8EA17E7A-3B83-478C-8244-972F0AA316EE}"/>
    <cellStyle name="20% - Accent3 4 4 4" xfId="9981" xr:uid="{BA7B05BD-2014-4F7B-BBF3-04051E68E925}"/>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F4C99736-CF04-4B0D-9A8D-4BE866F3F261}"/>
    <cellStyle name="20% - Accent3 4 5 2 3" xfId="12539" xr:uid="{BC572B85-B95E-42A2-A6D4-26B80B4C3674}"/>
    <cellStyle name="20% - Accent3 4 5 3" xfId="6183" xr:uid="{00000000-0005-0000-0000-0000CA010000}"/>
    <cellStyle name="20% - Accent3 4 5 3 2" xfId="14612" xr:uid="{AE8A08B6-96FE-453D-80ED-F12C94AC62D9}"/>
    <cellStyle name="20% - Accent3 4 5 4" xfId="10394" xr:uid="{0AB9B638-3B0B-405A-828E-20B8FCE07988}"/>
    <cellStyle name="20% - Accent3 4 6" xfId="2288" xr:uid="{00000000-0005-0000-0000-0000CB010000}"/>
    <cellStyle name="20% - Accent3 4 6 2" xfId="6596" xr:uid="{00000000-0005-0000-0000-0000CC010000}"/>
    <cellStyle name="20% - Accent3 4 6 2 2" xfId="15025" xr:uid="{1A5FD8F3-3A02-4CED-840E-E466AA85E324}"/>
    <cellStyle name="20% - Accent3 4 6 3" xfId="10807" xr:uid="{B5EE5AFD-FEE2-475A-9115-1DFC8ECEDBFA}"/>
    <cellStyle name="20% - Accent3 4 7" xfId="4530" xr:uid="{00000000-0005-0000-0000-0000CD010000}"/>
    <cellStyle name="20% - Accent3 4 7 2" xfId="12959" xr:uid="{4E994059-8DCE-4E7C-96D4-58280F6E4564}"/>
    <cellStyle name="20% - Accent3 4 8" xfId="8741" xr:uid="{24D798CE-C27C-40DD-883A-7ADC854DD625}"/>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AFDDF919-72B2-4CA5-AE72-B50BD3416C65}"/>
    <cellStyle name="20% - Accent3 5 2 3" xfId="11293" xr:uid="{6A52EE0B-3C3D-4480-BD48-EB84AF549662}"/>
    <cellStyle name="20% - Accent3 5 3" xfId="4937" xr:uid="{00000000-0005-0000-0000-0000D1010000}"/>
    <cellStyle name="20% - Accent3 5 3 2" xfId="13366" xr:uid="{BFE29968-9D50-4452-BF88-15FE2C0552CF}"/>
    <cellStyle name="20% - Accent3 5 4" xfId="9148" xr:uid="{A3C47B2D-B604-4DE3-9228-93C5F5CC8B7E}"/>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079B00B2-FC0F-460A-9263-693C6E8F6576}"/>
    <cellStyle name="20% - Accent3 6 2 3" xfId="11706" xr:uid="{6A90CB72-0670-4D2F-9AEC-E6421B9F050F}"/>
    <cellStyle name="20% - Accent3 6 3" xfId="5350" xr:uid="{00000000-0005-0000-0000-0000D5010000}"/>
    <cellStyle name="20% - Accent3 6 3 2" xfId="13779" xr:uid="{FCF0BCBB-8B9B-4E4B-A3E8-66A64E2F3146}"/>
    <cellStyle name="20% - Accent3 6 4" xfId="9561" xr:uid="{E00382AA-1DEF-4735-8ACF-EBB160A36F1C}"/>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C5747473-73FE-464B-A1DC-563E92502A03}"/>
    <cellStyle name="20% - Accent3 7 2 3" xfId="12119" xr:uid="{8D409CCC-526E-45E4-9E93-2112D13A72AA}"/>
    <cellStyle name="20% - Accent3 7 3" xfId="5763" xr:uid="{00000000-0005-0000-0000-0000D9010000}"/>
    <cellStyle name="20% - Accent3 7 3 2" xfId="14192" xr:uid="{06395974-A0E9-4B3F-A6B8-4B386442871F}"/>
    <cellStyle name="20% - Accent3 7 4" xfId="9974" xr:uid="{3A7C2320-FFC6-4B08-9FFD-4E282BA5B74B}"/>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04BD3166-660F-458C-BEE0-ABF1B635A41F}"/>
    <cellStyle name="20% - Accent3 8 2 3" xfId="12532" xr:uid="{1E0B3F43-AA58-4411-97E4-665A43BF4E84}"/>
    <cellStyle name="20% - Accent3 8 3" xfId="6176" xr:uid="{00000000-0005-0000-0000-0000DD010000}"/>
    <cellStyle name="20% - Accent3 8 3 2" xfId="14605" xr:uid="{96F56AA4-DDC0-40DE-AE41-15C704A9D4F2}"/>
    <cellStyle name="20% - Accent3 8 4" xfId="10387" xr:uid="{9252CB1E-E83E-4DC2-8E79-4B3ABC81BC56}"/>
    <cellStyle name="20% - Accent3 9" xfId="2281" xr:uid="{00000000-0005-0000-0000-0000DE010000}"/>
    <cellStyle name="20% - Accent3 9 2" xfId="6589" xr:uid="{00000000-0005-0000-0000-0000DF010000}"/>
    <cellStyle name="20% - Accent3 9 2 2" xfId="15018" xr:uid="{621721D4-A78B-4E63-9F4A-9C4921D2548D}"/>
    <cellStyle name="20% - Accent3 9 3" xfId="10800" xr:uid="{31B793DA-067F-4D75-A05F-E6F558B1F4A4}"/>
    <cellStyle name="20% - Accent4" xfId="25" builtinId="42" customBuiltin="1"/>
    <cellStyle name="20% - Accent4 10" xfId="4531" xr:uid="{00000000-0005-0000-0000-0000E1010000}"/>
    <cellStyle name="20% - Accent4 10 2" xfId="12960" xr:uid="{994A68AE-303B-45E0-A3E8-8B5E6B9B0B84}"/>
    <cellStyle name="20% - Accent4 11" xfId="8742" xr:uid="{05D8BF33-8CD5-4A7A-B957-527938AE86B6}"/>
    <cellStyle name="20% - Accent4 2" xfId="26" xr:uid="{00000000-0005-0000-0000-0000E2010000}"/>
    <cellStyle name="20% - Accent4 2 10" xfId="8743" xr:uid="{93D4AD90-A5FF-4B57-A29E-041D9F260F2B}"/>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CF311477-626D-4729-9C6C-32CB1EF966CE}"/>
    <cellStyle name="20% - Accent4 2 2 2 2 2 3" xfId="11304" xr:uid="{E11BCD7D-8355-4811-9977-ABDBE76C75DF}"/>
    <cellStyle name="20% - Accent4 2 2 2 2 3" xfId="4948" xr:uid="{00000000-0005-0000-0000-0000E8010000}"/>
    <cellStyle name="20% - Accent4 2 2 2 2 3 2" xfId="13377" xr:uid="{FB2CC679-9FFC-4870-A566-26F8A663B22B}"/>
    <cellStyle name="20% - Accent4 2 2 2 2 4" xfId="9159" xr:uid="{309DF02A-650C-4A6D-AF03-E03A4EC32CD3}"/>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92A9D53-A9B1-45E6-8381-A1BA23A76283}"/>
    <cellStyle name="20% - Accent4 2 2 2 3 2 3" xfId="11717" xr:uid="{D06ACFA3-B642-4F06-9AB3-ED6D4FA67099}"/>
    <cellStyle name="20% - Accent4 2 2 2 3 3" xfId="5361" xr:uid="{00000000-0005-0000-0000-0000EC010000}"/>
    <cellStyle name="20% - Accent4 2 2 2 3 3 2" xfId="13790" xr:uid="{8CF4C6F4-BB07-4C42-9287-BF203CD87D6C}"/>
    <cellStyle name="20% - Accent4 2 2 2 3 4" xfId="9572" xr:uid="{C6270E7E-EA2B-4205-A635-06E5DC1E329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E4EAC102-7FB5-432F-9D6F-B315A29D888B}"/>
    <cellStyle name="20% - Accent4 2 2 2 4 2 3" xfId="12130" xr:uid="{59AAF9FD-4960-446C-BAB5-85C7E1826DAE}"/>
    <cellStyle name="20% - Accent4 2 2 2 4 3" xfId="5774" xr:uid="{00000000-0005-0000-0000-0000F0010000}"/>
    <cellStyle name="20% - Accent4 2 2 2 4 3 2" xfId="14203" xr:uid="{2370E511-1F84-49CF-A394-6A8871D12AB9}"/>
    <cellStyle name="20% - Accent4 2 2 2 4 4" xfId="9985" xr:uid="{BA7569C1-B78A-4795-ABE6-8C93336C4C01}"/>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5EF66076-8C2A-4C1E-8973-FA4DA52E9CC6}"/>
    <cellStyle name="20% - Accent4 2 2 2 5 2 3" xfId="12543" xr:uid="{71B49BBF-A998-4A00-9AC7-E4C82199E00F}"/>
    <cellStyle name="20% - Accent4 2 2 2 5 3" xfId="6187" xr:uid="{00000000-0005-0000-0000-0000F4010000}"/>
    <cellStyle name="20% - Accent4 2 2 2 5 3 2" xfId="14616" xr:uid="{63AECCF9-D5FE-4AD6-936A-B817A0F0A528}"/>
    <cellStyle name="20% - Accent4 2 2 2 5 4" xfId="10398" xr:uid="{3588BC32-03E9-4238-8CBE-3E989CC7BD83}"/>
    <cellStyle name="20% - Accent4 2 2 2 6" xfId="2292" xr:uid="{00000000-0005-0000-0000-0000F5010000}"/>
    <cellStyle name="20% - Accent4 2 2 2 6 2" xfId="6600" xr:uid="{00000000-0005-0000-0000-0000F6010000}"/>
    <cellStyle name="20% - Accent4 2 2 2 6 2 2" xfId="15029" xr:uid="{3B9642FA-5D1E-4A04-B8C0-87F4DEF0FA37}"/>
    <cellStyle name="20% - Accent4 2 2 2 6 3" xfId="10811" xr:uid="{DAAC414D-FA83-438C-BB81-B38B95553838}"/>
    <cellStyle name="20% - Accent4 2 2 2 7" xfId="4534" xr:uid="{00000000-0005-0000-0000-0000F7010000}"/>
    <cellStyle name="20% - Accent4 2 2 2 7 2" xfId="12963" xr:uid="{08CD0907-0B3F-45B3-9376-48100B8CA9D0}"/>
    <cellStyle name="20% - Accent4 2 2 2 8" xfId="8745" xr:uid="{3B29AB2B-00C4-46EA-BB74-7F608143EDB7}"/>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CA209721-F575-4404-B76F-960E28332E3D}"/>
    <cellStyle name="20% - Accent4 2 2 3 2 3" xfId="11303" xr:uid="{22257D6A-04D5-41B3-81CF-70FDEB880D29}"/>
    <cellStyle name="20% - Accent4 2 2 3 3" xfId="4947" xr:uid="{00000000-0005-0000-0000-0000FB010000}"/>
    <cellStyle name="20% - Accent4 2 2 3 3 2" xfId="13376" xr:uid="{A94522F1-AFAD-4783-AF80-F4DBBD095511}"/>
    <cellStyle name="20% - Accent4 2 2 3 4" xfId="9158" xr:uid="{D2879464-30AA-443F-9BD4-0479F5647077}"/>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4700DBC5-20EB-4928-8545-3F2C4DD81652}"/>
    <cellStyle name="20% - Accent4 2 2 4 2 3" xfId="11716" xr:uid="{4C58FC07-4DCF-485C-9C4D-B5B6B6CF811F}"/>
    <cellStyle name="20% - Accent4 2 2 4 3" xfId="5360" xr:uid="{00000000-0005-0000-0000-0000FF010000}"/>
    <cellStyle name="20% - Accent4 2 2 4 3 2" xfId="13789" xr:uid="{B15AFC13-C6DB-4EBD-BE51-2AFBE63D2D9B}"/>
    <cellStyle name="20% - Accent4 2 2 4 4" xfId="9571" xr:uid="{3C1111CA-AE18-4ABB-8515-028384DC9CEE}"/>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DAE4670B-4CEF-4DC4-84A6-2603D3C50FEE}"/>
    <cellStyle name="20% - Accent4 2 2 5 2 3" xfId="12129" xr:uid="{D309B380-13F0-4D1F-877F-5F8B45FE1E3F}"/>
    <cellStyle name="20% - Accent4 2 2 5 3" xfId="5773" xr:uid="{00000000-0005-0000-0000-000003020000}"/>
    <cellStyle name="20% - Accent4 2 2 5 3 2" xfId="14202" xr:uid="{624CE4ED-D325-4EA2-BA39-AA86B7124914}"/>
    <cellStyle name="20% - Accent4 2 2 5 4" xfId="9984" xr:uid="{82D573A1-5227-4F19-8265-C3DCDEF25483}"/>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12052ABD-ECD6-4813-980A-5DA99A9A1A44}"/>
    <cellStyle name="20% - Accent4 2 2 6 2 3" xfId="12542" xr:uid="{4C8604C7-1478-48C9-809C-D8815D757437}"/>
    <cellStyle name="20% - Accent4 2 2 6 3" xfId="6186" xr:uid="{00000000-0005-0000-0000-000007020000}"/>
    <cellStyle name="20% - Accent4 2 2 6 3 2" xfId="14615" xr:uid="{34D0B7E9-B866-430C-ACD1-13CF2D17B750}"/>
    <cellStyle name="20% - Accent4 2 2 6 4" xfId="10397" xr:uid="{BA380FB2-6BDD-4D06-86AA-AB7CD23C76B9}"/>
    <cellStyle name="20% - Accent4 2 2 7" xfId="2291" xr:uid="{00000000-0005-0000-0000-000008020000}"/>
    <cellStyle name="20% - Accent4 2 2 7 2" xfId="6599" xr:uid="{00000000-0005-0000-0000-000009020000}"/>
    <cellStyle name="20% - Accent4 2 2 7 2 2" xfId="15028" xr:uid="{2C3EB156-648B-41B4-B6B8-AA84ABB36A4B}"/>
    <cellStyle name="20% - Accent4 2 2 7 3" xfId="10810" xr:uid="{CF95E357-9574-4A07-AAD1-6634B6F3FC42}"/>
    <cellStyle name="20% - Accent4 2 2 8" xfId="4533" xr:uid="{00000000-0005-0000-0000-00000A020000}"/>
    <cellStyle name="20% - Accent4 2 2 8 2" xfId="12962" xr:uid="{D7F45211-FE0B-4FBE-9E44-4ADAA0C81F75}"/>
    <cellStyle name="20% - Accent4 2 2 9" xfId="8744" xr:uid="{8C6C166D-DDF7-4768-AE39-261AF31737BB}"/>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ABD6F762-CC3A-4031-B3D7-BD4735F6DE7F}"/>
    <cellStyle name="20% - Accent4 2 3 2 2 3" xfId="11305" xr:uid="{6F8435AF-7FD4-4C17-894A-2DFFFA10B26A}"/>
    <cellStyle name="20% - Accent4 2 3 2 3" xfId="4949" xr:uid="{00000000-0005-0000-0000-00000F020000}"/>
    <cellStyle name="20% - Accent4 2 3 2 3 2" xfId="13378" xr:uid="{FF255F95-5981-4557-8C20-848DDCD5768B}"/>
    <cellStyle name="20% - Accent4 2 3 2 4" xfId="9160" xr:uid="{4764BC59-AA65-476E-80F6-6BB4BB34C541}"/>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9CF0C768-0A88-418B-9ACA-415097EAEF6E}"/>
    <cellStyle name="20% - Accent4 2 3 3 2 3" xfId="11718" xr:uid="{369855CF-8F6E-4348-99E3-EB1805DDFB11}"/>
    <cellStyle name="20% - Accent4 2 3 3 3" xfId="5362" xr:uid="{00000000-0005-0000-0000-000013020000}"/>
    <cellStyle name="20% - Accent4 2 3 3 3 2" xfId="13791" xr:uid="{D124A80F-E837-4948-8DE2-3501B8C063D7}"/>
    <cellStyle name="20% - Accent4 2 3 3 4" xfId="9573" xr:uid="{7293D4F6-B357-4D15-9E3A-DEFEB01103B2}"/>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78788AF5-4B79-429B-BDD8-AE0C3E0D3743}"/>
    <cellStyle name="20% - Accent4 2 3 4 2 3" xfId="12131" xr:uid="{77CDB8AE-A0F7-40E0-892D-2623711AAD68}"/>
    <cellStyle name="20% - Accent4 2 3 4 3" xfId="5775" xr:uid="{00000000-0005-0000-0000-000017020000}"/>
    <cellStyle name="20% - Accent4 2 3 4 3 2" xfId="14204" xr:uid="{4F809854-E66C-4C26-A09B-2A198EB61741}"/>
    <cellStyle name="20% - Accent4 2 3 4 4" xfId="9986" xr:uid="{C0CD30ED-C716-47B4-8AA3-D45CF02DABEF}"/>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C0F92EC2-639F-4528-A8F0-F75A957CDE7F}"/>
    <cellStyle name="20% - Accent4 2 3 5 2 3" xfId="12544" xr:uid="{B0A64076-EC02-41BE-B1D3-E36D24580F1F}"/>
    <cellStyle name="20% - Accent4 2 3 5 3" xfId="6188" xr:uid="{00000000-0005-0000-0000-00001B020000}"/>
    <cellStyle name="20% - Accent4 2 3 5 3 2" xfId="14617" xr:uid="{40149B22-5A63-4BAD-8B6E-F89D0AA3E74E}"/>
    <cellStyle name="20% - Accent4 2 3 5 4" xfId="10399" xr:uid="{B08622EA-36CD-42A0-AA36-48E059B52579}"/>
    <cellStyle name="20% - Accent4 2 3 6" xfId="2293" xr:uid="{00000000-0005-0000-0000-00001C020000}"/>
    <cellStyle name="20% - Accent4 2 3 6 2" xfId="6601" xr:uid="{00000000-0005-0000-0000-00001D020000}"/>
    <cellStyle name="20% - Accent4 2 3 6 2 2" xfId="15030" xr:uid="{3B31BF9B-19D8-441A-AA82-4F48C7D4C882}"/>
    <cellStyle name="20% - Accent4 2 3 6 3" xfId="10812" xr:uid="{7FC99BA4-BF8C-4845-81B4-DD018300A767}"/>
    <cellStyle name="20% - Accent4 2 3 7" xfId="4535" xr:uid="{00000000-0005-0000-0000-00001E020000}"/>
    <cellStyle name="20% - Accent4 2 3 7 2" xfId="12964" xr:uid="{5EF74A4B-0E6D-49B5-8F72-4409F72A53A3}"/>
    <cellStyle name="20% - Accent4 2 3 8" xfId="8746" xr:uid="{B8BEB215-7340-4AA7-AE5A-2523AE872D58}"/>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A3912F4F-34E4-47F7-B419-D94F6047660C}"/>
    <cellStyle name="20% - Accent4 2 4 2 3" xfId="11302" xr:uid="{5D0B23C2-406C-4832-B7A0-6CB9FB4D187A}"/>
    <cellStyle name="20% - Accent4 2 4 3" xfId="4946" xr:uid="{00000000-0005-0000-0000-000022020000}"/>
    <cellStyle name="20% - Accent4 2 4 3 2" xfId="13375" xr:uid="{4F349379-222B-4317-A23E-8DF65FC88671}"/>
    <cellStyle name="20% - Accent4 2 4 4" xfId="9157" xr:uid="{C4220128-954E-4D31-983F-B4FA348BB0E0}"/>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B77C22C4-A77B-4592-BF5B-DA74FD13B02C}"/>
    <cellStyle name="20% - Accent4 2 5 2 3" xfId="11715" xr:uid="{0F67A0A4-46CB-4260-A5A6-2E3370BC2FE7}"/>
    <cellStyle name="20% - Accent4 2 5 3" xfId="5359" xr:uid="{00000000-0005-0000-0000-000026020000}"/>
    <cellStyle name="20% - Accent4 2 5 3 2" xfId="13788" xr:uid="{53397A61-1E31-4CA5-A627-C253B9E7FD07}"/>
    <cellStyle name="20% - Accent4 2 5 4" xfId="9570" xr:uid="{76B7139D-7FFE-4D35-A439-F0B7B9C9B6C9}"/>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894F6E9E-4C6C-4226-AFC6-48E9EB94E473}"/>
    <cellStyle name="20% - Accent4 2 6 2 3" xfId="12128" xr:uid="{761AE708-9322-4366-8310-4FCDCE0B7609}"/>
    <cellStyle name="20% - Accent4 2 6 3" xfId="5772" xr:uid="{00000000-0005-0000-0000-00002A020000}"/>
    <cellStyle name="20% - Accent4 2 6 3 2" xfId="14201" xr:uid="{152A9914-3F3C-4F9D-B69A-0EF5B0EBD872}"/>
    <cellStyle name="20% - Accent4 2 6 4" xfId="9983" xr:uid="{7F54537F-ED28-4708-9BB6-6D278452E29B}"/>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8592F01D-E02A-469F-934A-5DF94B512555}"/>
    <cellStyle name="20% - Accent4 2 7 2 3" xfId="12541" xr:uid="{74DF9F7C-6662-4704-9B47-99AE8C98F564}"/>
    <cellStyle name="20% - Accent4 2 7 3" xfId="6185" xr:uid="{00000000-0005-0000-0000-00002E020000}"/>
    <cellStyle name="20% - Accent4 2 7 3 2" xfId="14614" xr:uid="{A1303243-2B8B-4E84-BEB4-B726BA8653F5}"/>
    <cellStyle name="20% - Accent4 2 7 4" xfId="10396" xr:uid="{451DC524-6240-47CD-BA7A-42C05F343DFE}"/>
    <cellStyle name="20% - Accent4 2 8" xfId="2290" xr:uid="{00000000-0005-0000-0000-00002F020000}"/>
    <cellStyle name="20% - Accent4 2 8 2" xfId="6598" xr:uid="{00000000-0005-0000-0000-000030020000}"/>
    <cellStyle name="20% - Accent4 2 8 2 2" xfId="15027" xr:uid="{6DD7391B-3647-4F8D-8256-790C46B8A9CC}"/>
    <cellStyle name="20% - Accent4 2 8 3" xfId="10809" xr:uid="{AE340D5B-CC48-403F-8EBC-F492639611E1}"/>
    <cellStyle name="20% - Accent4 2 9" xfId="4532" xr:uid="{00000000-0005-0000-0000-000031020000}"/>
    <cellStyle name="20% - Accent4 2 9 2" xfId="12961" xr:uid="{A018AEC4-CC88-4D1B-8EF4-95B4782657FC}"/>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F143201A-8CA4-499A-B625-A6B5D44D306C}"/>
    <cellStyle name="20% - Accent4 3 2 2 2 3" xfId="11307" xr:uid="{6D97FD0A-65C2-47B5-B1C9-39F5962BA559}"/>
    <cellStyle name="20% - Accent4 3 2 2 3" xfId="4951" xr:uid="{00000000-0005-0000-0000-000037020000}"/>
    <cellStyle name="20% - Accent4 3 2 2 3 2" xfId="13380" xr:uid="{DF528BA9-6E7C-4C2F-9B57-DCC7DA1F7C4C}"/>
    <cellStyle name="20% - Accent4 3 2 2 4" xfId="9162" xr:uid="{35FFEE10-91F0-47D0-A4F4-A1EBD78CE2D3}"/>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DA3E4123-E991-4080-80FE-8157BF333FCB}"/>
    <cellStyle name="20% - Accent4 3 2 3 2 3" xfId="11720" xr:uid="{8005E29E-52F3-4830-BC8A-0D04691FFA43}"/>
    <cellStyle name="20% - Accent4 3 2 3 3" xfId="5364" xr:uid="{00000000-0005-0000-0000-00003B020000}"/>
    <cellStyle name="20% - Accent4 3 2 3 3 2" xfId="13793" xr:uid="{18D37370-1A49-4F44-8ACA-2B9E0DAC0CA9}"/>
    <cellStyle name="20% - Accent4 3 2 3 4" xfId="9575" xr:uid="{363E669B-DFD8-40A0-A565-F1374E4F25C1}"/>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A7B824B9-C39A-49B7-9398-DB31368E8583}"/>
    <cellStyle name="20% - Accent4 3 2 4 2 3" xfId="12133" xr:uid="{9E18104F-F5F2-4417-87EC-A70F4FEABE5D}"/>
    <cellStyle name="20% - Accent4 3 2 4 3" xfId="5777" xr:uid="{00000000-0005-0000-0000-00003F020000}"/>
    <cellStyle name="20% - Accent4 3 2 4 3 2" xfId="14206" xr:uid="{E1751C75-A648-417D-9E61-2D3584E6618C}"/>
    <cellStyle name="20% - Accent4 3 2 4 4" xfId="9988" xr:uid="{918978AD-BAF5-4987-B7C1-FE06ED0A079D}"/>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7E9708B5-6289-48CA-AEA7-C5C80DA7011D}"/>
    <cellStyle name="20% - Accent4 3 2 5 2 3" xfId="12546" xr:uid="{9DB6BBF3-44C3-4001-B0CA-5B0D59F94E67}"/>
    <cellStyle name="20% - Accent4 3 2 5 3" xfId="6190" xr:uid="{00000000-0005-0000-0000-000043020000}"/>
    <cellStyle name="20% - Accent4 3 2 5 3 2" xfId="14619" xr:uid="{4BED37B8-F0CF-4CCA-BFC8-FA1AA8019143}"/>
    <cellStyle name="20% - Accent4 3 2 5 4" xfId="10401" xr:uid="{7C309147-D6D2-4FBA-A411-69DFB9C7EB31}"/>
    <cellStyle name="20% - Accent4 3 2 6" xfId="2295" xr:uid="{00000000-0005-0000-0000-000044020000}"/>
    <cellStyle name="20% - Accent4 3 2 6 2" xfId="6603" xr:uid="{00000000-0005-0000-0000-000045020000}"/>
    <cellStyle name="20% - Accent4 3 2 6 2 2" xfId="15032" xr:uid="{EFC6FCFF-8DFF-4D79-8F91-FD6F4BD689BD}"/>
    <cellStyle name="20% - Accent4 3 2 6 3" xfId="10814" xr:uid="{0BF94427-58F8-471A-BD3D-F3903AB2F64B}"/>
    <cellStyle name="20% - Accent4 3 2 7" xfId="4537" xr:uid="{00000000-0005-0000-0000-000046020000}"/>
    <cellStyle name="20% - Accent4 3 2 7 2" xfId="12966" xr:uid="{32EC044B-1F36-463F-B9CA-DC87D95E0B50}"/>
    <cellStyle name="20% - Accent4 3 2 8" xfId="8748" xr:uid="{23B17993-C22D-4DED-8302-EE8B4D78F325}"/>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A99AE13C-4D68-4CF7-AB16-8932577F8B0E}"/>
    <cellStyle name="20% - Accent4 3 3 2 3" xfId="11306" xr:uid="{54E0B4B0-F6A2-49A2-B7C8-6FE3AC031D80}"/>
    <cellStyle name="20% - Accent4 3 3 3" xfId="4950" xr:uid="{00000000-0005-0000-0000-00004A020000}"/>
    <cellStyle name="20% - Accent4 3 3 3 2" xfId="13379" xr:uid="{C5947418-F471-4F53-8C76-8517314ABB52}"/>
    <cellStyle name="20% - Accent4 3 3 4" xfId="9161" xr:uid="{8FF4DCEB-A01B-41AE-A654-418CB7C295C0}"/>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C9BC6889-FD0A-4520-BB08-9A5EE98494FD}"/>
    <cellStyle name="20% - Accent4 3 4 2 3" xfId="11719" xr:uid="{CC912245-E41F-4108-90DC-2FCA8C813CAA}"/>
    <cellStyle name="20% - Accent4 3 4 3" xfId="5363" xr:uid="{00000000-0005-0000-0000-00004E020000}"/>
    <cellStyle name="20% - Accent4 3 4 3 2" xfId="13792" xr:uid="{DD54E4C3-4864-4C90-AE55-2ECC064B7189}"/>
    <cellStyle name="20% - Accent4 3 4 4" xfId="9574" xr:uid="{FB44C3DE-81C8-43E4-A2A0-4948BBB93C4F}"/>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3A142370-3412-456B-B44B-608CA3F917D3}"/>
    <cellStyle name="20% - Accent4 3 5 2 3" xfId="12132" xr:uid="{6D2B80CE-4BA3-4535-A6C5-13DF2767E939}"/>
    <cellStyle name="20% - Accent4 3 5 3" xfId="5776" xr:uid="{00000000-0005-0000-0000-000052020000}"/>
    <cellStyle name="20% - Accent4 3 5 3 2" xfId="14205" xr:uid="{7B2FB8B5-60D8-4D7B-BC1E-85DEF4FDD95E}"/>
    <cellStyle name="20% - Accent4 3 5 4" xfId="9987" xr:uid="{025E6F92-9E1D-4A94-A8FC-A855B1EA2B1A}"/>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F45DF2AC-0366-49A1-B752-75489AEE9FDE}"/>
    <cellStyle name="20% - Accent4 3 6 2 3" xfId="12545" xr:uid="{C7977549-7429-4214-B579-CA8D126EB80D}"/>
    <cellStyle name="20% - Accent4 3 6 3" xfId="6189" xr:uid="{00000000-0005-0000-0000-000056020000}"/>
    <cellStyle name="20% - Accent4 3 6 3 2" xfId="14618" xr:uid="{9FB39D12-BCBE-45AC-9D5C-500AC7C0B9AF}"/>
    <cellStyle name="20% - Accent4 3 6 4" xfId="10400" xr:uid="{B5011F4A-7919-453F-8C89-AD2AF3CF8F8A}"/>
    <cellStyle name="20% - Accent4 3 7" xfId="2294" xr:uid="{00000000-0005-0000-0000-000057020000}"/>
    <cellStyle name="20% - Accent4 3 7 2" xfId="6602" xr:uid="{00000000-0005-0000-0000-000058020000}"/>
    <cellStyle name="20% - Accent4 3 7 2 2" xfId="15031" xr:uid="{00E8F1ED-A9C9-4D99-BC89-17EA92110747}"/>
    <cellStyle name="20% - Accent4 3 7 3" xfId="10813" xr:uid="{D245FE6E-F467-4E4D-805D-0627FB853FFA}"/>
    <cellStyle name="20% - Accent4 3 8" xfId="4536" xr:uid="{00000000-0005-0000-0000-000059020000}"/>
    <cellStyle name="20% - Accent4 3 8 2" xfId="12965" xr:uid="{3AEEBEBA-BD2C-4D8E-96AC-E22FF5FB8AB3}"/>
    <cellStyle name="20% - Accent4 3 9" xfId="8747" xr:uid="{2CD2B3C5-4262-4EAB-9521-6645F1EC0A94}"/>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54B33BD2-4058-4FAC-8549-69F1401DFA08}"/>
    <cellStyle name="20% - Accent4 4 2 2 3" xfId="11308" xr:uid="{00E1F26E-E3B5-4EE6-8FFE-B6B63CF1F50A}"/>
    <cellStyle name="20% - Accent4 4 2 3" xfId="4952" xr:uid="{00000000-0005-0000-0000-00005E020000}"/>
    <cellStyle name="20% - Accent4 4 2 3 2" xfId="13381" xr:uid="{413B8858-5BFB-4665-A006-BAC4A6E6F37F}"/>
    <cellStyle name="20% - Accent4 4 2 4" xfId="9163" xr:uid="{E3757DB4-C1B4-4A0E-AFB9-E354E5F9B0C2}"/>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98201C82-2914-4911-932E-F72AC52C7BC0}"/>
    <cellStyle name="20% - Accent4 4 3 2 3" xfId="11721" xr:uid="{EB2AF5C6-D5B1-4FCE-91AB-46FD69F7F6EC}"/>
    <cellStyle name="20% - Accent4 4 3 3" xfId="5365" xr:uid="{00000000-0005-0000-0000-000062020000}"/>
    <cellStyle name="20% - Accent4 4 3 3 2" xfId="13794" xr:uid="{E116ABEC-99E4-4A22-A006-136674B726F9}"/>
    <cellStyle name="20% - Accent4 4 3 4" xfId="9576" xr:uid="{4CB1FA54-42E5-4218-BA38-429754460859}"/>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8DA22824-C19E-4202-9524-60215E132E68}"/>
    <cellStyle name="20% - Accent4 4 4 2 3" xfId="12134" xr:uid="{BF6DE757-A839-44CD-B757-64BABA09D708}"/>
    <cellStyle name="20% - Accent4 4 4 3" xfId="5778" xr:uid="{00000000-0005-0000-0000-000066020000}"/>
    <cellStyle name="20% - Accent4 4 4 3 2" xfId="14207" xr:uid="{010A0AD3-92CB-4551-9748-D70CC3A42FA3}"/>
    <cellStyle name="20% - Accent4 4 4 4" xfId="9989" xr:uid="{C4B471AE-99E7-4431-959B-703CB1C6ABE7}"/>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654AF27E-FF19-4DF7-ADAD-4958CE99A536}"/>
    <cellStyle name="20% - Accent4 4 5 2 3" xfId="12547" xr:uid="{9A7E8FAE-54BA-475E-84E1-2BCDF8C0EE08}"/>
    <cellStyle name="20% - Accent4 4 5 3" xfId="6191" xr:uid="{00000000-0005-0000-0000-00006A020000}"/>
    <cellStyle name="20% - Accent4 4 5 3 2" xfId="14620" xr:uid="{9DB25AF2-D83E-4BDB-B5CA-83D7917373A6}"/>
    <cellStyle name="20% - Accent4 4 5 4" xfId="10402" xr:uid="{D0522C74-F501-43DE-87F7-834F274899A2}"/>
    <cellStyle name="20% - Accent4 4 6" xfId="2296" xr:uid="{00000000-0005-0000-0000-00006B020000}"/>
    <cellStyle name="20% - Accent4 4 6 2" xfId="6604" xr:uid="{00000000-0005-0000-0000-00006C020000}"/>
    <cellStyle name="20% - Accent4 4 6 2 2" xfId="15033" xr:uid="{705FD541-B8F6-471B-9F4B-2C41382DFDE0}"/>
    <cellStyle name="20% - Accent4 4 6 3" xfId="10815" xr:uid="{89B48AE3-A8EC-4BCD-BAA2-2B916CA8933B}"/>
    <cellStyle name="20% - Accent4 4 7" xfId="4538" xr:uid="{00000000-0005-0000-0000-00006D020000}"/>
    <cellStyle name="20% - Accent4 4 7 2" xfId="12967" xr:uid="{5250BE2F-98AD-42AA-9986-7EA347611412}"/>
    <cellStyle name="20% - Accent4 4 8" xfId="8749" xr:uid="{3C6C0070-8433-4FE5-9E84-7C9869969904}"/>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23FD83B1-0AE0-4743-AA2C-40EBC7BF3D58}"/>
    <cellStyle name="20% - Accent4 5 2 3" xfId="11301" xr:uid="{A7EA90D5-0DC9-436D-B252-F4AED969C83F}"/>
    <cellStyle name="20% - Accent4 5 3" xfId="4945" xr:uid="{00000000-0005-0000-0000-000071020000}"/>
    <cellStyle name="20% - Accent4 5 3 2" xfId="13374" xr:uid="{4B1DCF60-467D-499E-8255-DD84D2D4D3BD}"/>
    <cellStyle name="20% - Accent4 5 4" xfId="9156" xr:uid="{6F953711-4BA3-4A7D-822E-55B3DC9930D6}"/>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FBA4FC5C-DEC1-4930-902A-2203A72EE36A}"/>
    <cellStyle name="20% - Accent4 6 2 3" xfId="11714" xr:uid="{BE7202B5-4A39-46B6-8E36-323202D2034B}"/>
    <cellStyle name="20% - Accent4 6 3" xfId="5358" xr:uid="{00000000-0005-0000-0000-000075020000}"/>
    <cellStyle name="20% - Accent4 6 3 2" xfId="13787" xr:uid="{35EC859F-9BA8-45A8-BC2B-5D97DD6D7B8A}"/>
    <cellStyle name="20% - Accent4 6 4" xfId="9569" xr:uid="{20EFD9E7-149F-42AA-B8CF-6CDC2B663DBD}"/>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9E6C4400-CEF6-4DBC-BDD2-A54550219435}"/>
    <cellStyle name="20% - Accent4 7 2 3" xfId="12127" xr:uid="{D5504B76-B561-4DA5-9ED4-7A692874CFEC}"/>
    <cellStyle name="20% - Accent4 7 3" xfId="5771" xr:uid="{00000000-0005-0000-0000-000079020000}"/>
    <cellStyle name="20% - Accent4 7 3 2" xfId="14200" xr:uid="{98D8B6E6-4B47-4642-AD76-354A947653C5}"/>
    <cellStyle name="20% - Accent4 7 4" xfId="9982" xr:uid="{343E2D0F-5574-4C99-8BEC-B983B2FA54EA}"/>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D79D7C68-CBA5-4008-8879-CA947F9A1A30}"/>
    <cellStyle name="20% - Accent4 8 2 3" xfId="12540" xr:uid="{0F529B8F-318B-4EC6-9893-2E6509BE22B6}"/>
    <cellStyle name="20% - Accent4 8 3" xfId="6184" xr:uid="{00000000-0005-0000-0000-00007D020000}"/>
    <cellStyle name="20% - Accent4 8 3 2" xfId="14613" xr:uid="{4B8D4604-43DC-48D7-AFDF-2ECF0BC92055}"/>
    <cellStyle name="20% - Accent4 8 4" xfId="10395" xr:uid="{2169BA43-4211-40DD-AAE1-98BD41C21DD2}"/>
    <cellStyle name="20% - Accent4 9" xfId="2289" xr:uid="{00000000-0005-0000-0000-00007E020000}"/>
    <cellStyle name="20% - Accent4 9 2" xfId="6597" xr:uid="{00000000-0005-0000-0000-00007F020000}"/>
    <cellStyle name="20% - Accent4 9 2 2" xfId="15026" xr:uid="{7A399A89-FE07-404C-BE04-A30610F1EEFF}"/>
    <cellStyle name="20% - Accent4 9 3" xfId="10808" xr:uid="{86C70B5A-2B17-464B-ABD6-849E3ECCA222}"/>
    <cellStyle name="20% - Accent5" xfId="33" builtinId="46" customBuiltin="1"/>
    <cellStyle name="20% - Accent5 10" xfId="4539" xr:uid="{00000000-0005-0000-0000-000081020000}"/>
    <cellStyle name="20% - Accent5 10 2" xfId="12968" xr:uid="{EA032F17-ABCB-45CF-B97E-65E4CA8C021E}"/>
    <cellStyle name="20% - Accent5 11" xfId="8750" xr:uid="{DF53920D-18A5-4421-A702-A3B9FCAE200C}"/>
    <cellStyle name="20% - Accent5 2" xfId="34" xr:uid="{00000000-0005-0000-0000-000082020000}"/>
    <cellStyle name="20% - Accent5 2 10" xfId="8751" xr:uid="{0A0B752B-1EC6-4CA5-88FA-1B388529B4C5}"/>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F087112E-8DA5-4C2C-843B-405B10A695D9}"/>
    <cellStyle name="20% - Accent5 2 2 2 2 2 3" xfId="11312" xr:uid="{3CEDECB8-F805-44D0-ABAB-BE5568E4EBA0}"/>
    <cellStyle name="20% - Accent5 2 2 2 2 3" xfId="4956" xr:uid="{00000000-0005-0000-0000-000088020000}"/>
    <cellStyle name="20% - Accent5 2 2 2 2 3 2" xfId="13385" xr:uid="{F8595C4A-6288-4FE5-A11D-EE728F5EBFB5}"/>
    <cellStyle name="20% - Accent5 2 2 2 2 4" xfId="9167" xr:uid="{BB77CACC-D12F-43F9-9E87-F14943BC201B}"/>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B8AE7BA2-F917-405B-A683-42C61BB9499C}"/>
    <cellStyle name="20% - Accent5 2 2 2 3 2 3" xfId="11725" xr:uid="{FECE7688-3080-426A-85E3-7BDC526BEDC1}"/>
    <cellStyle name="20% - Accent5 2 2 2 3 3" xfId="5369" xr:uid="{00000000-0005-0000-0000-00008C020000}"/>
    <cellStyle name="20% - Accent5 2 2 2 3 3 2" xfId="13798" xr:uid="{CA53B239-5F88-45F6-868D-9952428152AF}"/>
    <cellStyle name="20% - Accent5 2 2 2 3 4" xfId="9580" xr:uid="{5B24406C-AC7C-4322-B101-6D06C5AB6212}"/>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EBC1986B-4658-479C-90BA-388B92F5518A}"/>
    <cellStyle name="20% - Accent5 2 2 2 4 2 3" xfId="12138" xr:uid="{799CE065-CB4B-4429-A510-9C325EB9066A}"/>
    <cellStyle name="20% - Accent5 2 2 2 4 3" xfId="5782" xr:uid="{00000000-0005-0000-0000-000090020000}"/>
    <cellStyle name="20% - Accent5 2 2 2 4 3 2" xfId="14211" xr:uid="{F772CA88-7C0A-40EA-ACD9-8D650B1A6DC9}"/>
    <cellStyle name="20% - Accent5 2 2 2 4 4" xfId="9993" xr:uid="{93F2FDCD-CB01-423C-AFA4-023E428CE1A8}"/>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851695DB-9499-4D8B-900E-D436A350F971}"/>
    <cellStyle name="20% - Accent5 2 2 2 5 2 3" xfId="12551" xr:uid="{A04D1CD7-0A88-4F40-ACD5-3A43D91C8A60}"/>
    <cellStyle name="20% - Accent5 2 2 2 5 3" xfId="6195" xr:uid="{00000000-0005-0000-0000-000094020000}"/>
    <cellStyle name="20% - Accent5 2 2 2 5 3 2" xfId="14624" xr:uid="{51D54457-5DD3-4A71-9F6F-1B76C7859116}"/>
    <cellStyle name="20% - Accent5 2 2 2 5 4" xfId="10406" xr:uid="{EF9655B8-12F6-4361-9BE2-6F025D2F0C6A}"/>
    <cellStyle name="20% - Accent5 2 2 2 6" xfId="2300" xr:uid="{00000000-0005-0000-0000-000095020000}"/>
    <cellStyle name="20% - Accent5 2 2 2 6 2" xfId="6608" xr:uid="{00000000-0005-0000-0000-000096020000}"/>
    <cellStyle name="20% - Accent5 2 2 2 6 2 2" xfId="15037" xr:uid="{3BC21B4C-69BA-4EE9-8066-D18B0D0D5716}"/>
    <cellStyle name="20% - Accent5 2 2 2 6 3" xfId="10819" xr:uid="{F2ED9740-B21E-4E71-843E-401F5B52D911}"/>
    <cellStyle name="20% - Accent5 2 2 2 7" xfId="4542" xr:uid="{00000000-0005-0000-0000-000097020000}"/>
    <cellStyle name="20% - Accent5 2 2 2 7 2" xfId="12971" xr:uid="{BED1F4E8-52D4-411B-988F-5B86270A2D4A}"/>
    <cellStyle name="20% - Accent5 2 2 2 8" xfId="8753" xr:uid="{5C6713B8-FDDC-43FC-8441-2E37F3DF701B}"/>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B690EECF-F9ED-4AE9-B740-6770BB6B4764}"/>
    <cellStyle name="20% - Accent5 2 2 3 2 3" xfId="11311" xr:uid="{8024E01D-32D7-4387-A1ED-30B68C3C14DF}"/>
    <cellStyle name="20% - Accent5 2 2 3 3" xfId="4955" xr:uid="{00000000-0005-0000-0000-00009B020000}"/>
    <cellStyle name="20% - Accent5 2 2 3 3 2" xfId="13384" xr:uid="{4D7C8730-2DAA-418D-A1E0-8BEDDBBC8449}"/>
    <cellStyle name="20% - Accent5 2 2 3 4" xfId="9166" xr:uid="{07CD924D-E5BD-4BC6-87C4-41743A07C690}"/>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D24B5275-B249-4677-B07D-99C263A8D521}"/>
    <cellStyle name="20% - Accent5 2 2 4 2 3" xfId="11724" xr:uid="{1DED69B5-85EC-45F5-90DC-199A13B58E1B}"/>
    <cellStyle name="20% - Accent5 2 2 4 3" xfId="5368" xr:uid="{00000000-0005-0000-0000-00009F020000}"/>
    <cellStyle name="20% - Accent5 2 2 4 3 2" xfId="13797" xr:uid="{48B3D0D5-8CB7-4A83-9CC5-DFBE9683901D}"/>
    <cellStyle name="20% - Accent5 2 2 4 4" xfId="9579" xr:uid="{985A887E-C10A-45A6-95A8-CEBACD22A966}"/>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957A3AD8-E90E-4464-B277-4E991A0B5C6E}"/>
    <cellStyle name="20% - Accent5 2 2 5 2 3" xfId="12137" xr:uid="{9832DCAE-B3CB-40F4-9D15-403F262F2037}"/>
    <cellStyle name="20% - Accent5 2 2 5 3" xfId="5781" xr:uid="{00000000-0005-0000-0000-0000A3020000}"/>
    <cellStyle name="20% - Accent5 2 2 5 3 2" xfId="14210" xr:uid="{4FC51CC1-A516-44B6-BC58-F31FCA7051C8}"/>
    <cellStyle name="20% - Accent5 2 2 5 4" xfId="9992" xr:uid="{98A60F7D-0D6E-4D53-BF82-A11B6E5E9DBC}"/>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A6F90896-B0B3-4F98-B6A7-87891CAB24FD}"/>
    <cellStyle name="20% - Accent5 2 2 6 2 3" xfId="12550" xr:uid="{08D99EAB-B665-465C-B906-BD525EFD48CB}"/>
    <cellStyle name="20% - Accent5 2 2 6 3" xfId="6194" xr:uid="{00000000-0005-0000-0000-0000A7020000}"/>
    <cellStyle name="20% - Accent5 2 2 6 3 2" xfId="14623" xr:uid="{48A67C86-CA02-4969-9B0B-290A34EE8A29}"/>
    <cellStyle name="20% - Accent5 2 2 6 4" xfId="10405" xr:uid="{DE97312C-5A3B-4D3C-B97A-7E7E70D3ACE1}"/>
    <cellStyle name="20% - Accent5 2 2 7" xfId="2299" xr:uid="{00000000-0005-0000-0000-0000A8020000}"/>
    <cellStyle name="20% - Accent5 2 2 7 2" xfId="6607" xr:uid="{00000000-0005-0000-0000-0000A9020000}"/>
    <cellStyle name="20% - Accent5 2 2 7 2 2" xfId="15036" xr:uid="{6C56343D-0769-49D2-A9B4-3E822D208B58}"/>
    <cellStyle name="20% - Accent5 2 2 7 3" xfId="10818" xr:uid="{FC7AFD5C-6E44-434C-9B1B-9A0B9B5FB686}"/>
    <cellStyle name="20% - Accent5 2 2 8" xfId="4541" xr:uid="{00000000-0005-0000-0000-0000AA020000}"/>
    <cellStyle name="20% - Accent5 2 2 8 2" xfId="12970" xr:uid="{DE4E2B0B-F43F-4193-9547-D199ADECDB82}"/>
    <cellStyle name="20% - Accent5 2 2 9" xfId="8752" xr:uid="{517A038B-BE1E-4C4D-B673-C52BFD2D51CD}"/>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15DA4D0B-A6AE-4A7F-B6A2-71406035E8BF}"/>
    <cellStyle name="20% - Accent5 2 3 2 2 3" xfId="11313" xr:uid="{885DF12F-7114-4F61-9373-55549685EE83}"/>
    <cellStyle name="20% - Accent5 2 3 2 3" xfId="4957" xr:uid="{00000000-0005-0000-0000-0000AF020000}"/>
    <cellStyle name="20% - Accent5 2 3 2 3 2" xfId="13386" xr:uid="{45363A55-714B-4C7A-8DBC-34B9CB398CA5}"/>
    <cellStyle name="20% - Accent5 2 3 2 4" xfId="9168" xr:uid="{881E41EA-2386-414C-B7C9-1896B62825DD}"/>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5E6928BF-2F68-4086-8AC4-94DCC4466076}"/>
    <cellStyle name="20% - Accent5 2 3 3 2 3" xfId="11726" xr:uid="{D6106ADB-EF55-4258-8C17-B15BC3E35A34}"/>
    <cellStyle name="20% - Accent5 2 3 3 3" xfId="5370" xr:uid="{00000000-0005-0000-0000-0000B3020000}"/>
    <cellStyle name="20% - Accent5 2 3 3 3 2" xfId="13799" xr:uid="{5B141AA9-C217-4E26-AF59-290A492F2947}"/>
    <cellStyle name="20% - Accent5 2 3 3 4" xfId="9581" xr:uid="{7D81EF92-5BBB-4280-8F5C-17A440467EEC}"/>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3B8703A2-07B4-4772-B848-FBA950BD0F1F}"/>
    <cellStyle name="20% - Accent5 2 3 4 2 3" xfId="12139" xr:uid="{B22636C2-AE2B-44E7-865E-E52E300F4408}"/>
    <cellStyle name="20% - Accent5 2 3 4 3" xfId="5783" xr:uid="{00000000-0005-0000-0000-0000B7020000}"/>
    <cellStyle name="20% - Accent5 2 3 4 3 2" xfId="14212" xr:uid="{17EF28E3-1CF9-487B-906E-B55EC165BBBD}"/>
    <cellStyle name="20% - Accent5 2 3 4 4" xfId="9994" xr:uid="{C2F403E0-0735-4BDF-8C37-93D700B5664D}"/>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CE929090-8762-4899-840A-B7E6089D5809}"/>
    <cellStyle name="20% - Accent5 2 3 5 2 3" xfId="12552" xr:uid="{8173A9F7-8BB7-4BBF-875B-7553966FC9E9}"/>
    <cellStyle name="20% - Accent5 2 3 5 3" xfId="6196" xr:uid="{00000000-0005-0000-0000-0000BB020000}"/>
    <cellStyle name="20% - Accent5 2 3 5 3 2" xfId="14625" xr:uid="{8E0F84D1-649A-4AD6-92F3-7ED0DADFA38D}"/>
    <cellStyle name="20% - Accent5 2 3 5 4" xfId="10407" xr:uid="{32CDEE4E-5DA4-44B2-8768-FA9C684D7CC7}"/>
    <cellStyle name="20% - Accent5 2 3 6" xfId="2301" xr:uid="{00000000-0005-0000-0000-0000BC020000}"/>
    <cellStyle name="20% - Accent5 2 3 6 2" xfId="6609" xr:uid="{00000000-0005-0000-0000-0000BD020000}"/>
    <cellStyle name="20% - Accent5 2 3 6 2 2" xfId="15038" xr:uid="{8D9B0416-2534-4822-BBD7-11D467FAFC7F}"/>
    <cellStyle name="20% - Accent5 2 3 6 3" xfId="10820" xr:uid="{B9DBA894-01C8-473A-89BC-C12DDAAEAAA0}"/>
    <cellStyle name="20% - Accent5 2 3 7" xfId="4543" xr:uid="{00000000-0005-0000-0000-0000BE020000}"/>
    <cellStyle name="20% - Accent5 2 3 7 2" xfId="12972" xr:uid="{03457844-CC7C-4A55-B03D-4883E11077A6}"/>
    <cellStyle name="20% - Accent5 2 3 8" xfId="8754" xr:uid="{71B5C35C-3A90-4956-9DCA-684976178E6D}"/>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42751EA0-D113-49D8-BF02-70705E432FB4}"/>
    <cellStyle name="20% - Accent5 2 4 2 3" xfId="11310" xr:uid="{296FFE3A-628A-4004-9F7E-D15A8F6FAA18}"/>
    <cellStyle name="20% - Accent5 2 4 3" xfId="4954" xr:uid="{00000000-0005-0000-0000-0000C2020000}"/>
    <cellStyle name="20% - Accent5 2 4 3 2" xfId="13383" xr:uid="{5F92AA29-88C4-44E4-964B-15E370FEA621}"/>
    <cellStyle name="20% - Accent5 2 4 4" xfId="9165" xr:uid="{984F9CAC-E385-4B89-9893-794E372D5F9F}"/>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64F00000-B9B2-4186-9C80-DB67A1DAFEB0}"/>
    <cellStyle name="20% - Accent5 2 5 2 3" xfId="11723" xr:uid="{3B4EF4E3-6974-4684-BF29-6AF9EE5F985F}"/>
    <cellStyle name="20% - Accent5 2 5 3" xfId="5367" xr:uid="{00000000-0005-0000-0000-0000C6020000}"/>
    <cellStyle name="20% - Accent5 2 5 3 2" xfId="13796" xr:uid="{F8479B75-38AC-411D-95B6-805457CE6766}"/>
    <cellStyle name="20% - Accent5 2 5 4" xfId="9578" xr:uid="{AF5B8E7E-3762-42B6-8389-A8F217DEC1CD}"/>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33F9C21D-CB93-42B2-BAEB-516E3FC6FF75}"/>
    <cellStyle name="20% - Accent5 2 6 2 3" xfId="12136" xr:uid="{5AFF38B8-333C-47EF-98B0-4212A03DBE88}"/>
    <cellStyle name="20% - Accent5 2 6 3" xfId="5780" xr:uid="{00000000-0005-0000-0000-0000CA020000}"/>
    <cellStyle name="20% - Accent5 2 6 3 2" xfId="14209" xr:uid="{45A91F58-17EA-47B5-B7FA-E990F5FBBA72}"/>
    <cellStyle name="20% - Accent5 2 6 4" xfId="9991" xr:uid="{D895EE07-09AC-4EB0-B2EB-95833303608C}"/>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D8A59037-7F0E-40B3-AFB4-937F21135B93}"/>
    <cellStyle name="20% - Accent5 2 7 2 3" xfId="12549" xr:uid="{C040513D-405B-435C-8971-0CFB3DB48777}"/>
    <cellStyle name="20% - Accent5 2 7 3" xfId="6193" xr:uid="{00000000-0005-0000-0000-0000CE020000}"/>
    <cellStyle name="20% - Accent5 2 7 3 2" xfId="14622" xr:uid="{1C825507-C8BF-43C9-A1C5-B2DB7363B3E8}"/>
    <cellStyle name="20% - Accent5 2 7 4" xfId="10404" xr:uid="{1653DEB9-35E2-427E-9B20-89BB13EDEC02}"/>
    <cellStyle name="20% - Accent5 2 8" xfId="2298" xr:uid="{00000000-0005-0000-0000-0000CF020000}"/>
    <cellStyle name="20% - Accent5 2 8 2" xfId="6606" xr:uid="{00000000-0005-0000-0000-0000D0020000}"/>
    <cellStyle name="20% - Accent5 2 8 2 2" xfId="15035" xr:uid="{03B1B9DA-15BC-4625-B00A-96C9EC250AB7}"/>
    <cellStyle name="20% - Accent5 2 8 3" xfId="10817" xr:uid="{977A6A7F-FD53-4A6F-87E2-474CD55F9784}"/>
    <cellStyle name="20% - Accent5 2 9" xfId="4540" xr:uid="{00000000-0005-0000-0000-0000D1020000}"/>
    <cellStyle name="20% - Accent5 2 9 2" xfId="12969" xr:uid="{FD38CCB8-3FE0-4D38-B9CB-5C249F7BF60D}"/>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B44FC69F-1850-461D-B5A4-9C4A6ABED5A5}"/>
    <cellStyle name="20% - Accent5 3 2 2 2 3" xfId="11315" xr:uid="{0E18054D-B9BA-459B-AE7B-6A1504699BB2}"/>
    <cellStyle name="20% - Accent5 3 2 2 3" xfId="4959" xr:uid="{00000000-0005-0000-0000-0000D7020000}"/>
    <cellStyle name="20% - Accent5 3 2 2 3 2" xfId="13388" xr:uid="{29A8A3E1-488E-49AA-8443-4967BF02E2B1}"/>
    <cellStyle name="20% - Accent5 3 2 2 4" xfId="9170" xr:uid="{7419D0AA-ED44-4A17-9072-9BE22ACECD7E}"/>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2618DAD1-A116-47E8-BC2E-E4F257D7A8ED}"/>
    <cellStyle name="20% - Accent5 3 2 3 2 3" xfId="11728" xr:uid="{41675835-C997-4FD4-869A-A73A3FEC7A39}"/>
    <cellStyle name="20% - Accent5 3 2 3 3" xfId="5372" xr:uid="{00000000-0005-0000-0000-0000DB020000}"/>
    <cellStyle name="20% - Accent5 3 2 3 3 2" xfId="13801" xr:uid="{B8D0CC49-A9C2-41F6-8C5F-0FB5AF1DB421}"/>
    <cellStyle name="20% - Accent5 3 2 3 4" xfId="9583" xr:uid="{767CAD61-B1D1-401D-8DB6-4E097A5CF3CB}"/>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1962D925-AC85-4D75-85E7-ABA366E14247}"/>
    <cellStyle name="20% - Accent5 3 2 4 2 3" xfId="12141" xr:uid="{4DDC5F33-8AFF-4046-ACE0-6634B37ADA6B}"/>
    <cellStyle name="20% - Accent5 3 2 4 3" xfId="5785" xr:uid="{00000000-0005-0000-0000-0000DF020000}"/>
    <cellStyle name="20% - Accent5 3 2 4 3 2" xfId="14214" xr:uid="{D7164BC4-26B2-456A-B2B6-9E45FA654CC1}"/>
    <cellStyle name="20% - Accent5 3 2 4 4" xfId="9996" xr:uid="{D397BCB9-237C-4DA0-87F0-2F956DC396E1}"/>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7BA68A1D-7055-4D27-B6D1-EEB193FE7A6C}"/>
    <cellStyle name="20% - Accent5 3 2 5 2 3" xfId="12554" xr:uid="{345CB907-DE07-4CE7-BF60-A8E5ABEE57AE}"/>
    <cellStyle name="20% - Accent5 3 2 5 3" xfId="6198" xr:uid="{00000000-0005-0000-0000-0000E3020000}"/>
    <cellStyle name="20% - Accent5 3 2 5 3 2" xfId="14627" xr:uid="{E04963D1-E769-4EC6-9194-9BCCE71A77AA}"/>
    <cellStyle name="20% - Accent5 3 2 5 4" xfId="10409" xr:uid="{AB3125B1-DD0D-4B72-8703-56F9A35D4EF1}"/>
    <cellStyle name="20% - Accent5 3 2 6" xfId="2303" xr:uid="{00000000-0005-0000-0000-0000E4020000}"/>
    <cellStyle name="20% - Accent5 3 2 6 2" xfId="6611" xr:uid="{00000000-0005-0000-0000-0000E5020000}"/>
    <cellStyle name="20% - Accent5 3 2 6 2 2" xfId="15040" xr:uid="{8CA8FCEA-88BC-410F-8FDB-3CE1634AD203}"/>
    <cellStyle name="20% - Accent5 3 2 6 3" xfId="10822" xr:uid="{5DF81832-B3B4-44BC-890C-3AF828AAED7C}"/>
    <cellStyle name="20% - Accent5 3 2 7" xfId="4545" xr:uid="{00000000-0005-0000-0000-0000E6020000}"/>
    <cellStyle name="20% - Accent5 3 2 7 2" xfId="12974" xr:uid="{F96C540B-1897-47CA-8DAA-3CE896F05442}"/>
    <cellStyle name="20% - Accent5 3 2 8" xfId="8756" xr:uid="{CC069C39-DE8F-4B8C-93B8-567AA0CBB71D}"/>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08B0D74E-5B1E-48F8-9F3D-7AB60E511E8C}"/>
    <cellStyle name="20% - Accent5 3 3 2 3" xfId="11314" xr:uid="{75FD6ED8-2B49-492F-9519-02485020AB8B}"/>
    <cellStyle name="20% - Accent5 3 3 3" xfId="4958" xr:uid="{00000000-0005-0000-0000-0000EA020000}"/>
    <cellStyle name="20% - Accent5 3 3 3 2" xfId="13387" xr:uid="{0E5A6514-67A5-4838-AC77-56C66AC5AD3D}"/>
    <cellStyle name="20% - Accent5 3 3 4" xfId="9169" xr:uid="{CE8680D3-1A0B-4466-B301-3B2A1BFF8077}"/>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79DFA5CD-EE8D-4377-A9A6-EEE5EFE6E663}"/>
    <cellStyle name="20% - Accent5 3 4 2 3" xfId="11727" xr:uid="{61D2CBB2-63E1-4CAD-B610-5207A9862F32}"/>
    <cellStyle name="20% - Accent5 3 4 3" xfId="5371" xr:uid="{00000000-0005-0000-0000-0000EE020000}"/>
    <cellStyle name="20% - Accent5 3 4 3 2" xfId="13800" xr:uid="{69D541CC-90DE-460D-8511-726851D2567F}"/>
    <cellStyle name="20% - Accent5 3 4 4" xfId="9582" xr:uid="{768385EB-1C10-4ED0-8C99-3957A44B3B8C}"/>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92EE91F0-5B56-456C-A56B-EF92628D9157}"/>
    <cellStyle name="20% - Accent5 3 5 2 3" xfId="12140" xr:uid="{5C32526F-488A-4394-84F7-B4592347B416}"/>
    <cellStyle name="20% - Accent5 3 5 3" xfId="5784" xr:uid="{00000000-0005-0000-0000-0000F2020000}"/>
    <cellStyle name="20% - Accent5 3 5 3 2" xfId="14213" xr:uid="{077D3C41-EB97-4297-A907-FE471D1668A7}"/>
    <cellStyle name="20% - Accent5 3 5 4" xfId="9995" xr:uid="{3AF67B87-EA0C-409D-9CB2-B55C5166453B}"/>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55FA6F0B-4386-417F-BF84-959D02BC5C46}"/>
    <cellStyle name="20% - Accent5 3 6 2 3" xfId="12553" xr:uid="{96BC0AF7-1360-415E-8B6D-664F8BFB18E6}"/>
    <cellStyle name="20% - Accent5 3 6 3" xfId="6197" xr:uid="{00000000-0005-0000-0000-0000F6020000}"/>
    <cellStyle name="20% - Accent5 3 6 3 2" xfId="14626" xr:uid="{2A356471-A01B-47A8-8F0A-C14CCB5FE7A2}"/>
    <cellStyle name="20% - Accent5 3 6 4" xfId="10408" xr:uid="{991FD52B-BE34-4F2C-98BC-F882D1D19C39}"/>
    <cellStyle name="20% - Accent5 3 7" xfId="2302" xr:uid="{00000000-0005-0000-0000-0000F7020000}"/>
    <cellStyle name="20% - Accent5 3 7 2" xfId="6610" xr:uid="{00000000-0005-0000-0000-0000F8020000}"/>
    <cellStyle name="20% - Accent5 3 7 2 2" xfId="15039" xr:uid="{FD070831-A2E8-42DC-9298-878CC9B54186}"/>
    <cellStyle name="20% - Accent5 3 7 3" xfId="10821" xr:uid="{11D77AB6-A0CC-4E4F-B4F3-6F720890C542}"/>
    <cellStyle name="20% - Accent5 3 8" xfId="4544" xr:uid="{00000000-0005-0000-0000-0000F9020000}"/>
    <cellStyle name="20% - Accent5 3 8 2" xfId="12973" xr:uid="{9B606331-9516-4651-B238-C07EDB98CEF0}"/>
    <cellStyle name="20% - Accent5 3 9" xfId="8755" xr:uid="{56E3D99F-1BAD-457D-A5CC-0AB365C95D54}"/>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7CDDCAC8-93F4-44F8-8F4E-D827E1E0BEC8}"/>
    <cellStyle name="20% - Accent5 4 2 2 3" xfId="11316" xr:uid="{30698A4F-64C7-434C-AB95-416DA0ADFF74}"/>
    <cellStyle name="20% - Accent5 4 2 3" xfId="4960" xr:uid="{00000000-0005-0000-0000-0000FE020000}"/>
    <cellStyle name="20% - Accent5 4 2 3 2" xfId="13389" xr:uid="{1A4C1EB8-6C2D-4380-84A2-48B42868D28B}"/>
    <cellStyle name="20% - Accent5 4 2 4" xfId="9171" xr:uid="{810A9A3F-CA07-4C31-B1C6-AA085E1EC661}"/>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46775340-6A33-4CA1-AE4A-8EBD77B2B8B1}"/>
    <cellStyle name="20% - Accent5 4 3 2 3" xfId="11729" xr:uid="{7BAE2C39-A165-4F65-8F5C-312DAB0BA405}"/>
    <cellStyle name="20% - Accent5 4 3 3" xfId="5373" xr:uid="{00000000-0005-0000-0000-000002030000}"/>
    <cellStyle name="20% - Accent5 4 3 3 2" xfId="13802" xr:uid="{25D12781-47EE-419F-8A8D-A17435E2F799}"/>
    <cellStyle name="20% - Accent5 4 3 4" xfId="9584" xr:uid="{FD4DD631-0FB4-46D2-9EF9-F81FB56D97FC}"/>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E8D17FDD-56DD-4A1D-9BE2-5AB9890D07F9}"/>
    <cellStyle name="20% - Accent5 4 4 2 3" xfId="12142" xr:uid="{63EAEF40-2A11-43B9-AE90-8D37F7F9914D}"/>
    <cellStyle name="20% - Accent5 4 4 3" xfId="5786" xr:uid="{00000000-0005-0000-0000-000006030000}"/>
    <cellStyle name="20% - Accent5 4 4 3 2" xfId="14215" xr:uid="{19353DC2-FEE9-4AE0-9557-6E38F8090738}"/>
    <cellStyle name="20% - Accent5 4 4 4" xfId="9997" xr:uid="{E4F4A012-1D00-4CA1-A760-5DCB9B10E64A}"/>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55E5848E-22D0-4BF7-90DD-A71751FBEDE2}"/>
    <cellStyle name="20% - Accent5 4 5 2 3" xfId="12555" xr:uid="{8ECA9C1E-50A2-47F1-ACBC-0F3829476FB4}"/>
    <cellStyle name="20% - Accent5 4 5 3" xfId="6199" xr:uid="{00000000-0005-0000-0000-00000A030000}"/>
    <cellStyle name="20% - Accent5 4 5 3 2" xfId="14628" xr:uid="{C6738782-0296-4E02-B58B-C9FB75D96CD9}"/>
    <cellStyle name="20% - Accent5 4 5 4" xfId="10410" xr:uid="{CC92A984-EF6D-4474-9319-9911EE8AE92D}"/>
    <cellStyle name="20% - Accent5 4 6" xfId="2304" xr:uid="{00000000-0005-0000-0000-00000B030000}"/>
    <cellStyle name="20% - Accent5 4 6 2" xfId="6612" xr:uid="{00000000-0005-0000-0000-00000C030000}"/>
    <cellStyle name="20% - Accent5 4 6 2 2" xfId="15041" xr:uid="{E6DB982B-E5AB-417D-B78C-D3A138F04327}"/>
    <cellStyle name="20% - Accent5 4 6 3" xfId="10823" xr:uid="{05B6DC1E-597C-4F5A-B83B-F67187FC5B6F}"/>
    <cellStyle name="20% - Accent5 4 7" xfId="4546" xr:uid="{00000000-0005-0000-0000-00000D030000}"/>
    <cellStyle name="20% - Accent5 4 7 2" xfId="12975" xr:uid="{9D11C1ED-3795-434B-897B-188D8B83FDFF}"/>
    <cellStyle name="20% - Accent5 4 8" xfId="8757" xr:uid="{5B40DB85-682E-400F-9866-48C7F41E0B17}"/>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8582DFE7-DAE4-4FB9-AA98-62098B08D5E2}"/>
    <cellStyle name="20% - Accent5 5 2 3" xfId="11309" xr:uid="{5E3EFBD2-71AB-4389-A719-D41B7DFB3641}"/>
    <cellStyle name="20% - Accent5 5 3" xfId="4953" xr:uid="{00000000-0005-0000-0000-000011030000}"/>
    <cellStyle name="20% - Accent5 5 3 2" xfId="13382" xr:uid="{66F6F0A1-BD18-4AE9-B0B9-6C6C842FF454}"/>
    <cellStyle name="20% - Accent5 5 4" xfId="9164" xr:uid="{42639F7B-ACD0-4B1E-BBF4-0000A19B6CD5}"/>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070FF675-AF77-4F63-8303-D8F83D609E58}"/>
    <cellStyle name="20% - Accent5 6 2 3" xfId="11722" xr:uid="{966D4BD8-834F-40F7-BBB9-64345325B98B}"/>
    <cellStyle name="20% - Accent5 6 3" xfId="5366" xr:uid="{00000000-0005-0000-0000-000015030000}"/>
    <cellStyle name="20% - Accent5 6 3 2" xfId="13795" xr:uid="{835B3208-66B0-4ED0-968E-ACB5460914B9}"/>
    <cellStyle name="20% - Accent5 6 4" xfId="9577" xr:uid="{FE77FC8F-EC0E-4E9D-A137-C2D411174305}"/>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D6F6F6B1-AC06-4320-B7EE-07DA5AABF4E9}"/>
    <cellStyle name="20% - Accent5 7 2 3" xfId="12135" xr:uid="{002F556C-9F7F-4907-8BD9-6B0A373656F6}"/>
    <cellStyle name="20% - Accent5 7 3" xfId="5779" xr:uid="{00000000-0005-0000-0000-000019030000}"/>
    <cellStyle name="20% - Accent5 7 3 2" xfId="14208" xr:uid="{7F2F5FF4-C8A9-4BA2-A1BF-60DF9A8C07F8}"/>
    <cellStyle name="20% - Accent5 7 4" xfId="9990" xr:uid="{E0E41032-2FB9-4C94-87EA-E31AD277B313}"/>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F153F871-3A35-48EE-887E-AAF739AE4D6D}"/>
    <cellStyle name="20% - Accent5 8 2 3" xfId="12548" xr:uid="{958C5A6A-3EC0-434A-8FAD-4C1E319D111A}"/>
    <cellStyle name="20% - Accent5 8 3" xfId="6192" xr:uid="{00000000-0005-0000-0000-00001D030000}"/>
    <cellStyle name="20% - Accent5 8 3 2" xfId="14621" xr:uid="{331FF378-31F2-40B9-98F1-FD57CFD55ED8}"/>
    <cellStyle name="20% - Accent5 8 4" xfId="10403" xr:uid="{DE8C05F2-DBB0-4538-809F-CB17D18C367C}"/>
    <cellStyle name="20% - Accent5 9" xfId="2297" xr:uid="{00000000-0005-0000-0000-00001E030000}"/>
    <cellStyle name="20% - Accent5 9 2" xfId="6605" xr:uid="{00000000-0005-0000-0000-00001F030000}"/>
    <cellStyle name="20% - Accent5 9 2 2" xfId="15034" xr:uid="{D5EC2994-6FD7-42AE-8FE7-EDA6C0027511}"/>
    <cellStyle name="20% - Accent5 9 3" xfId="10816" xr:uid="{ECE3CD4C-EDAD-4DAD-8149-DA6EE2037A51}"/>
    <cellStyle name="20% - Accent6" xfId="41" builtinId="50" customBuiltin="1"/>
    <cellStyle name="20% - Accent6 10" xfId="4547" xr:uid="{00000000-0005-0000-0000-000021030000}"/>
    <cellStyle name="20% - Accent6 10 2" xfId="12976" xr:uid="{FB908227-F9F0-431A-9A78-D14C7921061D}"/>
    <cellStyle name="20% - Accent6 11" xfId="8758" xr:uid="{8278DE2D-6770-447B-9962-48B0B980F9EA}"/>
    <cellStyle name="20% - Accent6 2" xfId="42" xr:uid="{00000000-0005-0000-0000-000022030000}"/>
    <cellStyle name="20% - Accent6 2 10" xfId="8759" xr:uid="{8951E6CD-CD2C-4849-AC5C-756678F097AC}"/>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5A2EBF2B-5294-4F9E-A77F-418CD384ABA7}"/>
    <cellStyle name="20% - Accent6 2 2 2 2 2 3" xfId="11320" xr:uid="{1B2158FC-A22C-4866-B38D-20426FFF1886}"/>
    <cellStyle name="20% - Accent6 2 2 2 2 3" xfId="4964" xr:uid="{00000000-0005-0000-0000-000028030000}"/>
    <cellStyle name="20% - Accent6 2 2 2 2 3 2" xfId="13393" xr:uid="{E28BD973-F0F2-4C96-A37C-6FE944EA0DD7}"/>
    <cellStyle name="20% - Accent6 2 2 2 2 4" xfId="9175" xr:uid="{DA53E50E-0BCE-4F83-AA33-BA8B4D89C858}"/>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A9820029-28D5-417C-AB8C-907BC568494E}"/>
    <cellStyle name="20% - Accent6 2 2 2 3 2 3" xfId="11733" xr:uid="{D2F06535-3F15-4216-9259-0890709A2B7F}"/>
    <cellStyle name="20% - Accent6 2 2 2 3 3" xfId="5377" xr:uid="{00000000-0005-0000-0000-00002C030000}"/>
    <cellStyle name="20% - Accent6 2 2 2 3 3 2" xfId="13806" xr:uid="{C2B05BB5-E4F8-43B3-B20D-76B1AF42D7A9}"/>
    <cellStyle name="20% - Accent6 2 2 2 3 4" xfId="9588" xr:uid="{8C94447B-B41E-42A5-9281-93D0F6046108}"/>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A7276848-C79F-42FB-8BDA-370CCBDE7127}"/>
    <cellStyle name="20% - Accent6 2 2 2 4 2 3" xfId="12146" xr:uid="{B55CC615-12BF-4637-A462-C079A6A9F85E}"/>
    <cellStyle name="20% - Accent6 2 2 2 4 3" xfId="5790" xr:uid="{00000000-0005-0000-0000-000030030000}"/>
    <cellStyle name="20% - Accent6 2 2 2 4 3 2" xfId="14219" xr:uid="{6EFB67E4-FB4D-49DA-9590-56985E711FA0}"/>
    <cellStyle name="20% - Accent6 2 2 2 4 4" xfId="10001" xr:uid="{9B105852-E085-41B9-A0B7-824CA14F188D}"/>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12BF7239-F15D-47F7-8483-10CA246C3A29}"/>
    <cellStyle name="20% - Accent6 2 2 2 5 2 3" xfId="12559" xr:uid="{72358208-0656-49EF-AFFA-F555F7D9F6FB}"/>
    <cellStyle name="20% - Accent6 2 2 2 5 3" xfId="6203" xr:uid="{00000000-0005-0000-0000-000034030000}"/>
    <cellStyle name="20% - Accent6 2 2 2 5 3 2" xfId="14632" xr:uid="{206E8B9B-B14C-455D-B669-125AF7F0883A}"/>
    <cellStyle name="20% - Accent6 2 2 2 5 4" xfId="10414" xr:uid="{FD4891E4-2262-4B63-9BDE-1A57791264BE}"/>
    <cellStyle name="20% - Accent6 2 2 2 6" xfId="2308" xr:uid="{00000000-0005-0000-0000-000035030000}"/>
    <cellStyle name="20% - Accent6 2 2 2 6 2" xfId="6616" xr:uid="{00000000-0005-0000-0000-000036030000}"/>
    <cellStyle name="20% - Accent6 2 2 2 6 2 2" xfId="15045" xr:uid="{3F0AD9E2-CDC0-4BBF-835B-7D45DB3F12C3}"/>
    <cellStyle name="20% - Accent6 2 2 2 6 3" xfId="10827" xr:uid="{D2B4F746-D5C0-489C-848D-DC5D0898ADF4}"/>
    <cellStyle name="20% - Accent6 2 2 2 7" xfId="4550" xr:uid="{00000000-0005-0000-0000-000037030000}"/>
    <cellStyle name="20% - Accent6 2 2 2 7 2" xfId="12979" xr:uid="{3A66CBD9-25DC-4DE7-8B22-05CDAEE87DA7}"/>
    <cellStyle name="20% - Accent6 2 2 2 8" xfId="8761" xr:uid="{AC2A1952-CA13-4A23-A33B-940FF6486104}"/>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FFD46BAC-3F8D-434B-AD0E-4ABC260D797E}"/>
    <cellStyle name="20% - Accent6 2 2 3 2 3" xfId="11319" xr:uid="{3C9FE0C9-F46D-47B3-A5A2-7A8F7B72FD55}"/>
    <cellStyle name="20% - Accent6 2 2 3 3" xfId="4963" xr:uid="{00000000-0005-0000-0000-00003B030000}"/>
    <cellStyle name="20% - Accent6 2 2 3 3 2" xfId="13392" xr:uid="{40AE84D2-98EF-4375-8284-A0913C221367}"/>
    <cellStyle name="20% - Accent6 2 2 3 4" xfId="9174" xr:uid="{F3A9EA68-869E-4E80-AACC-9EACDCBEB0C0}"/>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2DD7599-623B-49C1-8A55-B6BD917522D9}"/>
    <cellStyle name="20% - Accent6 2 2 4 2 3" xfId="11732" xr:uid="{08EBD5F3-DB68-454F-9F4C-0E52228F15BB}"/>
    <cellStyle name="20% - Accent6 2 2 4 3" xfId="5376" xr:uid="{00000000-0005-0000-0000-00003F030000}"/>
    <cellStyle name="20% - Accent6 2 2 4 3 2" xfId="13805" xr:uid="{803443C5-2E27-4132-A6E1-4D6C83AAB783}"/>
    <cellStyle name="20% - Accent6 2 2 4 4" xfId="9587" xr:uid="{7FEABC55-3286-49E3-AAB0-A4235D2A9DEE}"/>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44F557C3-86D6-4F18-8AD7-56D9DD2EED06}"/>
    <cellStyle name="20% - Accent6 2 2 5 2 3" xfId="12145" xr:uid="{DEA157C4-4C26-479A-82C5-2EF33E4483DD}"/>
    <cellStyle name="20% - Accent6 2 2 5 3" xfId="5789" xr:uid="{00000000-0005-0000-0000-000043030000}"/>
    <cellStyle name="20% - Accent6 2 2 5 3 2" xfId="14218" xr:uid="{5A2E68AC-B048-4857-97A3-8EE7C9896E91}"/>
    <cellStyle name="20% - Accent6 2 2 5 4" xfId="10000" xr:uid="{FEA678D7-DE11-46BC-9D4D-DE1020FBAAF3}"/>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B4384B80-688E-42BE-B30F-0C4BFDA24B8A}"/>
    <cellStyle name="20% - Accent6 2 2 6 2 3" xfId="12558" xr:uid="{DF7D69DE-2D50-4EA1-8CB5-2C6B01D03B11}"/>
    <cellStyle name="20% - Accent6 2 2 6 3" xfId="6202" xr:uid="{00000000-0005-0000-0000-000047030000}"/>
    <cellStyle name="20% - Accent6 2 2 6 3 2" xfId="14631" xr:uid="{A94E7095-364F-4D65-92BE-8B76D5A71573}"/>
    <cellStyle name="20% - Accent6 2 2 6 4" xfId="10413" xr:uid="{14B2F70E-9034-4A86-961A-D29BDCEC51E7}"/>
    <cellStyle name="20% - Accent6 2 2 7" xfId="2307" xr:uid="{00000000-0005-0000-0000-000048030000}"/>
    <cellStyle name="20% - Accent6 2 2 7 2" xfId="6615" xr:uid="{00000000-0005-0000-0000-000049030000}"/>
    <cellStyle name="20% - Accent6 2 2 7 2 2" xfId="15044" xr:uid="{5B8B901D-3606-4A4A-932A-B0D8FA0A3530}"/>
    <cellStyle name="20% - Accent6 2 2 7 3" xfId="10826" xr:uid="{75729EBA-D444-4FDE-95FB-09759711A323}"/>
    <cellStyle name="20% - Accent6 2 2 8" xfId="4549" xr:uid="{00000000-0005-0000-0000-00004A030000}"/>
    <cellStyle name="20% - Accent6 2 2 8 2" xfId="12978" xr:uid="{CAEF4831-FDDD-45A7-A506-9CC48458DC66}"/>
    <cellStyle name="20% - Accent6 2 2 9" xfId="8760" xr:uid="{DF1A8FB1-1FFF-4897-8176-07C4B0DBC3E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3FEB5D95-790B-4212-935D-459DFD80F660}"/>
    <cellStyle name="20% - Accent6 2 3 2 2 3" xfId="11321" xr:uid="{9A52EE41-E185-4E07-A154-6391788495ED}"/>
    <cellStyle name="20% - Accent6 2 3 2 3" xfId="4965" xr:uid="{00000000-0005-0000-0000-00004F030000}"/>
    <cellStyle name="20% - Accent6 2 3 2 3 2" xfId="13394" xr:uid="{79094CE8-6560-4690-8F4A-F66121DD48B3}"/>
    <cellStyle name="20% - Accent6 2 3 2 4" xfId="9176" xr:uid="{EF1478F7-D6E4-43C8-AFEB-DB90A5DC71C3}"/>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0C51D33C-1993-407C-997E-805DD31DF9AB}"/>
    <cellStyle name="20% - Accent6 2 3 3 2 3" xfId="11734" xr:uid="{DA451605-9981-4BB0-B97B-688576F70F54}"/>
    <cellStyle name="20% - Accent6 2 3 3 3" xfId="5378" xr:uid="{00000000-0005-0000-0000-000053030000}"/>
    <cellStyle name="20% - Accent6 2 3 3 3 2" xfId="13807" xr:uid="{9D95D973-B297-4D33-B113-6F1FDFE5894C}"/>
    <cellStyle name="20% - Accent6 2 3 3 4" xfId="9589" xr:uid="{A0733B64-8590-42AE-AF96-15DB029E2FB6}"/>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56CD7BC1-03D8-434D-8CF9-FD1313BBECDC}"/>
    <cellStyle name="20% - Accent6 2 3 4 2 3" xfId="12147" xr:uid="{BA4918F5-FF1D-4E24-8BF9-4AE28353460B}"/>
    <cellStyle name="20% - Accent6 2 3 4 3" xfId="5791" xr:uid="{00000000-0005-0000-0000-000057030000}"/>
    <cellStyle name="20% - Accent6 2 3 4 3 2" xfId="14220" xr:uid="{7876E0A2-353E-4934-90AF-6281FCFA88CA}"/>
    <cellStyle name="20% - Accent6 2 3 4 4" xfId="10002" xr:uid="{53CFBBC8-E551-405B-972F-9E2636813AAA}"/>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AD5A3403-C014-4A65-B5CE-9EDF9B6C25B9}"/>
    <cellStyle name="20% - Accent6 2 3 5 2 3" xfId="12560" xr:uid="{2AB1394E-6851-4E17-A3B6-B0E598944AA9}"/>
    <cellStyle name="20% - Accent6 2 3 5 3" xfId="6204" xr:uid="{00000000-0005-0000-0000-00005B030000}"/>
    <cellStyle name="20% - Accent6 2 3 5 3 2" xfId="14633" xr:uid="{545B9401-959B-426F-A713-68AB7E6E95BD}"/>
    <cellStyle name="20% - Accent6 2 3 5 4" xfId="10415" xr:uid="{1F32102F-7D06-41E9-808C-D66558908794}"/>
    <cellStyle name="20% - Accent6 2 3 6" xfId="2309" xr:uid="{00000000-0005-0000-0000-00005C030000}"/>
    <cellStyle name="20% - Accent6 2 3 6 2" xfId="6617" xr:uid="{00000000-0005-0000-0000-00005D030000}"/>
    <cellStyle name="20% - Accent6 2 3 6 2 2" xfId="15046" xr:uid="{BF8F7616-1250-40FA-AC3D-0ED0C5A36D7B}"/>
    <cellStyle name="20% - Accent6 2 3 6 3" xfId="10828" xr:uid="{E0AA7B2F-7750-45B4-92ED-047548B6F5F5}"/>
    <cellStyle name="20% - Accent6 2 3 7" xfId="4551" xr:uid="{00000000-0005-0000-0000-00005E030000}"/>
    <cellStyle name="20% - Accent6 2 3 7 2" xfId="12980" xr:uid="{B24EEF59-018B-4665-8513-4103251B57DA}"/>
    <cellStyle name="20% - Accent6 2 3 8" xfId="8762" xr:uid="{AE8212D5-F922-4F32-9ED4-704D314F842E}"/>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E9EE4A0A-C827-4197-B811-B939FCD76AC2}"/>
    <cellStyle name="20% - Accent6 2 4 2 3" xfId="11318" xr:uid="{AAD6BCFF-8E73-439B-9ECA-B3503B22E6B7}"/>
    <cellStyle name="20% - Accent6 2 4 3" xfId="4962" xr:uid="{00000000-0005-0000-0000-000062030000}"/>
    <cellStyle name="20% - Accent6 2 4 3 2" xfId="13391" xr:uid="{910206A3-AC40-4524-834B-DBB797BF5123}"/>
    <cellStyle name="20% - Accent6 2 4 4" xfId="9173" xr:uid="{021B3C5A-B7E3-4221-BC18-85317F1B8AF1}"/>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EB74054D-F63C-40F9-BD43-8FBD23D2B5B7}"/>
    <cellStyle name="20% - Accent6 2 5 2 3" xfId="11731" xr:uid="{034A99CC-FA5A-4810-B346-17F7158BE912}"/>
    <cellStyle name="20% - Accent6 2 5 3" xfId="5375" xr:uid="{00000000-0005-0000-0000-000066030000}"/>
    <cellStyle name="20% - Accent6 2 5 3 2" xfId="13804" xr:uid="{968D41E8-6EA1-47C8-843C-33FD937E057A}"/>
    <cellStyle name="20% - Accent6 2 5 4" xfId="9586" xr:uid="{2D592329-E766-4260-9D44-334794E9C58E}"/>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609AAE8A-5613-42B3-BE10-74838CA73D46}"/>
    <cellStyle name="20% - Accent6 2 6 2 3" xfId="12144" xr:uid="{59E689AE-A576-4419-A2DF-3D7CC21D60E6}"/>
    <cellStyle name="20% - Accent6 2 6 3" xfId="5788" xr:uid="{00000000-0005-0000-0000-00006A030000}"/>
    <cellStyle name="20% - Accent6 2 6 3 2" xfId="14217" xr:uid="{0CD8FFDC-2D13-4B51-8CE7-623F8E9DB1A2}"/>
    <cellStyle name="20% - Accent6 2 6 4" xfId="9999" xr:uid="{9ECD72A1-5D2E-432E-A3CA-5DE96534AA81}"/>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FADDFCE3-77B3-4044-9CE1-C7D290B79B84}"/>
    <cellStyle name="20% - Accent6 2 7 2 3" xfId="12557" xr:uid="{5367DDDC-83BA-4DF3-9768-100A02E2959C}"/>
    <cellStyle name="20% - Accent6 2 7 3" xfId="6201" xr:uid="{00000000-0005-0000-0000-00006E030000}"/>
    <cellStyle name="20% - Accent6 2 7 3 2" xfId="14630" xr:uid="{59EF2A14-B187-4B63-97B5-5EF04300ED01}"/>
    <cellStyle name="20% - Accent6 2 7 4" xfId="10412" xr:uid="{22CE6564-4FEA-405D-B64D-025BA5ABEA42}"/>
    <cellStyle name="20% - Accent6 2 8" xfId="2306" xr:uid="{00000000-0005-0000-0000-00006F030000}"/>
    <cellStyle name="20% - Accent6 2 8 2" xfId="6614" xr:uid="{00000000-0005-0000-0000-000070030000}"/>
    <cellStyle name="20% - Accent6 2 8 2 2" xfId="15043" xr:uid="{6F469E8F-E512-44A3-B720-D7E13E8E6D22}"/>
    <cellStyle name="20% - Accent6 2 8 3" xfId="10825" xr:uid="{7E585739-1072-43EA-B976-900BC9836958}"/>
    <cellStyle name="20% - Accent6 2 9" xfId="4548" xr:uid="{00000000-0005-0000-0000-000071030000}"/>
    <cellStyle name="20% - Accent6 2 9 2" xfId="12977" xr:uid="{9559B966-7C47-4776-B7A9-48C035FC4DCF}"/>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662B59B8-AD48-460C-93A0-37AF9FE3E0CA}"/>
    <cellStyle name="20% - Accent6 3 2 2 2 3" xfId="11323" xr:uid="{18AD8152-361C-4ACE-8278-6083145C421C}"/>
    <cellStyle name="20% - Accent6 3 2 2 3" xfId="4967" xr:uid="{00000000-0005-0000-0000-000077030000}"/>
    <cellStyle name="20% - Accent6 3 2 2 3 2" xfId="13396" xr:uid="{16369D94-4606-4FFA-83BC-C97DCBC9B307}"/>
    <cellStyle name="20% - Accent6 3 2 2 4" xfId="9178" xr:uid="{89D46FD9-1148-4A32-BE44-91575848EBCC}"/>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57F01463-4E8A-4C67-AA76-C0DCC6C063D1}"/>
    <cellStyle name="20% - Accent6 3 2 3 2 3" xfId="11736" xr:uid="{12B2FEE1-E614-41CF-98D3-9431BE94B307}"/>
    <cellStyle name="20% - Accent6 3 2 3 3" xfId="5380" xr:uid="{00000000-0005-0000-0000-00007B030000}"/>
    <cellStyle name="20% - Accent6 3 2 3 3 2" xfId="13809" xr:uid="{2DF35D6E-D2F0-4210-AE8E-B7722A33337E}"/>
    <cellStyle name="20% - Accent6 3 2 3 4" xfId="9591" xr:uid="{CF51D7D4-E14E-42A0-AAE5-D5D6B341A46B}"/>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004D6FF1-1B3D-4AAF-8D52-8DAA75776550}"/>
    <cellStyle name="20% - Accent6 3 2 4 2 3" xfId="12149" xr:uid="{06B33F25-6CF0-48B7-9B67-E0A544162823}"/>
    <cellStyle name="20% - Accent6 3 2 4 3" xfId="5793" xr:uid="{00000000-0005-0000-0000-00007F030000}"/>
    <cellStyle name="20% - Accent6 3 2 4 3 2" xfId="14222" xr:uid="{8B6DAF6E-5AB1-4B28-93E9-E2234EDDE3BF}"/>
    <cellStyle name="20% - Accent6 3 2 4 4" xfId="10004" xr:uid="{31C2DDB1-A34E-424D-8877-14D598B6E52E}"/>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283B927-AF34-4C79-B0FE-64233D2AA8CD}"/>
    <cellStyle name="20% - Accent6 3 2 5 2 3" xfId="12562" xr:uid="{73DE96BA-7F3C-4DDE-AD67-D37C3B2F0B72}"/>
    <cellStyle name="20% - Accent6 3 2 5 3" xfId="6206" xr:uid="{00000000-0005-0000-0000-000083030000}"/>
    <cellStyle name="20% - Accent6 3 2 5 3 2" xfId="14635" xr:uid="{D012E552-4C19-440A-9192-B42F3935AB98}"/>
    <cellStyle name="20% - Accent6 3 2 5 4" xfId="10417" xr:uid="{F2D58245-1FEE-4095-B059-82BDA5F33347}"/>
    <cellStyle name="20% - Accent6 3 2 6" xfId="2311" xr:uid="{00000000-0005-0000-0000-000084030000}"/>
    <cellStyle name="20% - Accent6 3 2 6 2" xfId="6619" xr:uid="{00000000-0005-0000-0000-000085030000}"/>
    <cellStyle name="20% - Accent6 3 2 6 2 2" xfId="15048" xr:uid="{399BF12C-FC0B-4FE0-A3B5-F8E634DAA497}"/>
    <cellStyle name="20% - Accent6 3 2 6 3" xfId="10830" xr:uid="{3169D8AF-CEE2-488D-9044-A38D4A09DE99}"/>
    <cellStyle name="20% - Accent6 3 2 7" xfId="4553" xr:uid="{00000000-0005-0000-0000-000086030000}"/>
    <cellStyle name="20% - Accent6 3 2 7 2" xfId="12982" xr:uid="{9FF88A44-EFD4-4BF3-9486-4EF7A13173FE}"/>
    <cellStyle name="20% - Accent6 3 2 8" xfId="8764" xr:uid="{4FC6A5EB-90FF-4D50-905D-DBE0923EED2A}"/>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CEB4DC9E-D2FD-4459-B9C3-93D20C166E8C}"/>
    <cellStyle name="20% - Accent6 3 3 2 3" xfId="11322" xr:uid="{F88972FC-F9F2-4E86-A260-7C8B6ABC56D8}"/>
    <cellStyle name="20% - Accent6 3 3 3" xfId="4966" xr:uid="{00000000-0005-0000-0000-00008A030000}"/>
    <cellStyle name="20% - Accent6 3 3 3 2" xfId="13395" xr:uid="{C2027557-282E-4433-BF16-7DA785598A4B}"/>
    <cellStyle name="20% - Accent6 3 3 4" xfId="9177" xr:uid="{C630115B-7598-4489-A4AA-4B041CBFA4DE}"/>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4BA14B91-0294-4524-900C-A66794513941}"/>
    <cellStyle name="20% - Accent6 3 4 2 3" xfId="11735" xr:uid="{BE75ADBF-3FC8-4BC3-A9AD-84695DE91C5E}"/>
    <cellStyle name="20% - Accent6 3 4 3" xfId="5379" xr:uid="{00000000-0005-0000-0000-00008E030000}"/>
    <cellStyle name="20% - Accent6 3 4 3 2" xfId="13808" xr:uid="{18BEF9D0-E7C8-46DC-A32F-AE16208084AF}"/>
    <cellStyle name="20% - Accent6 3 4 4" xfId="9590" xr:uid="{37D34931-AD9D-470B-B63D-9DF73AF7C2F4}"/>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2FEA6285-3D24-44AD-8CF2-060AA152EB04}"/>
    <cellStyle name="20% - Accent6 3 5 2 3" xfId="12148" xr:uid="{0FA45088-E865-4CD0-A1E3-22F9D45B0949}"/>
    <cellStyle name="20% - Accent6 3 5 3" xfId="5792" xr:uid="{00000000-0005-0000-0000-000092030000}"/>
    <cellStyle name="20% - Accent6 3 5 3 2" xfId="14221" xr:uid="{B725A28E-DAA6-4C32-9014-E695F7B704E0}"/>
    <cellStyle name="20% - Accent6 3 5 4" xfId="10003" xr:uid="{2CF0F5AB-0A8F-448D-BEA6-D40860409AAA}"/>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C5024D3D-72A7-4711-A53E-FA9F393C76E1}"/>
    <cellStyle name="20% - Accent6 3 6 2 3" xfId="12561" xr:uid="{B41DBDEE-0856-4D8A-844A-04845100058B}"/>
    <cellStyle name="20% - Accent6 3 6 3" xfId="6205" xr:uid="{00000000-0005-0000-0000-000096030000}"/>
    <cellStyle name="20% - Accent6 3 6 3 2" xfId="14634" xr:uid="{EB71C89F-66D9-4D0B-8CC8-53EDB522A4A1}"/>
    <cellStyle name="20% - Accent6 3 6 4" xfId="10416" xr:uid="{E152D0AA-E72A-49C6-995D-28755FE007F5}"/>
    <cellStyle name="20% - Accent6 3 7" xfId="2310" xr:uid="{00000000-0005-0000-0000-000097030000}"/>
    <cellStyle name="20% - Accent6 3 7 2" xfId="6618" xr:uid="{00000000-0005-0000-0000-000098030000}"/>
    <cellStyle name="20% - Accent6 3 7 2 2" xfId="15047" xr:uid="{D8609E59-1495-4D4C-9386-90887F9328E2}"/>
    <cellStyle name="20% - Accent6 3 7 3" xfId="10829" xr:uid="{F89F7D48-2445-40FA-9095-D81D9A5D672D}"/>
    <cellStyle name="20% - Accent6 3 8" xfId="4552" xr:uid="{00000000-0005-0000-0000-000099030000}"/>
    <cellStyle name="20% - Accent6 3 8 2" xfId="12981" xr:uid="{9C8C5EF0-C014-4854-B894-A24BED24F6C0}"/>
    <cellStyle name="20% - Accent6 3 9" xfId="8763" xr:uid="{7620AD20-9BDB-42A0-BC41-43D4103ACB2E}"/>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63A99DEE-2523-4396-8268-5D8116F8AF36}"/>
    <cellStyle name="20% - Accent6 4 2 2 3" xfId="11324" xr:uid="{CE39CD02-588A-420D-A0CE-CA36889C6DFA}"/>
    <cellStyle name="20% - Accent6 4 2 3" xfId="4968" xr:uid="{00000000-0005-0000-0000-00009E030000}"/>
    <cellStyle name="20% - Accent6 4 2 3 2" xfId="13397" xr:uid="{1692DEC0-394F-41BD-882F-918E389007A2}"/>
    <cellStyle name="20% - Accent6 4 2 4" xfId="9179" xr:uid="{7B205DB5-B552-4DAC-8DA2-223C753A719F}"/>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8C2CCC65-88FA-4897-9E5F-44E846EB1571}"/>
    <cellStyle name="20% - Accent6 4 3 2 3" xfId="11737" xr:uid="{E73C4505-2CC1-4A2B-9096-39F70FAC7191}"/>
    <cellStyle name="20% - Accent6 4 3 3" xfId="5381" xr:uid="{00000000-0005-0000-0000-0000A2030000}"/>
    <cellStyle name="20% - Accent6 4 3 3 2" xfId="13810" xr:uid="{C7329F7B-4B01-4ABC-9E53-10A7B0548F8B}"/>
    <cellStyle name="20% - Accent6 4 3 4" xfId="9592" xr:uid="{FD9AE474-BD0E-4F55-9134-38721A351C3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86DC54F3-B7E3-421C-BEFC-8076B0B1FFE6}"/>
    <cellStyle name="20% - Accent6 4 4 2 3" xfId="12150" xr:uid="{1ECDC74D-FC10-45CF-A8A8-9B02CA7E1BCD}"/>
    <cellStyle name="20% - Accent6 4 4 3" xfId="5794" xr:uid="{00000000-0005-0000-0000-0000A6030000}"/>
    <cellStyle name="20% - Accent6 4 4 3 2" xfId="14223" xr:uid="{CC430AF9-9A94-48CB-8BE8-972C8A881C08}"/>
    <cellStyle name="20% - Accent6 4 4 4" xfId="10005" xr:uid="{FDCB6CE5-85B4-4CE5-B5C1-F2522154674C}"/>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3305AF60-BF8B-46C4-A2CF-5E60B43A8AC6}"/>
    <cellStyle name="20% - Accent6 4 5 2 3" xfId="12563" xr:uid="{1D1234A1-509B-4447-B35C-225E29B7120D}"/>
    <cellStyle name="20% - Accent6 4 5 3" xfId="6207" xr:uid="{00000000-0005-0000-0000-0000AA030000}"/>
    <cellStyle name="20% - Accent6 4 5 3 2" xfId="14636" xr:uid="{91727720-FA9F-4EA5-B977-35079B996EE0}"/>
    <cellStyle name="20% - Accent6 4 5 4" xfId="10418" xr:uid="{142C1AFB-3CAB-439E-82D0-17976EC8891F}"/>
    <cellStyle name="20% - Accent6 4 6" xfId="2312" xr:uid="{00000000-0005-0000-0000-0000AB030000}"/>
    <cellStyle name="20% - Accent6 4 6 2" xfId="6620" xr:uid="{00000000-0005-0000-0000-0000AC030000}"/>
    <cellStyle name="20% - Accent6 4 6 2 2" xfId="15049" xr:uid="{D8425A04-949E-4890-A8A7-B1A993ACC6F2}"/>
    <cellStyle name="20% - Accent6 4 6 3" xfId="10831" xr:uid="{AF15EBAC-E507-445E-B90F-D79AB5400387}"/>
    <cellStyle name="20% - Accent6 4 7" xfId="4554" xr:uid="{00000000-0005-0000-0000-0000AD030000}"/>
    <cellStyle name="20% - Accent6 4 7 2" xfId="12983" xr:uid="{DBE04593-9B43-4F84-A920-343E5402733C}"/>
    <cellStyle name="20% - Accent6 4 8" xfId="8765" xr:uid="{089FAF4E-0520-42D6-BC52-EE32EBA90311}"/>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54C4E9F0-9A79-496B-84D8-A6F36F7415AC}"/>
    <cellStyle name="20% - Accent6 5 2 3" xfId="11317" xr:uid="{35F1E2B6-F74E-453F-9A7F-A08302700175}"/>
    <cellStyle name="20% - Accent6 5 3" xfId="4961" xr:uid="{00000000-0005-0000-0000-0000B1030000}"/>
    <cellStyle name="20% - Accent6 5 3 2" xfId="13390" xr:uid="{EE65FDC0-04D7-4CAA-A3EA-061372F003BD}"/>
    <cellStyle name="20% - Accent6 5 4" xfId="9172" xr:uid="{542F3FC5-5C44-4066-BFBA-9E1F4CA196D1}"/>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1C3460EC-E095-474D-9CD3-53B18E545A84}"/>
    <cellStyle name="20% - Accent6 6 2 3" xfId="11730" xr:uid="{BB6A5270-28AC-4FC6-B990-36C1EF822740}"/>
    <cellStyle name="20% - Accent6 6 3" xfId="5374" xr:uid="{00000000-0005-0000-0000-0000B5030000}"/>
    <cellStyle name="20% - Accent6 6 3 2" xfId="13803" xr:uid="{5334F412-AB1E-4FF5-8A6D-541AC8023B8B}"/>
    <cellStyle name="20% - Accent6 6 4" xfId="9585" xr:uid="{295B9816-6C1E-4028-B8FB-ACB1A2ACFD2E}"/>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C93AEC9A-149E-42B5-9104-C278FCB29A92}"/>
    <cellStyle name="20% - Accent6 7 2 3" xfId="12143" xr:uid="{0594E39E-BC8C-4D2F-ABAC-3C88082F2074}"/>
    <cellStyle name="20% - Accent6 7 3" xfId="5787" xr:uid="{00000000-0005-0000-0000-0000B9030000}"/>
    <cellStyle name="20% - Accent6 7 3 2" xfId="14216" xr:uid="{B57628E3-3EA9-4976-A6E5-2B7CDC3AC3F2}"/>
    <cellStyle name="20% - Accent6 7 4" xfId="9998" xr:uid="{69A9F22D-C997-418F-B4A9-59C443FF1C9F}"/>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1F510970-1F96-469C-A178-F9360B72F902}"/>
    <cellStyle name="20% - Accent6 8 2 3" xfId="12556" xr:uid="{0B4E6E8D-D3E7-46E5-A73A-1E20922A65FC}"/>
    <cellStyle name="20% - Accent6 8 3" xfId="6200" xr:uid="{00000000-0005-0000-0000-0000BD030000}"/>
    <cellStyle name="20% - Accent6 8 3 2" xfId="14629" xr:uid="{DBD502D1-56F6-475D-BD6C-D0CDB2C874C6}"/>
    <cellStyle name="20% - Accent6 8 4" xfId="10411" xr:uid="{0B618078-EE10-4DC2-A9CD-1EF8DA3C4C61}"/>
    <cellStyle name="20% - Accent6 9" xfId="2305" xr:uid="{00000000-0005-0000-0000-0000BE030000}"/>
    <cellStyle name="20% - Accent6 9 2" xfId="6613" xr:uid="{00000000-0005-0000-0000-0000BF030000}"/>
    <cellStyle name="20% - Accent6 9 2 2" xfId="15042" xr:uid="{76107AD5-B9F8-46F1-BBBD-97175745818D}"/>
    <cellStyle name="20% - Accent6 9 3" xfId="10824" xr:uid="{D9A9FD3F-E085-4D7E-94E1-5981852D45F6}"/>
    <cellStyle name="40% - Accent1" xfId="49" builtinId="31" customBuiltin="1"/>
    <cellStyle name="40% - Accent1 10" xfId="4555" xr:uid="{00000000-0005-0000-0000-0000C1030000}"/>
    <cellStyle name="40% - Accent1 10 2" xfId="12984" xr:uid="{1F7FB9FC-2B4D-43D2-8B77-5EB8F309D59F}"/>
    <cellStyle name="40% - Accent1 11" xfId="8766" xr:uid="{5EA12AAF-3F8B-492B-BEB7-E3B9F724A14B}"/>
    <cellStyle name="40% - Accent1 2" xfId="50" xr:uid="{00000000-0005-0000-0000-0000C2030000}"/>
    <cellStyle name="40% - Accent1 2 10" xfId="8767" xr:uid="{040BD865-0301-4CD1-B68D-9A19C768DD56}"/>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F71F9B45-E391-40CC-B7EC-35B1E6F643C3}"/>
    <cellStyle name="40% - Accent1 2 2 2 2 2 3" xfId="11328" xr:uid="{D2920D26-74DA-46DB-9F65-ED1E5A00B2DB}"/>
    <cellStyle name="40% - Accent1 2 2 2 2 3" xfId="4972" xr:uid="{00000000-0005-0000-0000-0000C8030000}"/>
    <cellStyle name="40% - Accent1 2 2 2 2 3 2" xfId="13401" xr:uid="{3072E60D-ED3E-4450-84AF-28847EE8CA17}"/>
    <cellStyle name="40% - Accent1 2 2 2 2 4" xfId="9183" xr:uid="{B01ECF6D-6F42-4B08-8487-08545F28445F}"/>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AE063A53-7FC3-4411-A93F-06FF759851B9}"/>
    <cellStyle name="40% - Accent1 2 2 2 3 2 3" xfId="11741" xr:uid="{E6AB3EF3-8C1A-4D84-A223-BB6577DD6BB1}"/>
    <cellStyle name="40% - Accent1 2 2 2 3 3" xfId="5385" xr:uid="{00000000-0005-0000-0000-0000CC030000}"/>
    <cellStyle name="40% - Accent1 2 2 2 3 3 2" xfId="13814" xr:uid="{F7D59297-369F-411B-BF2E-D26917023B04}"/>
    <cellStyle name="40% - Accent1 2 2 2 3 4" xfId="9596" xr:uid="{36C7C399-A132-48ED-9E81-053A5DF81163}"/>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79BE7993-F7C0-4A4C-BF0F-2739C342FA9E}"/>
    <cellStyle name="40% - Accent1 2 2 2 4 2 3" xfId="12154" xr:uid="{8F4BD4BD-C8F4-431F-80BF-6326D8F317FB}"/>
    <cellStyle name="40% - Accent1 2 2 2 4 3" xfId="5798" xr:uid="{00000000-0005-0000-0000-0000D0030000}"/>
    <cellStyle name="40% - Accent1 2 2 2 4 3 2" xfId="14227" xr:uid="{48997D64-6023-4354-A13A-EF00D8DD79E8}"/>
    <cellStyle name="40% - Accent1 2 2 2 4 4" xfId="10009" xr:uid="{999E02B8-3362-41DC-BCE2-065BB39BEC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FFE0613F-A00B-4799-BB60-ADEDEA3444FC}"/>
    <cellStyle name="40% - Accent1 2 2 2 5 2 3" xfId="12567" xr:uid="{96ABB474-027B-4816-AFCB-667652BD1C68}"/>
    <cellStyle name="40% - Accent1 2 2 2 5 3" xfId="6211" xr:uid="{00000000-0005-0000-0000-0000D4030000}"/>
    <cellStyle name="40% - Accent1 2 2 2 5 3 2" xfId="14640" xr:uid="{F828C29F-87A1-498C-9C19-144B345AC96F}"/>
    <cellStyle name="40% - Accent1 2 2 2 5 4" xfId="10422" xr:uid="{AEA4B0D5-81E5-43FB-A064-0046981BC25D}"/>
    <cellStyle name="40% - Accent1 2 2 2 6" xfId="2316" xr:uid="{00000000-0005-0000-0000-0000D5030000}"/>
    <cellStyle name="40% - Accent1 2 2 2 6 2" xfId="6624" xr:uid="{00000000-0005-0000-0000-0000D6030000}"/>
    <cellStyle name="40% - Accent1 2 2 2 6 2 2" xfId="15053" xr:uid="{E4212716-304C-4D16-8CA5-1E830DF043AA}"/>
    <cellStyle name="40% - Accent1 2 2 2 6 3" xfId="10835" xr:uid="{C2B6F917-9BF6-4ECD-BC5C-5CB991951200}"/>
    <cellStyle name="40% - Accent1 2 2 2 7" xfId="4558" xr:uid="{00000000-0005-0000-0000-0000D7030000}"/>
    <cellStyle name="40% - Accent1 2 2 2 7 2" xfId="12987" xr:uid="{2890DDD3-E2A6-4AC1-93C6-685599E31A73}"/>
    <cellStyle name="40% - Accent1 2 2 2 8" xfId="8769" xr:uid="{54F597B0-BE95-4AA5-A95C-9DC4D747E03E}"/>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FA2BA3A7-042D-4519-9A5C-3CF2C5469DA0}"/>
    <cellStyle name="40% - Accent1 2 2 3 2 3" xfId="11327" xr:uid="{CF5DC082-0724-4715-A269-0BC9F0DD37F1}"/>
    <cellStyle name="40% - Accent1 2 2 3 3" xfId="4971" xr:uid="{00000000-0005-0000-0000-0000DB030000}"/>
    <cellStyle name="40% - Accent1 2 2 3 3 2" xfId="13400" xr:uid="{F55327B6-54A3-472D-8020-05FE388FF377}"/>
    <cellStyle name="40% - Accent1 2 2 3 4" xfId="9182" xr:uid="{31EDF7AD-511C-4AB7-806D-29FCB88CA2F8}"/>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91A5D195-98A8-482F-A762-D2811CAD02E6}"/>
    <cellStyle name="40% - Accent1 2 2 4 2 3" xfId="11740" xr:uid="{F007A3B0-E8FA-42D1-80CC-C84E9698CE61}"/>
    <cellStyle name="40% - Accent1 2 2 4 3" xfId="5384" xr:uid="{00000000-0005-0000-0000-0000DF030000}"/>
    <cellStyle name="40% - Accent1 2 2 4 3 2" xfId="13813" xr:uid="{AE407227-7682-4F45-A3CF-C42C43791A49}"/>
    <cellStyle name="40% - Accent1 2 2 4 4" xfId="9595" xr:uid="{ED8DD280-C705-4ACB-9958-EB710116196C}"/>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584E40B0-250D-4FDC-9D53-D93EAAB61424}"/>
    <cellStyle name="40% - Accent1 2 2 5 2 3" xfId="12153" xr:uid="{9357BD5E-4982-4C79-B594-8490BAB51BF6}"/>
    <cellStyle name="40% - Accent1 2 2 5 3" xfId="5797" xr:uid="{00000000-0005-0000-0000-0000E3030000}"/>
    <cellStyle name="40% - Accent1 2 2 5 3 2" xfId="14226" xr:uid="{3677490B-E937-4ED9-B89C-958C775C4994}"/>
    <cellStyle name="40% - Accent1 2 2 5 4" xfId="10008" xr:uid="{2D75C403-AE8B-434B-87C3-DB3C94FF0F9C}"/>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11672CEA-B061-4588-B0C5-2615C808A246}"/>
    <cellStyle name="40% - Accent1 2 2 6 2 3" xfId="12566" xr:uid="{5C5533C4-9418-4A3B-9D3B-1032239BD779}"/>
    <cellStyle name="40% - Accent1 2 2 6 3" xfId="6210" xr:uid="{00000000-0005-0000-0000-0000E7030000}"/>
    <cellStyle name="40% - Accent1 2 2 6 3 2" xfId="14639" xr:uid="{3301B2FC-A673-43FC-80E3-F84897F6DBDF}"/>
    <cellStyle name="40% - Accent1 2 2 6 4" xfId="10421" xr:uid="{17604728-8B04-4F24-A737-1472CEE06D4A}"/>
    <cellStyle name="40% - Accent1 2 2 7" xfId="2315" xr:uid="{00000000-0005-0000-0000-0000E8030000}"/>
    <cellStyle name="40% - Accent1 2 2 7 2" xfId="6623" xr:uid="{00000000-0005-0000-0000-0000E9030000}"/>
    <cellStyle name="40% - Accent1 2 2 7 2 2" xfId="15052" xr:uid="{0F46DE78-81D3-4392-BEB7-39E5A466B7C3}"/>
    <cellStyle name="40% - Accent1 2 2 7 3" xfId="10834" xr:uid="{6C62BD7D-E508-4972-8CFC-555B8A56EE69}"/>
    <cellStyle name="40% - Accent1 2 2 8" xfId="4557" xr:uid="{00000000-0005-0000-0000-0000EA030000}"/>
    <cellStyle name="40% - Accent1 2 2 8 2" xfId="12986" xr:uid="{CCBF7936-B5E9-489B-93FF-60EBE6FE79DF}"/>
    <cellStyle name="40% - Accent1 2 2 9" xfId="8768" xr:uid="{4D1DC4A5-F699-4BC4-B83C-AEEFA2E92D88}"/>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ACBC2180-F64E-45E3-BD10-373A8C79DE7A}"/>
    <cellStyle name="40% - Accent1 2 3 2 2 3" xfId="11329" xr:uid="{1E48AD8B-E4A0-40CF-A288-7F5CB563DB55}"/>
    <cellStyle name="40% - Accent1 2 3 2 3" xfId="4973" xr:uid="{00000000-0005-0000-0000-0000EF030000}"/>
    <cellStyle name="40% - Accent1 2 3 2 3 2" xfId="13402" xr:uid="{0CBF9CA1-B85D-4C26-80B3-50A61DA5C4A7}"/>
    <cellStyle name="40% - Accent1 2 3 2 4" xfId="9184" xr:uid="{9F15E731-FCF4-4EF3-B064-ED8705564241}"/>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16E77AA1-ACC9-4B15-8FAF-AF791CA92C9A}"/>
    <cellStyle name="40% - Accent1 2 3 3 2 3" xfId="11742" xr:uid="{3FE31CF7-7879-4587-86A2-7C13EEDAB189}"/>
    <cellStyle name="40% - Accent1 2 3 3 3" xfId="5386" xr:uid="{00000000-0005-0000-0000-0000F3030000}"/>
    <cellStyle name="40% - Accent1 2 3 3 3 2" xfId="13815" xr:uid="{0275B973-BEFE-4AB6-B25A-45A734EE4FC6}"/>
    <cellStyle name="40% - Accent1 2 3 3 4" xfId="9597" xr:uid="{2C083FB1-48F4-4629-8BE9-BA4C79ED235E}"/>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32D51E1C-1F55-4B36-B463-D0481C5DFFD1}"/>
    <cellStyle name="40% - Accent1 2 3 4 2 3" xfId="12155" xr:uid="{95837B8C-ABD6-4C5D-AC58-DB2FD43B4E36}"/>
    <cellStyle name="40% - Accent1 2 3 4 3" xfId="5799" xr:uid="{00000000-0005-0000-0000-0000F7030000}"/>
    <cellStyle name="40% - Accent1 2 3 4 3 2" xfId="14228" xr:uid="{BADD2C64-5B37-498D-9A4E-3B10080CDDEB}"/>
    <cellStyle name="40% - Accent1 2 3 4 4" xfId="10010" xr:uid="{8116431A-4017-44FE-8DB4-AC0F9B142176}"/>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843A37B4-4A26-47E9-8BB6-EAB8D5E5E412}"/>
    <cellStyle name="40% - Accent1 2 3 5 2 3" xfId="12568" xr:uid="{1DD8DF38-AE39-4513-BAA7-4C89BAE4FA30}"/>
    <cellStyle name="40% - Accent1 2 3 5 3" xfId="6212" xr:uid="{00000000-0005-0000-0000-0000FB030000}"/>
    <cellStyle name="40% - Accent1 2 3 5 3 2" xfId="14641" xr:uid="{235A2D95-E8D7-47B3-BC80-D4177703A7C4}"/>
    <cellStyle name="40% - Accent1 2 3 5 4" xfId="10423" xr:uid="{C6E0A8C9-FD7B-4442-9DC3-C4744EDC6F9D}"/>
    <cellStyle name="40% - Accent1 2 3 6" xfId="2317" xr:uid="{00000000-0005-0000-0000-0000FC030000}"/>
    <cellStyle name="40% - Accent1 2 3 6 2" xfId="6625" xr:uid="{00000000-0005-0000-0000-0000FD030000}"/>
    <cellStyle name="40% - Accent1 2 3 6 2 2" xfId="15054" xr:uid="{9F1471EB-E6A2-4FFF-A051-5FE3E569BFD4}"/>
    <cellStyle name="40% - Accent1 2 3 6 3" xfId="10836" xr:uid="{FC85FE13-A9CC-4F8C-AEC6-25148A4EE51A}"/>
    <cellStyle name="40% - Accent1 2 3 7" xfId="4559" xr:uid="{00000000-0005-0000-0000-0000FE030000}"/>
    <cellStyle name="40% - Accent1 2 3 7 2" xfId="12988" xr:uid="{F08E22F0-ADFB-4143-AAB2-B5E632E45C0A}"/>
    <cellStyle name="40% - Accent1 2 3 8" xfId="8770" xr:uid="{DDC8585F-8AFD-422E-B5AF-62DA895BD936}"/>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5F774353-B74C-410F-8401-B45C1E55BAD5}"/>
    <cellStyle name="40% - Accent1 2 4 2 3" xfId="11326" xr:uid="{BC506A32-7660-4169-9A91-A723EA521DA3}"/>
    <cellStyle name="40% - Accent1 2 4 3" xfId="4970" xr:uid="{00000000-0005-0000-0000-000002040000}"/>
    <cellStyle name="40% - Accent1 2 4 3 2" xfId="13399" xr:uid="{89F7492C-A979-46EB-9731-815BDAB57D0A}"/>
    <cellStyle name="40% - Accent1 2 4 4" xfId="9181" xr:uid="{22FD39A8-5C39-4EC2-845E-3260695B7466}"/>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FF19AD19-08A6-4EBA-98CF-79B61F67D40C}"/>
    <cellStyle name="40% - Accent1 2 5 2 3" xfId="11739" xr:uid="{9AFF8B3A-34D5-4708-AFFF-725D8E2DA6F3}"/>
    <cellStyle name="40% - Accent1 2 5 3" xfId="5383" xr:uid="{00000000-0005-0000-0000-000006040000}"/>
    <cellStyle name="40% - Accent1 2 5 3 2" xfId="13812" xr:uid="{5464B93A-656D-404D-8570-FDE11BE62674}"/>
    <cellStyle name="40% - Accent1 2 5 4" xfId="9594" xr:uid="{8C17E534-B98B-4307-80CC-5341112E2339}"/>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9F5B5057-4205-497D-8414-B7FCD211B459}"/>
    <cellStyle name="40% - Accent1 2 6 2 3" xfId="12152" xr:uid="{147CD590-EFB6-4E0E-AFFD-A3125E3029A3}"/>
    <cellStyle name="40% - Accent1 2 6 3" xfId="5796" xr:uid="{00000000-0005-0000-0000-00000A040000}"/>
    <cellStyle name="40% - Accent1 2 6 3 2" xfId="14225" xr:uid="{DC91F3B9-1623-4194-ACA5-1184DF1C7B6C}"/>
    <cellStyle name="40% - Accent1 2 6 4" xfId="10007" xr:uid="{0B3C3194-7CF0-44E2-A3BF-1FB3201A92AA}"/>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4C95E3DA-1280-4FFE-9372-80ABABB8D154}"/>
    <cellStyle name="40% - Accent1 2 7 2 3" xfId="12565" xr:uid="{DC9549BC-D65F-47BB-A403-ABA1B1C70301}"/>
    <cellStyle name="40% - Accent1 2 7 3" xfId="6209" xr:uid="{00000000-0005-0000-0000-00000E040000}"/>
    <cellStyle name="40% - Accent1 2 7 3 2" xfId="14638" xr:uid="{B6FC8717-9091-4784-806F-056496520922}"/>
    <cellStyle name="40% - Accent1 2 7 4" xfId="10420" xr:uid="{E7111A35-DC79-4BB2-8CC8-5EE4493FC528}"/>
    <cellStyle name="40% - Accent1 2 8" xfId="2314" xr:uid="{00000000-0005-0000-0000-00000F040000}"/>
    <cellStyle name="40% - Accent1 2 8 2" xfId="6622" xr:uid="{00000000-0005-0000-0000-000010040000}"/>
    <cellStyle name="40% - Accent1 2 8 2 2" xfId="15051" xr:uid="{24F3693F-B3F7-4065-BD81-2CCE027D9C0F}"/>
    <cellStyle name="40% - Accent1 2 8 3" xfId="10833" xr:uid="{A9962CBA-6448-48AB-AB12-7484AE902262}"/>
    <cellStyle name="40% - Accent1 2 9" xfId="4556" xr:uid="{00000000-0005-0000-0000-000011040000}"/>
    <cellStyle name="40% - Accent1 2 9 2" xfId="12985" xr:uid="{2D0F938E-88FB-4697-88D4-D82909621C1E}"/>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96870084-CB89-4FE3-A457-8E838D3E1BC9}"/>
    <cellStyle name="40% - Accent1 3 2 2 2 3" xfId="11331" xr:uid="{74848B30-B1AB-45D9-B247-B0199EE331C8}"/>
    <cellStyle name="40% - Accent1 3 2 2 3" xfId="4975" xr:uid="{00000000-0005-0000-0000-000017040000}"/>
    <cellStyle name="40% - Accent1 3 2 2 3 2" xfId="13404" xr:uid="{D20D32D9-0DC2-4630-B349-5F08E8963AA2}"/>
    <cellStyle name="40% - Accent1 3 2 2 4" xfId="9186" xr:uid="{189C3299-8AE5-4995-BF3B-07FBA2A0F917}"/>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D197F965-237D-43D3-A71D-836B144E0DF1}"/>
    <cellStyle name="40% - Accent1 3 2 3 2 3" xfId="11744" xr:uid="{4D783F89-9AC7-4B93-A7FF-6109D740B95B}"/>
    <cellStyle name="40% - Accent1 3 2 3 3" xfId="5388" xr:uid="{00000000-0005-0000-0000-00001B040000}"/>
    <cellStyle name="40% - Accent1 3 2 3 3 2" xfId="13817" xr:uid="{117BB14F-1F88-478D-B4A8-E26003371D78}"/>
    <cellStyle name="40% - Accent1 3 2 3 4" xfId="9599" xr:uid="{4FCBB829-E507-4006-A461-C606193198C0}"/>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1941B0C2-33F2-4C40-92C0-8D8A9700CA41}"/>
    <cellStyle name="40% - Accent1 3 2 4 2 3" xfId="12157" xr:uid="{18A24293-6E47-4E85-9AC8-7CEF11E8655C}"/>
    <cellStyle name="40% - Accent1 3 2 4 3" xfId="5801" xr:uid="{00000000-0005-0000-0000-00001F040000}"/>
    <cellStyle name="40% - Accent1 3 2 4 3 2" xfId="14230" xr:uid="{A623FFF6-E7C4-4AD2-A5DA-18DAE5D650EE}"/>
    <cellStyle name="40% - Accent1 3 2 4 4" xfId="10012" xr:uid="{9F4F44F6-3291-4983-843D-8A0870B20ACA}"/>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733E2B10-9BEC-4182-894D-0C93AE026EC9}"/>
    <cellStyle name="40% - Accent1 3 2 5 2 3" xfId="12570" xr:uid="{0DC0CCD6-9482-470B-8A52-747C4A603DE4}"/>
    <cellStyle name="40% - Accent1 3 2 5 3" xfId="6214" xr:uid="{00000000-0005-0000-0000-000023040000}"/>
    <cellStyle name="40% - Accent1 3 2 5 3 2" xfId="14643" xr:uid="{62D42768-CD73-4F26-BE7C-9A2D7B6D87B3}"/>
    <cellStyle name="40% - Accent1 3 2 5 4" xfId="10425" xr:uid="{11218405-35F5-4AFE-838E-332B33076166}"/>
    <cellStyle name="40% - Accent1 3 2 6" xfId="2319" xr:uid="{00000000-0005-0000-0000-000024040000}"/>
    <cellStyle name="40% - Accent1 3 2 6 2" xfId="6627" xr:uid="{00000000-0005-0000-0000-000025040000}"/>
    <cellStyle name="40% - Accent1 3 2 6 2 2" xfId="15056" xr:uid="{9C01CC13-2628-4ADD-8DD8-B59C1BC544B9}"/>
    <cellStyle name="40% - Accent1 3 2 6 3" xfId="10838" xr:uid="{2BC4AA3C-CCF1-4BED-A1AF-1638A50303DE}"/>
    <cellStyle name="40% - Accent1 3 2 7" xfId="4561" xr:uid="{00000000-0005-0000-0000-000026040000}"/>
    <cellStyle name="40% - Accent1 3 2 7 2" xfId="12990" xr:uid="{B4116ED0-E8BF-4106-A8FA-0723C2B44DCC}"/>
    <cellStyle name="40% - Accent1 3 2 8" xfId="8772" xr:uid="{C702EF52-ACFE-461F-A614-539599039418}"/>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3D0D57A6-A911-43F0-99AA-B231A07710DF}"/>
    <cellStyle name="40% - Accent1 3 3 2 3" xfId="11330" xr:uid="{E2107FBC-1700-4DE7-9BCC-7712A22DB65F}"/>
    <cellStyle name="40% - Accent1 3 3 3" xfId="4974" xr:uid="{00000000-0005-0000-0000-00002A040000}"/>
    <cellStyle name="40% - Accent1 3 3 3 2" xfId="13403" xr:uid="{7EFBC577-31DB-4A38-80D9-49B7B8BDE5BB}"/>
    <cellStyle name="40% - Accent1 3 3 4" xfId="9185" xr:uid="{59AA208D-B3A7-425C-A02D-16E93886144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4ABDD70E-5850-41D5-A928-467AB2746E61}"/>
    <cellStyle name="40% - Accent1 3 4 2 3" xfId="11743" xr:uid="{9C8B2F6F-0DDB-4791-A9AC-DE7D94A5B043}"/>
    <cellStyle name="40% - Accent1 3 4 3" xfId="5387" xr:uid="{00000000-0005-0000-0000-00002E040000}"/>
    <cellStyle name="40% - Accent1 3 4 3 2" xfId="13816" xr:uid="{5B0A05F4-4222-4C31-9388-73000EB49D27}"/>
    <cellStyle name="40% - Accent1 3 4 4" xfId="9598" xr:uid="{1D0DC8D6-C1C9-4CE9-BB43-CA0FB22A2A29}"/>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947720B6-60E5-498F-AD72-9BC82A039FBF}"/>
    <cellStyle name="40% - Accent1 3 5 2 3" xfId="12156" xr:uid="{C8FF4B96-9DF0-4847-8177-E8786193E957}"/>
    <cellStyle name="40% - Accent1 3 5 3" xfId="5800" xr:uid="{00000000-0005-0000-0000-000032040000}"/>
    <cellStyle name="40% - Accent1 3 5 3 2" xfId="14229" xr:uid="{B4F90825-BC48-4AD0-A01C-A01C9B61AEA5}"/>
    <cellStyle name="40% - Accent1 3 5 4" xfId="10011" xr:uid="{6431DA5E-5BCC-47A6-A5F1-F53B7965AC55}"/>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6AA76896-E5FB-4DA7-8614-A707BF1FEA12}"/>
    <cellStyle name="40% - Accent1 3 6 2 3" xfId="12569" xr:uid="{2E7698D2-CE48-424A-815A-28566C9B2062}"/>
    <cellStyle name="40% - Accent1 3 6 3" xfId="6213" xr:uid="{00000000-0005-0000-0000-000036040000}"/>
    <cellStyle name="40% - Accent1 3 6 3 2" xfId="14642" xr:uid="{F495CA36-4710-4AF8-9D05-82A4DB337085}"/>
    <cellStyle name="40% - Accent1 3 6 4" xfId="10424" xr:uid="{9E3EBAB2-1CB9-43DE-BCE6-3A89A4E966B9}"/>
    <cellStyle name="40% - Accent1 3 7" xfId="2318" xr:uid="{00000000-0005-0000-0000-000037040000}"/>
    <cellStyle name="40% - Accent1 3 7 2" xfId="6626" xr:uid="{00000000-0005-0000-0000-000038040000}"/>
    <cellStyle name="40% - Accent1 3 7 2 2" xfId="15055" xr:uid="{03EB25CA-C214-425A-B783-7B400E4EAB87}"/>
    <cellStyle name="40% - Accent1 3 7 3" xfId="10837" xr:uid="{EE4F5837-A071-4262-A3FC-07B9ECD1314E}"/>
    <cellStyle name="40% - Accent1 3 8" xfId="4560" xr:uid="{00000000-0005-0000-0000-000039040000}"/>
    <cellStyle name="40% - Accent1 3 8 2" xfId="12989" xr:uid="{F120EA4A-7493-4E30-8DED-03F4B198AF89}"/>
    <cellStyle name="40% - Accent1 3 9" xfId="8771" xr:uid="{9EDFE61E-E780-4B38-AFE1-0FDA53058EDB}"/>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0B57F32F-AC57-47FD-8E3D-7021DDE2B854}"/>
    <cellStyle name="40% - Accent1 4 2 2 3" xfId="11332" xr:uid="{8153D597-6BE6-466E-A67D-843D9CAAD0FE}"/>
    <cellStyle name="40% - Accent1 4 2 3" xfId="4976" xr:uid="{00000000-0005-0000-0000-00003E040000}"/>
    <cellStyle name="40% - Accent1 4 2 3 2" xfId="13405" xr:uid="{289BF92F-4C47-40F5-B7B4-AA84BDD199D3}"/>
    <cellStyle name="40% - Accent1 4 2 4" xfId="9187" xr:uid="{3AA6B5BD-DBC0-4E44-B339-A1098203D031}"/>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4815080C-106B-4801-8552-346E2E19502E}"/>
    <cellStyle name="40% - Accent1 4 3 2 3" xfId="11745" xr:uid="{25233607-2E3D-481A-BEDB-EEA1A463CD97}"/>
    <cellStyle name="40% - Accent1 4 3 3" xfId="5389" xr:uid="{00000000-0005-0000-0000-000042040000}"/>
    <cellStyle name="40% - Accent1 4 3 3 2" xfId="13818" xr:uid="{6FF22017-40E2-45C0-8F21-2027483C7572}"/>
    <cellStyle name="40% - Accent1 4 3 4" xfId="9600" xr:uid="{42058B19-0436-4FD5-AF8C-0879ADFC499E}"/>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7A1EE227-F7A0-48D1-AD1B-3760E7994173}"/>
    <cellStyle name="40% - Accent1 4 4 2 3" xfId="12158" xr:uid="{0D379D1F-7C5C-4BBF-BC47-5E275E73941F}"/>
    <cellStyle name="40% - Accent1 4 4 3" xfId="5802" xr:uid="{00000000-0005-0000-0000-000046040000}"/>
    <cellStyle name="40% - Accent1 4 4 3 2" xfId="14231" xr:uid="{2064BF3F-7801-444F-B0FE-D8CD0808AAC3}"/>
    <cellStyle name="40% - Accent1 4 4 4" xfId="10013" xr:uid="{914740A4-EA5E-4149-BFFA-8DEF8E432B99}"/>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FF56A66B-E3DD-4C85-89C8-2C09A3E20B5A}"/>
    <cellStyle name="40% - Accent1 4 5 2 3" xfId="12571" xr:uid="{C7B09835-5A21-4B7D-AF7D-EBF4790532FA}"/>
    <cellStyle name="40% - Accent1 4 5 3" xfId="6215" xr:uid="{00000000-0005-0000-0000-00004A040000}"/>
    <cellStyle name="40% - Accent1 4 5 3 2" xfId="14644" xr:uid="{61E5461F-6F2D-4093-92E9-1BB9A1C97CCE}"/>
    <cellStyle name="40% - Accent1 4 5 4" xfId="10426" xr:uid="{C17ED35A-8A7C-4ED2-A945-988D84DB74FB}"/>
    <cellStyle name="40% - Accent1 4 6" xfId="2320" xr:uid="{00000000-0005-0000-0000-00004B040000}"/>
    <cellStyle name="40% - Accent1 4 6 2" xfId="6628" xr:uid="{00000000-0005-0000-0000-00004C040000}"/>
    <cellStyle name="40% - Accent1 4 6 2 2" xfId="15057" xr:uid="{C33BC3D4-C1A3-47D0-BFDA-6AD94DCB9CEB}"/>
    <cellStyle name="40% - Accent1 4 6 3" xfId="10839" xr:uid="{49D2398A-9D69-40AA-82F7-742D7C33DD25}"/>
    <cellStyle name="40% - Accent1 4 7" xfId="4562" xr:uid="{00000000-0005-0000-0000-00004D040000}"/>
    <cellStyle name="40% - Accent1 4 7 2" xfId="12991" xr:uid="{9E4C1599-CBC8-452A-AEAF-D2035A054B93}"/>
    <cellStyle name="40% - Accent1 4 8" xfId="8773" xr:uid="{02121590-E20B-40FE-A0B2-887C7C457311}"/>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5123F5B0-9E5E-4098-8935-1748D16FD3C3}"/>
    <cellStyle name="40% - Accent1 5 2 3" xfId="11325" xr:uid="{B07E3D95-74BE-4913-8D82-B498B45EE0C2}"/>
    <cellStyle name="40% - Accent1 5 3" xfId="4969" xr:uid="{00000000-0005-0000-0000-000051040000}"/>
    <cellStyle name="40% - Accent1 5 3 2" xfId="13398" xr:uid="{079A0EA8-AD25-4720-B22E-0E0A25A61C39}"/>
    <cellStyle name="40% - Accent1 5 4" xfId="9180" xr:uid="{A20DF187-2C2A-436F-B6A8-6C55CF720406}"/>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ED8B9581-04A3-4A52-97A4-7FD78991654F}"/>
    <cellStyle name="40% - Accent1 6 2 3" xfId="11738" xr:uid="{0577EBE7-C329-43F7-882A-1AC2BE9F5CAC}"/>
    <cellStyle name="40% - Accent1 6 3" xfId="5382" xr:uid="{00000000-0005-0000-0000-000055040000}"/>
    <cellStyle name="40% - Accent1 6 3 2" xfId="13811" xr:uid="{7EEB38EC-6FCA-495A-9777-6C10BC2BAB27}"/>
    <cellStyle name="40% - Accent1 6 4" xfId="9593" xr:uid="{C80B8072-53E8-4E3B-83A5-C3A92A6A0914}"/>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377C8963-E892-48D9-A666-9B380B2E1D38}"/>
    <cellStyle name="40% - Accent1 7 2 3" xfId="12151" xr:uid="{55F0DD10-4980-4172-BD80-D954F8C12587}"/>
    <cellStyle name="40% - Accent1 7 3" xfId="5795" xr:uid="{00000000-0005-0000-0000-000059040000}"/>
    <cellStyle name="40% - Accent1 7 3 2" xfId="14224" xr:uid="{D3785CD0-3315-41BE-B07C-2032B9F5BF5F}"/>
    <cellStyle name="40% - Accent1 7 4" xfId="10006" xr:uid="{6CDD7532-564E-47E5-9B0F-592D210D2764}"/>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E0508C72-D957-42CF-8C85-08F6C145C387}"/>
    <cellStyle name="40% - Accent1 8 2 3" xfId="12564" xr:uid="{288957FF-C4BE-4BA3-AB57-2DEE9C9C5E3B}"/>
    <cellStyle name="40% - Accent1 8 3" xfId="6208" xr:uid="{00000000-0005-0000-0000-00005D040000}"/>
    <cellStyle name="40% - Accent1 8 3 2" xfId="14637" xr:uid="{0C84A17B-0866-4C59-86C9-136DA69EA156}"/>
    <cellStyle name="40% - Accent1 8 4" xfId="10419" xr:uid="{C3A0ECC6-B372-4E47-A9C6-BE87B3B6372E}"/>
    <cellStyle name="40% - Accent1 9" xfId="2313" xr:uid="{00000000-0005-0000-0000-00005E040000}"/>
    <cellStyle name="40% - Accent1 9 2" xfId="6621" xr:uid="{00000000-0005-0000-0000-00005F040000}"/>
    <cellStyle name="40% - Accent1 9 2 2" xfId="15050" xr:uid="{D9DAAE69-ADBC-419A-988B-46C0184DC87A}"/>
    <cellStyle name="40% - Accent1 9 3" xfId="10832" xr:uid="{73A2F2E3-9E1A-4E75-B1C6-1AF732E178E0}"/>
    <cellStyle name="40% - Accent2" xfId="57" builtinId="35" customBuiltin="1"/>
    <cellStyle name="40% - Accent2 10" xfId="4563" xr:uid="{00000000-0005-0000-0000-000061040000}"/>
    <cellStyle name="40% - Accent2 10 2" xfId="12992" xr:uid="{39A0D702-361A-4B4A-9C15-665E5D5DBFA9}"/>
    <cellStyle name="40% - Accent2 11" xfId="8774" xr:uid="{473E4FFA-27EC-43C8-ADAA-C38F441C3691}"/>
    <cellStyle name="40% - Accent2 2" xfId="58" xr:uid="{00000000-0005-0000-0000-000062040000}"/>
    <cellStyle name="40% - Accent2 2 10" xfId="8775" xr:uid="{1B902EF2-264B-48CE-BF53-8B2D256FCB39}"/>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F619CEA1-504D-49E7-AB25-965CF29E4B1C}"/>
    <cellStyle name="40% - Accent2 2 2 2 2 2 3" xfId="11336" xr:uid="{C7651BA4-C4CF-4E5A-AD9B-BDB63703C9FE}"/>
    <cellStyle name="40% - Accent2 2 2 2 2 3" xfId="4980" xr:uid="{00000000-0005-0000-0000-000068040000}"/>
    <cellStyle name="40% - Accent2 2 2 2 2 3 2" xfId="13409" xr:uid="{81F7929C-D37C-489C-90E0-E24F720CE9B4}"/>
    <cellStyle name="40% - Accent2 2 2 2 2 4" xfId="9191" xr:uid="{416D93FC-6E5C-4C45-8245-09B10A5F2623}"/>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A59A33BA-3FB3-4955-A129-3C32AA3A8062}"/>
    <cellStyle name="40% - Accent2 2 2 2 3 2 3" xfId="11749" xr:uid="{D940FF24-5DE8-4A2B-B42D-3CBF9C81BF07}"/>
    <cellStyle name="40% - Accent2 2 2 2 3 3" xfId="5393" xr:uid="{00000000-0005-0000-0000-00006C040000}"/>
    <cellStyle name="40% - Accent2 2 2 2 3 3 2" xfId="13822" xr:uid="{11E623E2-967B-48E8-AB24-0493E20D229C}"/>
    <cellStyle name="40% - Accent2 2 2 2 3 4" xfId="9604" xr:uid="{B56739CE-3C8D-4486-A959-C865E4812A16}"/>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CD1A82E0-35A0-4571-8FAC-49B1F6DA2EB8}"/>
    <cellStyle name="40% - Accent2 2 2 2 4 2 3" xfId="12162" xr:uid="{8AA0D45D-F8EC-4C5D-9C28-AC20CD5C28C9}"/>
    <cellStyle name="40% - Accent2 2 2 2 4 3" xfId="5806" xr:uid="{00000000-0005-0000-0000-000070040000}"/>
    <cellStyle name="40% - Accent2 2 2 2 4 3 2" xfId="14235" xr:uid="{A76B0290-5768-4A06-B055-EF563862942B}"/>
    <cellStyle name="40% - Accent2 2 2 2 4 4" xfId="10017" xr:uid="{E745E4D2-E547-4B19-ABCD-9C3E01D324BF}"/>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F3917947-3785-4DEC-BF65-9B548A80C5CA}"/>
    <cellStyle name="40% - Accent2 2 2 2 5 2 3" xfId="12575" xr:uid="{FD840F09-A82B-4F80-8E4C-77B7F379F3EC}"/>
    <cellStyle name="40% - Accent2 2 2 2 5 3" xfId="6219" xr:uid="{00000000-0005-0000-0000-000074040000}"/>
    <cellStyle name="40% - Accent2 2 2 2 5 3 2" xfId="14648" xr:uid="{50E5FA6C-AC76-4A6E-B4AA-99C8D657D871}"/>
    <cellStyle name="40% - Accent2 2 2 2 5 4" xfId="10430" xr:uid="{B896722F-F570-4919-81E6-1DD013C80189}"/>
    <cellStyle name="40% - Accent2 2 2 2 6" xfId="2324" xr:uid="{00000000-0005-0000-0000-000075040000}"/>
    <cellStyle name="40% - Accent2 2 2 2 6 2" xfId="6632" xr:uid="{00000000-0005-0000-0000-000076040000}"/>
    <cellStyle name="40% - Accent2 2 2 2 6 2 2" xfId="15061" xr:uid="{D121DF40-0B03-4216-94F8-B3071549FAC9}"/>
    <cellStyle name="40% - Accent2 2 2 2 6 3" xfId="10843" xr:uid="{4B1E0B04-AB29-4BBC-B4BD-B3CAE94D8257}"/>
    <cellStyle name="40% - Accent2 2 2 2 7" xfId="4566" xr:uid="{00000000-0005-0000-0000-000077040000}"/>
    <cellStyle name="40% - Accent2 2 2 2 7 2" xfId="12995" xr:uid="{9C637BED-E9A0-45AB-8606-A0EDC4279397}"/>
    <cellStyle name="40% - Accent2 2 2 2 8" xfId="8777" xr:uid="{89B93E46-24E9-41DA-9B7D-8634AF2706DA}"/>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FAFC2680-6D80-49C2-A65B-40BE0AF83A6D}"/>
    <cellStyle name="40% - Accent2 2 2 3 2 3" xfId="11335" xr:uid="{C22F7215-3B1D-4C43-9ADA-D3D9EE5C4701}"/>
    <cellStyle name="40% - Accent2 2 2 3 3" xfId="4979" xr:uid="{00000000-0005-0000-0000-00007B040000}"/>
    <cellStyle name="40% - Accent2 2 2 3 3 2" xfId="13408" xr:uid="{339571BC-29F1-4642-A258-ADBD4DDE5F2D}"/>
    <cellStyle name="40% - Accent2 2 2 3 4" xfId="9190" xr:uid="{3DEA461B-153E-442A-A91E-8CC9134926EC}"/>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192B2A76-8DAD-49E3-96B7-11B15461502C}"/>
    <cellStyle name="40% - Accent2 2 2 4 2 3" xfId="11748" xr:uid="{9D4F1BC9-AFA9-42C3-8936-07BEA5801D9C}"/>
    <cellStyle name="40% - Accent2 2 2 4 3" xfId="5392" xr:uid="{00000000-0005-0000-0000-00007F040000}"/>
    <cellStyle name="40% - Accent2 2 2 4 3 2" xfId="13821" xr:uid="{D9BA1553-982B-4C8C-A3D7-EDBDD5F5C679}"/>
    <cellStyle name="40% - Accent2 2 2 4 4" xfId="9603" xr:uid="{4711C71F-5B22-4AAC-824E-6E73AFB1B4ED}"/>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97E6E626-DEAC-420D-B276-2ECDBEBF8817}"/>
    <cellStyle name="40% - Accent2 2 2 5 2 3" xfId="12161" xr:uid="{ADC655FC-9069-4B7E-A4A2-6673C42845A7}"/>
    <cellStyle name="40% - Accent2 2 2 5 3" xfId="5805" xr:uid="{00000000-0005-0000-0000-000083040000}"/>
    <cellStyle name="40% - Accent2 2 2 5 3 2" xfId="14234" xr:uid="{7D962387-07F1-4203-8F0E-6F958FC8FEAD}"/>
    <cellStyle name="40% - Accent2 2 2 5 4" xfId="10016" xr:uid="{CF1BE287-D405-4053-9FBF-2030FB956E7C}"/>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2946E281-35E9-4B1E-95B8-4AB79E2C7CA4}"/>
    <cellStyle name="40% - Accent2 2 2 6 2 3" xfId="12574" xr:uid="{71378175-60E8-47D1-B000-E2BB657B3D32}"/>
    <cellStyle name="40% - Accent2 2 2 6 3" xfId="6218" xr:uid="{00000000-0005-0000-0000-000087040000}"/>
    <cellStyle name="40% - Accent2 2 2 6 3 2" xfId="14647" xr:uid="{5D9494C9-7F5E-4DCF-9A82-BDBD7EAE17D4}"/>
    <cellStyle name="40% - Accent2 2 2 6 4" xfId="10429" xr:uid="{118CF5FB-3013-4FDF-925C-0DF2F036BBE1}"/>
    <cellStyle name="40% - Accent2 2 2 7" xfId="2323" xr:uid="{00000000-0005-0000-0000-000088040000}"/>
    <cellStyle name="40% - Accent2 2 2 7 2" xfId="6631" xr:uid="{00000000-0005-0000-0000-000089040000}"/>
    <cellStyle name="40% - Accent2 2 2 7 2 2" xfId="15060" xr:uid="{27A6EA92-E347-4EB1-B927-07BF4923085F}"/>
    <cellStyle name="40% - Accent2 2 2 7 3" xfId="10842" xr:uid="{FA4F7AB8-B98C-42EF-A924-D1E125FBF716}"/>
    <cellStyle name="40% - Accent2 2 2 8" xfId="4565" xr:uid="{00000000-0005-0000-0000-00008A040000}"/>
    <cellStyle name="40% - Accent2 2 2 8 2" xfId="12994" xr:uid="{6D44ABD9-BD56-4CDF-924B-2DFA2B54CF52}"/>
    <cellStyle name="40% - Accent2 2 2 9" xfId="8776" xr:uid="{3E1B7EB3-63E8-4C0A-854A-861068B259F2}"/>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626A7C4F-EC77-4B39-B89B-84E38AF7A1A8}"/>
    <cellStyle name="40% - Accent2 2 3 2 2 3" xfId="11337" xr:uid="{CADA5325-585D-47CA-A07B-9CE5C38E600C}"/>
    <cellStyle name="40% - Accent2 2 3 2 3" xfId="4981" xr:uid="{00000000-0005-0000-0000-00008F040000}"/>
    <cellStyle name="40% - Accent2 2 3 2 3 2" xfId="13410" xr:uid="{FB12B761-9689-4EF9-8429-F8AAE4582A00}"/>
    <cellStyle name="40% - Accent2 2 3 2 4" xfId="9192" xr:uid="{3417FC97-57A3-4C63-ADD1-81ACC8030EB9}"/>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EC2E0874-73B5-4571-BCEB-6A920ED3B125}"/>
    <cellStyle name="40% - Accent2 2 3 3 2 3" xfId="11750" xr:uid="{99DEAB02-07E9-4C5A-A3E0-D5865E1485CD}"/>
    <cellStyle name="40% - Accent2 2 3 3 3" xfId="5394" xr:uid="{00000000-0005-0000-0000-000093040000}"/>
    <cellStyle name="40% - Accent2 2 3 3 3 2" xfId="13823" xr:uid="{9ADD5E9C-4F38-4F59-98C1-A97039186FF6}"/>
    <cellStyle name="40% - Accent2 2 3 3 4" xfId="9605" xr:uid="{BDDD1F71-E575-4F22-BB48-55A321A4E13E}"/>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258F0D0A-D44A-4E59-9B79-831CB1AEEA3F}"/>
    <cellStyle name="40% - Accent2 2 3 4 2 3" xfId="12163" xr:uid="{3254EB40-6B0B-4EEE-81F0-7F3B54112130}"/>
    <cellStyle name="40% - Accent2 2 3 4 3" xfId="5807" xr:uid="{00000000-0005-0000-0000-000097040000}"/>
    <cellStyle name="40% - Accent2 2 3 4 3 2" xfId="14236" xr:uid="{61F068D6-4C6B-4DD1-BF38-2B44AB52FDDF}"/>
    <cellStyle name="40% - Accent2 2 3 4 4" xfId="10018" xr:uid="{09836F4D-C429-425C-AF3F-E85210E0F9B7}"/>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D1F77543-74B4-4370-9CAA-529718786247}"/>
    <cellStyle name="40% - Accent2 2 3 5 2 3" xfId="12576" xr:uid="{E0A9B0BF-B9B6-4A0F-A0EE-CF2502DF5D90}"/>
    <cellStyle name="40% - Accent2 2 3 5 3" xfId="6220" xr:uid="{00000000-0005-0000-0000-00009B040000}"/>
    <cellStyle name="40% - Accent2 2 3 5 3 2" xfId="14649" xr:uid="{871A750F-0653-420F-961A-BB746844D310}"/>
    <cellStyle name="40% - Accent2 2 3 5 4" xfId="10431" xr:uid="{A5F4FC50-293F-41D6-8196-6DECC3055BB6}"/>
    <cellStyle name="40% - Accent2 2 3 6" xfId="2325" xr:uid="{00000000-0005-0000-0000-00009C040000}"/>
    <cellStyle name="40% - Accent2 2 3 6 2" xfId="6633" xr:uid="{00000000-0005-0000-0000-00009D040000}"/>
    <cellStyle name="40% - Accent2 2 3 6 2 2" xfId="15062" xr:uid="{30415566-A0E6-46D0-9590-B1FD26178727}"/>
    <cellStyle name="40% - Accent2 2 3 6 3" xfId="10844" xr:uid="{75BFABFB-E2F5-42F4-952B-E9D56AE2A546}"/>
    <cellStyle name="40% - Accent2 2 3 7" xfId="4567" xr:uid="{00000000-0005-0000-0000-00009E040000}"/>
    <cellStyle name="40% - Accent2 2 3 7 2" xfId="12996" xr:uid="{A7938E7D-ED10-4D12-81EE-EC19E1F768C0}"/>
    <cellStyle name="40% - Accent2 2 3 8" xfId="8778" xr:uid="{39CF9AD1-0AEC-43BF-8F3D-D09F123AAEFC}"/>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95003165-14A6-47FB-B6C0-0EA9E377A004}"/>
    <cellStyle name="40% - Accent2 2 4 2 3" xfId="11334" xr:uid="{4885E119-DC8C-4B44-867F-5821820DC35D}"/>
    <cellStyle name="40% - Accent2 2 4 3" xfId="4978" xr:uid="{00000000-0005-0000-0000-0000A2040000}"/>
    <cellStyle name="40% - Accent2 2 4 3 2" xfId="13407" xr:uid="{4AE192F2-2F36-45BD-B12F-744D9908F150}"/>
    <cellStyle name="40% - Accent2 2 4 4" xfId="9189" xr:uid="{384D5B54-3231-44E2-A6ED-4805A72486CC}"/>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29BA421E-C57A-4097-B909-142622F628AF}"/>
    <cellStyle name="40% - Accent2 2 5 2 3" xfId="11747" xr:uid="{13ED0E8A-2C93-45C8-8E5E-DC1B6F67BC92}"/>
    <cellStyle name="40% - Accent2 2 5 3" xfId="5391" xr:uid="{00000000-0005-0000-0000-0000A6040000}"/>
    <cellStyle name="40% - Accent2 2 5 3 2" xfId="13820" xr:uid="{A86B5ABC-6771-4C3A-B0A0-415B56AED493}"/>
    <cellStyle name="40% - Accent2 2 5 4" xfId="9602" xr:uid="{93E14E21-BA78-48A3-894A-C4B169CABEF4}"/>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DA2BB371-E1A6-4916-B70B-B60F4CDDD876}"/>
    <cellStyle name="40% - Accent2 2 6 2 3" xfId="12160" xr:uid="{A7BD6F6E-6500-49DB-BE72-71FFE48CE6BE}"/>
    <cellStyle name="40% - Accent2 2 6 3" xfId="5804" xr:uid="{00000000-0005-0000-0000-0000AA040000}"/>
    <cellStyle name="40% - Accent2 2 6 3 2" xfId="14233" xr:uid="{787AC95D-E141-4C10-A383-E55EA91DFDDB}"/>
    <cellStyle name="40% - Accent2 2 6 4" xfId="10015" xr:uid="{A85E1C89-6407-4C90-AAF2-68269FBE9267}"/>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A673F3D7-75CD-4E45-BC2A-3E8FD132986E}"/>
    <cellStyle name="40% - Accent2 2 7 2 3" xfId="12573" xr:uid="{4C82432E-34A0-4170-8D9F-03DB1B21660B}"/>
    <cellStyle name="40% - Accent2 2 7 3" xfId="6217" xr:uid="{00000000-0005-0000-0000-0000AE040000}"/>
    <cellStyle name="40% - Accent2 2 7 3 2" xfId="14646" xr:uid="{F1677712-7940-41E1-963C-74AFEC95B8A3}"/>
    <cellStyle name="40% - Accent2 2 7 4" xfId="10428" xr:uid="{039D55CD-BB16-47B9-AABC-FCE860EDB8F3}"/>
    <cellStyle name="40% - Accent2 2 8" xfId="2322" xr:uid="{00000000-0005-0000-0000-0000AF040000}"/>
    <cellStyle name="40% - Accent2 2 8 2" xfId="6630" xr:uid="{00000000-0005-0000-0000-0000B0040000}"/>
    <cellStyle name="40% - Accent2 2 8 2 2" xfId="15059" xr:uid="{A493A47E-5C97-467A-8840-A6436FF1AE8B}"/>
    <cellStyle name="40% - Accent2 2 8 3" xfId="10841" xr:uid="{D23F5A99-4008-4DC7-947A-5BAF88C6753E}"/>
    <cellStyle name="40% - Accent2 2 9" xfId="4564" xr:uid="{00000000-0005-0000-0000-0000B1040000}"/>
    <cellStyle name="40% - Accent2 2 9 2" xfId="12993" xr:uid="{FB67C9B2-F4CB-48E4-9CF2-64ACA909B8D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2D4AB505-FDED-47DD-B7D0-A904E039B448}"/>
    <cellStyle name="40% - Accent2 3 2 2 2 3" xfId="11339" xr:uid="{7F72F014-035A-4C57-822F-C57722623C7B}"/>
    <cellStyle name="40% - Accent2 3 2 2 3" xfId="4983" xr:uid="{00000000-0005-0000-0000-0000B7040000}"/>
    <cellStyle name="40% - Accent2 3 2 2 3 2" xfId="13412" xr:uid="{7AC74620-12D5-422F-9092-1F6F30A149F1}"/>
    <cellStyle name="40% - Accent2 3 2 2 4" xfId="9194" xr:uid="{9617B33D-8FEE-4CE5-B877-96305C615513}"/>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DC3DF692-41EF-4681-9E9F-B9EFCE394905}"/>
    <cellStyle name="40% - Accent2 3 2 3 2 3" xfId="11752" xr:uid="{3C6A69B2-5F5E-4B37-ABB2-D58F1A900085}"/>
    <cellStyle name="40% - Accent2 3 2 3 3" xfId="5396" xr:uid="{00000000-0005-0000-0000-0000BB040000}"/>
    <cellStyle name="40% - Accent2 3 2 3 3 2" xfId="13825" xr:uid="{36A16036-2571-46C5-B427-52D4A6F32F10}"/>
    <cellStyle name="40% - Accent2 3 2 3 4" xfId="9607" xr:uid="{50B091A6-1A0D-435F-B6A5-3A5E5EB5F2BE}"/>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06B5034C-37BF-442D-9BA9-7850F3FAF455}"/>
    <cellStyle name="40% - Accent2 3 2 4 2 3" xfId="12165" xr:uid="{09D8817C-1A4F-4C3C-9311-BA2968AD7291}"/>
    <cellStyle name="40% - Accent2 3 2 4 3" xfId="5809" xr:uid="{00000000-0005-0000-0000-0000BF040000}"/>
    <cellStyle name="40% - Accent2 3 2 4 3 2" xfId="14238" xr:uid="{667C54C6-254A-449B-8417-63B70E502E7F}"/>
    <cellStyle name="40% - Accent2 3 2 4 4" xfId="10020" xr:uid="{09534ACC-DBBC-48FA-A2D3-FAC837334A50}"/>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8757297D-F3F7-4BC3-8C0E-BC5DC7A01CDB}"/>
    <cellStyle name="40% - Accent2 3 2 5 2 3" xfId="12578" xr:uid="{3F690226-1711-452C-8AD7-52A6EF707C8E}"/>
    <cellStyle name="40% - Accent2 3 2 5 3" xfId="6222" xr:uid="{00000000-0005-0000-0000-0000C3040000}"/>
    <cellStyle name="40% - Accent2 3 2 5 3 2" xfId="14651" xr:uid="{17FDB451-F034-4F4C-A671-0D6797E3C474}"/>
    <cellStyle name="40% - Accent2 3 2 5 4" xfId="10433" xr:uid="{C293ED3E-037B-45A6-AA33-D5FBAC10FDB6}"/>
    <cellStyle name="40% - Accent2 3 2 6" xfId="2327" xr:uid="{00000000-0005-0000-0000-0000C4040000}"/>
    <cellStyle name="40% - Accent2 3 2 6 2" xfId="6635" xr:uid="{00000000-0005-0000-0000-0000C5040000}"/>
    <cellStyle name="40% - Accent2 3 2 6 2 2" xfId="15064" xr:uid="{2B6F77A1-54E3-45D6-8A4C-C816FE8F5C30}"/>
    <cellStyle name="40% - Accent2 3 2 6 3" xfId="10846" xr:uid="{5A223F09-4A22-4D48-91DD-CAFA240634DD}"/>
    <cellStyle name="40% - Accent2 3 2 7" xfId="4569" xr:uid="{00000000-0005-0000-0000-0000C6040000}"/>
    <cellStyle name="40% - Accent2 3 2 7 2" xfId="12998" xr:uid="{380073D6-8165-42CE-B28B-64BE9C3DA993}"/>
    <cellStyle name="40% - Accent2 3 2 8" xfId="8780" xr:uid="{C3EFCCC7-BFD6-421F-B3BF-360029BA2D4B}"/>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FBFB786B-F57D-4A72-82F6-F468D8F097DF}"/>
    <cellStyle name="40% - Accent2 3 3 2 3" xfId="11338" xr:uid="{8FBB9036-3A1D-4E9F-903B-7DCD489EB1B5}"/>
    <cellStyle name="40% - Accent2 3 3 3" xfId="4982" xr:uid="{00000000-0005-0000-0000-0000CA040000}"/>
    <cellStyle name="40% - Accent2 3 3 3 2" xfId="13411" xr:uid="{34270B7C-4088-4D53-9C1D-543ADCC8D69C}"/>
    <cellStyle name="40% - Accent2 3 3 4" xfId="9193" xr:uid="{898172B4-07F9-490E-A4F7-2D89FF954A99}"/>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3CCC97C5-CBCE-4A4E-A044-3AED2826C4BF}"/>
    <cellStyle name="40% - Accent2 3 4 2 3" xfId="11751" xr:uid="{2E38941C-D01D-46EE-A972-08B710F46A2B}"/>
    <cellStyle name="40% - Accent2 3 4 3" xfId="5395" xr:uid="{00000000-0005-0000-0000-0000CE040000}"/>
    <cellStyle name="40% - Accent2 3 4 3 2" xfId="13824" xr:uid="{CA1B960A-B29A-4490-AB1C-43FA75CA736B}"/>
    <cellStyle name="40% - Accent2 3 4 4" xfId="9606" xr:uid="{4ADDD11A-492A-43CE-A4B6-DFEF2F23CCAA}"/>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DA51273A-7E12-40D8-A029-F43A76277508}"/>
    <cellStyle name="40% - Accent2 3 5 2 3" xfId="12164" xr:uid="{0D9EA49E-4088-45A4-ABBA-79B373541B4D}"/>
    <cellStyle name="40% - Accent2 3 5 3" xfId="5808" xr:uid="{00000000-0005-0000-0000-0000D2040000}"/>
    <cellStyle name="40% - Accent2 3 5 3 2" xfId="14237" xr:uid="{48EF17FD-977B-48D3-8CC8-1391BF6A45CD}"/>
    <cellStyle name="40% - Accent2 3 5 4" xfId="10019" xr:uid="{2966034C-0E94-4213-BE1A-85A764D20CE0}"/>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1DF14878-008D-473C-A5D8-3B8C5FC584A5}"/>
    <cellStyle name="40% - Accent2 3 6 2 3" xfId="12577" xr:uid="{8D8C67A6-F6E6-4324-B88E-0EA9B4E0919E}"/>
    <cellStyle name="40% - Accent2 3 6 3" xfId="6221" xr:uid="{00000000-0005-0000-0000-0000D6040000}"/>
    <cellStyle name="40% - Accent2 3 6 3 2" xfId="14650" xr:uid="{32836A31-8FA6-45E3-AA2E-24644AE33DC2}"/>
    <cellStyle name="40% - Accent2 3 6 4" xfId="10432" xr:uid="{BAB63413-5467-46A8-91B4-224B9DA3540B}"/>
    <cellStyle name="40% - Accent2 3 7" xfId="2326" xr:uid="{00000000-0005-0000-0000-0000D7040000}"/>
    <cellStyle name="40% - Accent2 3 7 2" xfId="6634" xr:uid="{00000000-0005-0000-0000-0000D8040000}"/>
    <cellStyle name="40% - Accent2 3 7 2 2" xfId="15063" xr:uid="{8591C516-EC6B-4FEC-8CE3-EF8F5EDF286F}"/>
    <cellStyle name="40% - Accent2 3 7 3" xfId="10845" xr:uid="{18FC5D9D-5EA6-4D49-9426-B1C5745D458E}"/>
    <cellStyle name="40% - Accent2 3 8" xfId="4568" xr:uid="{00000000-0005-0000-0000-0000D9040000}"/>
    <cellStyle name="40% - Accent2 3 8 2" xfId="12997" xr:uid="{0A018B40-94F3-4455-98AA-6A394530B42F}"/>
    <cellStyle name="40% - Accent2 3 9" xfId="8779" xr:uid="{18965A4D-D2FD-4EC7-9694-F62C6FBBBFDC}"/>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5547922D-22AD-4E15-8775-4527C89AFA9A}"/>
    <cellStyle name="40% - Accent2 4 2 2 3" xfId="11340" xr:uid="{13B9D34C-FF90-4024-845A-16E621405E3E}"/>
    <cellStyle name="40% - Accent2 4 2 3" xfId="4984" xr:uid="{00000000-0005-0000-0000-0000DE040000}"/>
    <cellStyle name="40% - Accent2 4 2 3 2" xfId="13413" xr:uid="{53D03CE6-4FAA-4975-A41E-098BD36EDE78}"/>
    <cellStyle name="40% - Accent2 4 2 4" xfId="9195" xr:uid="{9FBC51E0-158E-494C-8943-87F8D5C39263}"/>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2282BF7B-C172-42F2-A5CD-6AC298FDAEB5}"/>
    <cellStyle name="40% - Accent2 4 3 2 3" xfId="11753" xr:uid="{EB226525-0402-46FA-9C90-A88C759A219F}"/>
    <cellStyle name="40% - Accent2 4 3 3" xfId="5397" xr:uid="{00000000-0005-0000-0000-0000E2040000}"/>
    <cellStyle name="40% - Accent2 4 3 3 2" xfId="13826" xr:uid="{B0714B49-DBA6-4C83-B0C1-07899EA7B213}"/>
    <cellStyle name="40% - Accent2 4 3 4" xfId="9608" xr:uid="{167C11B0-1F7D-48DB-A790-D14047691084}"/>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7B8BE949-9FAB-42EF-8F4B-49AD2381B17B}"/>
    <cellStyle name="40% - Accent2 4 4 2 3" xfId="12166" xr:uid="{3B5562FE-7B08-44FC-BD5A-EFD8A1A29935}"/>
    <cellStyle name="40% - Accent2 4 4 3" xfId="5810" xr:uid="{00000000-0005-0000-0000-0000E6040000}"/>
    <cellStyle name="40% - Accent2 4 4 3 2" xfId="14239" xr:uid="{E4DB0D86-B92F-485A-B6E0-35E5520CF09F}"/>
    <cellStyle name="40% - Accent2 4 4 4" xfId="10021" xr:uid="{DE8A23AD-DA19-463A-A8DE-DB74EDC5A595}"/>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7B97B9C6-D4FF-4633-A403-65F4B48EE2A7}"/>
    <cellStyle name="40% - Accent2 4 5 2 3" xfId="12579" xr:uid="{CBA1F80E-8060-4BEB-A042-CCCF3372D1BE}"/>
    <cellStyle name="40% - Accent2 4 5 3" xfId="6223" xr:uid="{00000000-0005-0000-0000-0000EA040000}"/>
    <cellStyle name="40% - Accent2 4 5 3 2" xfId="14652" xr:uid="{C43C57A2-594D-479B-867B-8733B6FF7F85}"/>
    <cellStyle name="40% - Accent2 4 5 4" xfId="10434" xr:uid="{5A4F12B5-E470-4FDE-A126-97249AE2A94E}"/>
    <cellStyle name="40% - Accent2 4 6" xfId="2328" xr:uid="{00000000-0005-0000-0000-0000EB040000}"/>
    <cellStyle name="40% - Accent2 4 6 2" xfId="6636" xr:uid="{00000000-0005-0000-0000-0000EC040000}"/>
    <cellStyle name="40% - Accent2 4 6 2 2" xfId="15065" xr:uid="{DD312104-B4B0-4B57-B7D2-40081698475A}"/>
    <cellStyle name="40% - Accent2 4 6 3" xfId="10847" xr:uid="{8DB9CC8A-C35B-402F-9047-B6FE616AD9C0}"/>
    <cellStyle name="40% - Accent2 4 7" xfId="4570" xr:uid="{00000000-0005-0000-0000-0000ED040000}"/>
    <cellStyle name="40% - Accent2 4 7 2" xfId="12999" xr:uid="{614007E1-A754-43BB-9249-5ED400D7B9A3}"/>
    <cellStyle name="40% - Accent2 4 8" xfId="8781" xr:uid="{DE8ADE98-9332-433E-A533-2838C7EF5143}"/>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673B9103-6E58-4567-B90D-07094EFDF5CA}"/>
    <cellStyle name="40% - Accent2 5 2 3" xfId="11333" xr:uid="{DF790876-F553-446C-AC5C-B1B96FEBFC97}"/>
    <cellStyle name="40% - Accent2 5 3" xfId="4977" xr:uid="{00000000-0005-0000-0000-0000F1040000}"/>
    <cellStyle name="40% - Accent2 5 3 2" xfId="13406" xr:uid="{67108F10-2911-45AA-A6D4-DC0110107108}"/>
    <cellStyle name="40% - Accent2 5 4" xfId="9188" xr:uid="{CCB001EA-E79A-4832-832A-883215169EA8}"/>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B1F5826A-4AAD-4626-9E64-8DCB1E9DA4CA}"/>
    <cellStyle name="40% - Accent2 6 2 3" xfId="11746" xr:uid="{B15BDF63-C300-4661-899E-F3D0886E5F95}"/>
    <cellStyle name="40% - Accent2 6 3" xfId="5390" xr:uid="{00000000-0005-0000-0000-0000F5040000}"/>
    <cellStyle name="40% - Accent2 6 3 2" xfId="13819" xr:uid="{0691C533-9F7F-4331-86AD-A9F587955374}"/>
    <cellStyle name="40% - Accent2 6 4" xfId="9601" xr:uid="{957654A6-AE75-4B79-A963-772FDC8D57B9}"/>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1640C5A5-BD50-41B1-B431-757939AB1F85}"/>
    <cellStyle name="40% - Accent2 7 2 3" xfId="12159" xr:uid="{94633A3B-B89D-4A8C-A5AF-D0337734D031}"/>
    <cellStyle name="40% - Accent2 7 3" xfId="5803" xr:uid="{00000000-0005-0000-0000-0000F9040000}"/>
    <cellStyle name="40% - Accent2 7 3 2" xfId="14232" xr:uid="{FDB441C6-7933-4C63-A091-25307503013A}"/>
    <cellStyle name="40% - Accent2 7 4" xfId="10014" xr:uid="{75ED22C3-E981-4342-842D-0195282B2DAE}"/>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8CF7AC31-5AB7-4866-AAA5-2D904F7CBFC4}"/>
    <cellStyle name="40% - Accent2 8 2 3" xfId="12572" xr:uid="{CA7D23D1-3083-4500-B796-A0C53B916978}"/>
    <cellStyle name="40% - Accent2 8 3" xfId="6216" xr:uid="{00000000-0005-0000-0000-0000FD040000}"/>
    <cellStyle name="40% - Accent2 8 3 2" xfId="14645" xr:uid="{056B5DFF-0E00-43CB-AE93-FF4D34EA89F3}"/>
    <cellStyle name="40% - Accent2 8 4" xfId="10427" xr:uid="{B63B50D0-2077-433D-9FC5-0F4283D33667}"/>
    <cellStyle name="40% - Accent2 9" xfId="2321" xr:uid="{00000000-0005-0000-0000-0000FE040000}"/>
    <cellStyle name="40% - Accent2 9 2" xfId="6629" xr:uid="{00000000-0005-0000-0000-0000FF040000}"/>
    <cellStyle name="40% - Accent2 9 2 2" xfId="15058" xr:uid="{6E1D4250-7470-43E8-844C-11E7ACE91599}"/>
    <cellStyle name="40% - Accent2 9 3" xfId="10840" xr:uid="{631CE95D-4980-45A2-B150-A73E06E0D668}"/>
    <cellStyle name="40% - Accent3" xfId="65" builtinId="39" customBuiltin="1"/>
    <cellStyle name="40% - Accent3 10" xfId="4571" xr:uid="{00000000-0005-0000-0000-000001050000}"/>
    <cellStyle name="40% - Accent3 10 2" xfId="13000" xr:uid="{5EA5FBD0-849C-4C20-B9CE-B465EF161F86}"/>
    <cellStyle name="40% - Accent3 11" xfId="8782" xr:uid="{9CBCC5B7-D745-4B85-90D6-C6D762EBC8B7}"/>
    <cellStyle name="40% - Accent3 2" xfId="66" xr:uid="{00000000-0005-0000-0000-000002050000}"/>
    <cellStyle name="40% - Accent3 2 10" xfId="8783" xr:uid="{82559C27-71C0-4521-B2B5-7147DE8F47C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C42D5AA-3476-4425-95BE-CFA6ADCA3664}"/>
    <cellStyle name="40% - Accent3 2 2 2 2 2 3" xfId="11344" xr:uid="{F9E9D39E-B60C-4450-B920-50925E81EEBD}"/>
    <cellStyle name="40% - Accent3 2 2 2 2 3" xfId="4988" xr:uid="{00000000-0005-0000-0000-000008050000}"/>
    <cellStyle name="40% - Accent3 2 2 2 2 3 2" xfId="13417" xr:uid="{253DD321-FB77-4411-8299-EDC67C6A55C3}"/>
    <cellStyle name="40% - Accent3 2 2 2 2 4" xfId="9199" xr:uid="{7A788C6A-5CD8-4058-8380-176BFB89D85A}"/>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13AEF4C5-2710-4CA2-80A1-4A53F5284B17}"/>
    <cellStyle name="40% - Accent3 2 2 2 3 2 3" xfId="11757" xr:uid="{663F6CB7-9328-4602-ADAA-DB7EA64BE6B5}"/>
    <cellStyle name="40% - Accent3 2 2 2 3 3" xfId="5401" xr:uid="{00000000-0005-0000-0000-00000C050000}"/>
    <cellStyle name="40% - Accent3 2 2 2 3 3 2" xfId="13830" xr:uid="{C4941F48-57F8-49E6-81A6-51DDA18FDA1C}"/>
    <cellStyle name="40% - Accent3 2 2 2 3 4" xfId="9612" xr:uid="{3345808D-4982-4C94-8B2B-580CEFB1CC3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0586132C-EA96-490A-A27E-7AF96B5551B9}"/>
    <cellStyle name="40% - Accent3 2 2 2 4 2 3" xfId="12170" xr:uid="{1FB2D0BA-EBEC-4ACF-B429-2C476A2F4253}"/>
    <cellStyle name="40% - Accent3 2 2 2 4 3" xfId="5814" xr:uid="{00000000-0005-0000-0000-000010050000}"/>
    <cellStyle name="40% - Accent3 2 2 2 4 3 2" xfId="14243" xr:uid="{858F0D5F-36F9-4F1A-ACEC-23B90CF1C628}"/>
    <cellStyle name="40% - Accent3 2 2 2 4 4" xfId="10025" xr:uid="{9E3CF840-2501-45B9-B9DB-6A39B335DD18}"/>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5B4999D8-9727-4F4A-97E1-5239539FA8E0}"/>
    <cellStyle name="40% - Accent3 2 2 2 5 2 3" xfId="12583" xr:uid="{8EFCBD45-BF25-42E3-8029-DA4545AA018B}"/>
    <cellStyle name="40% - Accent3 2 2 2 5 3" xfId="6227" xr:uid="{00000000-0005-0000-0000-000014050000}"/>
    <cellStyle name="40% - Accent3 2 2 2 5 3 2" xfId="14656" xr:uid="{1736EA57-BC78-4147-89B2-CC50265DCE73}"/>
    <cellStyle name="40% - Accent3 2 2 2 5 4" xfId="10438" xr:uid="{1204041D-1EEC-41F6-BB63-AD98F1C9D769}"/>
    <cellStyle name="40% - Accent3 2 2 2 6" xfId="2332" xr:uid="{00000000-0005-0000-0000-000015050000}"/>
    <cellStyle name="40% - Accent3 2 2 2 6 2" xfId="6640" xr:uid="{00000000-0005-0000-0000-000016050000}"/>
    <cellStyle name="40% - Accent3 2 2 2 6 2 2" xfId="15069" xr:uid="{E71647FA-8BEA-4D07-8347-E371E21D8669}"/>
    <cellStyle name="40% - Accent3 2 2 2 6 3" xfId="10851" xr:uid="{FA873AE7-A1EA-4061-A784-C4F39F8F5F93}"/>
    <cellStyle name="40% - Accent3 2 2 2 7" xfId="4574" xr:uid="{00000000-0005-0000-0000-000017050000}"/>
    <cellStyle name="40% - Accent3 2 2 2 7 2" xfId="13003" xr:uid="{4ACD8214-07C3-4C76-B038-A4FEF8A6119E}"/>
    <cellStyle name="40% - Accent3 2 2 2 8" xfId="8785" xr:uid="{14D4C098-5429-4788-99C9-82CB94ED4522}"/>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6F214E3B-EECB-442D-A5B8-134803A0EE38}"/>
    <cellStyle name="40% - Accent3 2 2 3 2 3" xfId="11343" xr:uid="{F4291BD6-6BD7-4B52-91B8-608F885B9785}"/>
    <cellStyle name="40% - Accent3 2 2 3 3" xfId="4987" xr:uid="{00000000-0005-0000-0000-00001B050000}"/>
    <cellStyle name="40% - Accent3 2 2 3 3 2" xfId="13416" xr:uid="{B2C5CEAF-BE4E-4405-81CA-981D7536E535}"/>
    <cellStyle name="40% - Accent3 2 2 3 4" xfId="9198" xr:uid="{E0E04EF3-7DA8-47FE-89D0-0B69EC08233F}"/>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361FBB4E-5E35-4F6E-97C7-DCFF76281F74}"/>
    <cellStyle name="40% - Accent3 2 2 4 2 3" xfId="11756" xr:uid="{D0AAD388-4C6C-4317-B840-F57D6DF07F4D}"/>
    <cellStyle name="40% - Accent3 2 2 4 3" xfId="5400" xr:uid="{00000000-0005-0000-0000-00001F050000}"/>
    <cellStyle name="40% - Accent3 2 2 4 3 2" xfId="13829" xr:uid="{A7978C82-D796-41EB-8D5B-C2E06224163D}"/>
    <cellStyle name="40% - Accent3 2 2 4 4" xfId="9611" xr:uid="{16270423-DBC3-4A01-ADB9-C1EA36742A3C}"/>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6AC687C3-C9CE-4E32-B6B1-5E5544CBA45D}"/>
    <cellStyle name="40% - Accent3 2 2 5 2 3" xfId="12169" xr:uid="{5C9E5E77-A568-4640-93B3-2287682F0F24}"/>
    <cellStyle name="40% - Accent3 2 2 5 3" xfId="5813" xr:uid="{00000000-0005-0000-0000-000023050000}"/>
    <cellStyle name="40% - Accent3 2 2 5 3 2" xfId="14242" xr:uid="{79D57D0D-2266-49C6-A76C-82985555B7B7}"/>
    <cellStyle name="40% - Accent3 2 2 5 4" xfId="10024" xr:uid="{812E9420-9691-49AE-A182-FCCDC86D5EAD}"/>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D45E823C-7E48-48D6-B104-2CB63E2AA17B}"/>
    <cellStyle name="40% - Accent3 2 2 6 2 3" xfId="12582" xr:uid="{F30E6BF3-588A-4F04-BD77-B11A14D0417C}"/>
    <cellStyle name="40% - Accent3 2 2 6 3" xfId="6226" xr:uid="{00000000-0005-0000-0000-000027050000}"/>
    <cellStyle name="40% - Accent3 2 2 6 3 2" xfId="14655" xr:uid="{A99525F9-CAC2-4FFC-8D1B-D7B1659EFEBA}"/>
    <cellStyle name="40% - Accent3 2 2 6 4" xfId="10437" xr:uid="{C64C106E-6E57-4F69-BA5B-477D2B666E73}"/>
    <cellStyle name="40% - Accent3 2 2 7" xfId="2331" xr:uid="{00000000-0005-0000-0000-000028050000}"/>
    <cellStyle name="40% - Accent3 2 2 7 2" xfId="6639" xr:uid="{00000000-0005-0000-0000-000029050000}"/>
    <cellStyle name="40% - Accent3 2 2 7 2 2" xfId="15068" xr:uid="{DC68D040-0668-4359-BD27-BBEEF15A0C2F}"/>
    <cellStyle name="40% - Accent3 2 2 7 3" xfId="10850" xr:uid="{A1DD0110-D531-4446-93E0-A5DE603594F6}"/>
    <cellStyle name="40% - Accent3 2 2 8" xfId="4573" xr:uid="{00000000-0005-0000-0000-00002A050000}"/>
    <cellStyle name="40% - Accent3 2 2 8 2" xfId="13002" xr:uid="{6550AC1D-6811-4E3D-BEC7-047631C7EFC8}"/>
    <cellStyle name="40% - Accent3 2 2 9" xfId="8784" xr:uid="{3F9AA41A-26D0-4F8C-A5A7-22D25DA9397F}"/>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3BD01F1A-0722-4FCF-AD4F-E17479D4B2FA}"/>
    <cellStyle name="40% - Accent3 2 3 2 2 3" xfId="11345" xr:uid="{4D836D51-125A-4853-A587-02F062D0080A}"/>
    <cellStyle name="40% - Accent3 2 3 2 3" xfId="4989" xr:uid="{00000000-0005-0000-0000-00002F050000}"/>
    <cellStyle name="40% - Accent3 2 3 2 3 2" xfId="13418" xr:uid="{34BC6588-8CB1-4D90-AC70-40FE7BDFDD8E}"/>
    <cellStyle name="40% - Accent3 2 3 2 4" xfId="9200" xr:uid="{91665D5E-3D1A-439C-B4F6-4B80512060FA}"/>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9D4383FC-4263-4FFB-B2EF-0523A9AF5D6F}"/>
    <cellStyle name="40% - Accent3 2 3 3 2 3" xfId="11758" xr:uid="{C84A24EC-3DA5-4DAD-BE26-55BA380381C6}"/>
    <cellStyle name="40% - Accent3 2 3 3 3" xfId="5402" xr:uid="{00000000-0005-0000-0000-000033050000}"/>
    <cellStyle name="40% - Accent3 2 3 3 3 2" xfId="13831" xr:uid="{DE84144E-39D3-4821-82BB-BEA844835C21}"/>
    <cellStyle name="40% - Accent3 2 3 3 4" xfId="9613" xr:uid="{CCB2452D-1C43-4CD9-BC30-C3DE37BFBFE4}"/>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A2F75ADD-FCE0-469B-BCA8-4CE4ADFB77B8}"/>
    <cellStyle name="40% - Accent3 2 3 4 2 3" xfId="12171" xr:uid="{16168D3B-3410-42E8-A09F-77704C5855B5}"/>
    <cellStyle name="40% - Accent3 2 3 4 3" xfId="5815" xr:uid="{00000000-0005-0000-0000-000037050000}"/>
    <cellStyle name="40% - Accent3 2 3 4 3 2" xfId="14244" xr:uid="{33688FED-38E0-4CA7-B0B3-A1E6D0802D1A}"/>
    <cellStyle name="40% - Accent3 2 3 4 4" xfId="10026" xr:uid="{0ED93577-BF9A-4EF4-B490-C1A880F39662}"/>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B755128E-5E8F-485A-924C-2BBBD40A3812}"/>
    <cellStyle name="40% - Accent3 2 3 5 2 3" xfId="12584" xr:uid="{A37CD30F-023B-4FA8-93D2-85FC8388DF48}"/>
    <cellStyle name="40% - Accent3 2 3 5 3" xfId="6228" xr:uid="{00000000-0005-0000-0000-00003B050000}"/>
    <cellStyle name="40% - Accent3 2 3 5 3 2" xfId="14657" xr:uid="{E2466BE5-47D4-4B98-8D40-8A40AD9690EE}"/>
    <cellStyle name="40% - Accent3 2 3 5 4" xfId="10439" xr:uid="{5C891B89-D956-463D-B943-9454DF32DB41}"/>
    <cellStyle name="40% - Accent3 2 3 6" xfId="2333" xr:uid="{00000000-0005-0000-0000-00003C050000}"/>
    <cellStyle name="40% - Accent3 2 3 6 2" xfId="6641" xr:uid="{00000000-0005-0000-0000-00003D050000}"/>
    <cellStyle name="40% - Accent3 2 3 6 2 2" xfId="15070" xr:uid="{76C824F2-8614-4851-8AF8-ED667A2E4557}"/>
    <cellStyle name="40% - Accent3 2 3 6 3" xfId="10852" xr:uid="{FA692518-1524-4289-900B-C02DC548D7F6}"/>
    <cellStyle name="40% - Accent3 2 3 7" xfId="4575" xr:uid="{00000000-0005-0000-0000-00003E050000}"/>
    <cellStyle name="40% - Accent3 2 3 7 2" xfId="13004" xr:uid="{1DB5F9CD-9B7F-4416-B5FD-ED9B68B36BAD}"/>
    <cellStyle name="40% - Accent3 2 3 8" xfId="8786" xr:uid="{B399F50A-0E95-422B-9288-DEA4F1EBE9DC}"/>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3CD366EF-1C10-4F5C-A86A-1F5D188EB891}"/>
    <cellStyle name="40% - Accent3 2 4 2 3" xfId="11342" xr:uid="{6F024C82-CAED-4BD0-A081-1544AAF48546}"/>
    <cellStyle name="40% - Accent3 2 4 3" xfId="4986" xr:uid="{00000000-0005-0000-0000-000042050000}"/>
    <cellStyle name="40% - Accent3 2 4 3 2" xfId="13415" xr:uid="{BF182F9C-1CA8-42A3-A01B-58233F545E00}"/>
    <cellStyle name="40% - Accent3 2 4 4" xfId="9197" xr:uid="{A2D2E9A5-1964-477B-8B93-70D529AB9478}"/>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226DFF2F-713F-4A26-9B50-BB725964EA75}"/>
    <cellStyle name="40% - Accent3 2 5 2 3" xfId="11755" xr:uid="{CC478DDD-9430-4CEB-8BE2-5D6F81919599}"/>
    <cellStyle name="40% - Accent3 2 5 3" xfId="5399" xr:uid="{00000000-0005-0000-0000-000046050000}"/>
    <cellStyle name="40% - Accent3 2 5 3 2" xfId="13828" xr:uid="{E4B0C442-773B-46D3-9EB5-4105AAE3E908}"/>
    <cellStyle name="40% - Accent3 2 5 4" xfId="9610" xr:uid="{F269182B-B535-4D6E-BE13-92B59900E591}"/>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F18EEAA6-9964-402F-AC6C-15CE1C54A8F3}"/>
    <cellStyle name="40% - Accent3 2 6 2 3" xfId="12168" xr:uid="{ACD68014-9B85-4CD7-9E8C-9A0D75A25016}"/>
    <cellStyle name="40% - Accent3 2 6 3" xfId="5812" xr:uid="{00000000-0005-0000-0000-00004A050000}"/>
    <cellStyle name="40% - Accent3 2 6 3 2" xfId="14241" xr:uid="{3D52CC62-6522-4D17-A30E-675E7C3CCB41}"/>
    <cellStyle name="40% - Accent3 2 6 4" xfId="10023" xr:uid="{8CC497D7-694C-4B10-8E80-71C4F00909F5}"/>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3895BA95-9934-480B-84C8-C46B0C411996}"/>
    <cellStyle name="40% - Accent3 2 7 2 3" xfId="12581" xr:uid="{2415FCE7-8145-4FBD-BFA0-3CBDF30D0C5B}"/>
    <cellStyle name="40% - Accent3 2 7 3" xfId="6225" xr:uid="{00000000-0005-0000-0000-00004E050000}"/>
    <cellStyle name="40% - Accent3 2 7 3 2" xfId="14654" xr:uid="{5D8C8DE9-7BCD-49A9-AD4B-EEB780070BA6}"/>
    <cellStyle name="40% - Accent3 2 7 4" xfId="10436" xr:uid="{4EB1A409-95B7-4EB0-BEA6-6A3376D55CE2}"/>
    <cellStyle name="40% - Accent3 2 8" xfId="2330" xr:uid="{00000000-0005-0000-0000-00004F050000}"/>
    <cellStyle name="40% - Accent3 2 8 2" xfId="6638" xr:uid="{00000000-0005-0000-0000-000050050000}"/>
    <cellStyle name="40% - Accent3 2 8 2 2" xfId="15067" xr:uid="{55F03150-FB7F-44DD-B908-A32A6F9D0BB8}"/>
    <cellStyle name="40% - Accent3 2 8 3" xfId="10849" xr:uid="{AEA5AF72-E0C2-4622-976E-93FAA4A3C751}"/>
    <cellStyle name="40% - Accent3 2 9" xfId="4572" xr:uid="{00000000-0005-0000-0000-000051050000}"/>
    <cellStyle name="40% - Accent3 2 9 2" xfId="13001" xr:uid="{44233891-3AE4-4624-BACF-3C1E2F7B9AFE}"/>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538D385D-8775-4DDD-B772-BAAA8FAB1C31}"/>
    <cellStyle name="40% - Accent3 3 2 2 2 3" xfId="11347" xr:uid="{72FD001D-5E01-4DB7-B5FD-1DB09FCE0CAB}"/>
    <cellStyle name="40% - Accent3 3 2 2 3" xfId="4991" xr:uid="{00000000-0005-0000-0000-000057050000}"/>
    <cellStyle name="40% - Accent3 3 2 2 3 2" xfId="13420" xr:uid="{414AF149-57EC-482B-B880-55A2277482A7}"/>
    <cellStyle name="40% - Accent3 3 2 2 4" xfId="9202" xr:uid="{20008B68-6442-4F93-856E-99351E7D2AB7}"/>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1671425C-5D32-42AD-B399-4DA549D94891}"/>
    <cellStyle name="40% - Accent3 3 2 3 2 3" xfId="11760" xr:uid="{DBF32F68-891D-41E7-B1FE-C12D1D09817A}"/>
    <cellStyle name="40% - Accent3 3 2 3 3" xfId="5404" xr:uid="{00000000-0005-0000-0000-00005B050000}"/>
    <cellStyle name="40% - Accent3 3 2 3 3 2" xfId="13833" xr:uid="{8FD7DE2B-3DED-47AB-BDA6-0AEC2E4A5487}"/>
    <cellStyle name="40% - Accent3 3 2 3 4" xfId="9615" xr:uid="{ACEFA4F9-0E05-4FF2-9046-F6E7BB77BE33}"/>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7A23C038-4A43-4925-AC8D-7C0F5B6A1411}"/>
    <cellStyle name="40% - Accent3 3 2 4 2 3" xfId="12173" xr:uid="{168D2363-77A6-4BC3-AD0E-7794A3046D68}"/>
    <cellStyle name="40% - Accent3 3 2 4 3" xfId="5817" xr:uid="{00000000-0005-0000-0000-00005F050000}"/>
    <cellStyle name="40% - Accent3 3 2 4 3 2" xfId="14246" xr:uid="{82A1A9D0-58F9-422D-902A-76B88884E618}"/>
    <cellStyle name="40% - Accent3 3 2 4 4" xfId="10028" xr:uid="{FE6AE56E-91E7-4350-BBEB-A56C9C20DB15}"/>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803B29B0-0EC1-4839-BBC8-97CCFD58EF51}"/>
    <cellStyle name="40% - Accent3 3 2 5 2 3" xfId="12586" xr:uid="{A0BBB4B0-24ED-40C6-9BA6-B53F84D744F5}"/>
    <cellStyle name="40% - Accent3 3 2 5 3" xfId="6230" xr:uid="{00000000-0005-0000-0000-000063050000}"/>
    <cellStyle name="40% - Accent3 3 2 5 3 2" xfId="14659" xr:uid="{C68AAA7E-DB95-47A1-BCA2-49FFC65B43C2}"/>
    <cellStyle name="40% - Accent3 3 2 5 4" xfId="10441" xr:uid="{8FA2DC00-3F07-460B-B32B-135D9423BAFC}"/>
    <cellStyle name="40% - Accent3 3 2 6" xfId="2335" xr:uid="{00000000-0005-0000-0000-000064050000}"/>
    <cellStyle name="40% - Accent3 3 2 6 2" xfId="6643" xr:uid="{00000000-0005-0000-0000-000065050000}"/>
    <cellStyle name="40% - Accent3 3 2 6 2 2" xfId="15072" xr:uid="{748CAE73-03E6-4D7B-8D81-471C2FB7467D}"/>
    <cellStyle name="40% - Accent3 3 2 6 3" xfId="10854" xr:uid="{F978A505-A684-44BF-9AE2-9D48C8949793}"/>
    <cellStyle name="40% - Accent3 3 2 7" xfId="4577" xr:uid="{00000000-0005-0000-0000-000066050000}"/>
    <cellStyle name="40% - Accent3 3 2 7 2" xfId="13006" xr:uid="{294E56A6-13A3-4E95-80DD-B2582E786617}"/>
    <cellStyle name="40% - Accent3 3 2 8" xfId="8788" xr:uid="{FFD6F5FA-D022-481A-A094-64E51F15341F}"/>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ABCF1444-90C7-49F5-BB66-0FD095EE6645}"/>
    <cellStyle name="40% - Accent3 3 3 2 3" xfId="11346" xr:uid="{ED12881B-E77C-4ED4-ACE3-1E96254DEA9F}"/>
    <cellStyle name="40% - Accent3 3 3 3" xfId="4990" xr:uid="{00000000-0005-0000-0000-00006A050000}"/>
    <cellStyle name="40% - Accent3 3 3 3 2" xfId="13419" xr:uid="{6C3190C6-0BF8-4BAB-9FF3-13B082754B2A}"/>
    <cellStyle name="40% - Accent3 3 3 4" xfId="9201" xr:uid="{AF3E3868-D2C9-44CB-B149-B3DB1F4643E3}"/>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5015BED2-C7F6-46B4-A424-024750741AD0}"/>
    <cellStyle name="40% - Accent3 3 4 2 3" xfId="11759" xr:uid="{8ADE1FA3-05E8-477C-9597-1560110268A6}"/>
    <cellStyle name="40% - Accent3 3 4 3" xfId="5403" xr:uid="{00000000-0005-0000-0000-00006E050000}"/>
    <cellStyle name="40% - Accent3 3 4 3 2" xfId="13832" xr:uid="{53519F2B-0372-4CDB-9CCB-1B39947939AB}"/>
    <cellStyle name="40% - Accent3 3 4 4" xfId="9614" xr:uid="{7EE45A36-E54B-4BFF-AAC0-414EA64A957E}"/>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A7FCCD44-83CC-4681-A1A3-8468D81D4B1B}"/>
    <cellStyle name="40% - Accent3 3 5 2 3" xfId="12172" xr:uid="{17991D91-D307-477E-96FC-D6ED2074E1E2}"/>
    <cellStyle name="40% - Accent3 3 5 3" xfId="5816" xr:uid="{00000000-0005-0000-0000-000072050000}"/>
    <cellStyle name="40% - Accent3 3 5 3 2" xfId="14245" xr:uid="{13553CC2-443E-4B88-80F1-BAA43F2E6CA6}"/>
    <cellStyle name="40% - Accent3 3 5 4" xfId="10027" xr:uid="{A5783CDF-6BD5-49B3-91B2-6646BFEDE1D0}"/>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01DDF874-AB20-420E-939E-8256DF210B79}"/>
    <cellStyle name="40% - Accent3 3 6 2 3" xfId="12585" xr:uid="{A2F6AB4F-85D3-4389-B848-A68998F3F029}"/>
    <cellStyle name="40% - Accent3 3 6 3" xfId="6229" xr:uid="{00000000-0005-0000-0000-000076050000}"/>
    <cellStyle name="40% - Accent3 3 6 3 2" xfId="14658" xr:uid="{48FDF008-818D-441A-BA36-793C53375E45}"/>
    <cellStyle name="40% - Accent3 3 6 4" xfId="10440" xr:uid="{6E550A16-4B55-43EC-B60E-51FFC3F1ED5F}"/>
    <cellStyle name="40% - Accent3 3 7" xfId="2334" xr:uid="{00000000-0005-0000-0000-000077050000}"/>
    <cellStyle name="40% - Accent3 3 7 2" xfId="6642" xr:uid="{00000000-0005-0000-0000-000078050000}"/>
    <cellStyle name="40% - Accent3 3 7 2 2" xfId="15071" xr:uid="{40F49E06-A757-4AFC-8E0A-5F6587FD4F1E}"/>
    <cellStyle name="40% - Accent3 3 7 3" xfId="10853" xr:uid="{432B2C81-2A5F-4188-B538-D8E06532FE58}"/>
    <cellStyle name="40% - Accent3 3 8" xfId="4576" xr:uid="{00000000-0005-0000-0000-000079050000}"/>
    <cellStyle name="40% - Accent3 3 8 2" xfId="13005" xr:uid="{A3333359-6778-41E3-80F8-9924CA66E2AA}"/>
    <cellStyle name="40% - Accent3 3 9" xfId="8787" xr:uid="{059E2C7F-73D4-497B-8563-B8DC85854A8E}"/>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E0C55B36-75C5-4462-941E-53D6DFD1A2F5}"/>
    <cellStyle name="40% - Accent3 4 2 2 3" xfId="11348" xr:uid="{9955ABC2-85A8-467F-8363-936395C1BC88}"/>
    <cellStyle name="40% - Accent3 4 2 3" xfId="4992" xr:uid="{00000000-0005-0000-0000-00007E050000}"/>
    <cellStyle name="40% - Accent3 4 2 3 2" xfId="13421" xr:uid="{21374185-A608-4CCF-9FBD-FBC5D163D7A3}"/>
    <cellStyle name="40% - Accent3 4 2 4" xfId="9203" xr:uid="{7F1FAEDE-8F34-4A0B-9C1F-2D0DBB5E944C}"/>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662745DA-F1CF-47BE-A270-C0B0C4DC414A}"/>
    <cellStyle name="40% - Accent3 4 3 2 3" xfId="11761" xr:uid="{CC53CA36-A724-4F39-9986-7C1BAD004FAB}"/>
    <cellStyle name="40% - Accent3 4 3 3" xfId="5405" xr:uid="{00000000-0005-0000-0000-000082050000}"/>
    <cellStyle name="40% - Accent3 4 3 3 2" xfId="13834" xr:uid="{544D7144-2BF5-4F85-8F86-93C76235E0C7}"/>
    <cellStyle name="40% - Accent3 4 3 4" xfId="9616" xr:uid="{9190E80A-3029-4E1F-9210-0E4F12078B36}"/>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7ADE3161-F7C6-45B8-B6AF-F5BB0CEEA6CA}"/>
    <cellStyle name="40% - Accent3 4 4 2 3" xfId="12174" xr:uid="{AF8B3250-4D88-4175-B639-AB3216D2D16F}"/>
    <cellStyle name="40% - Accent3 4 4 3" xfId="5818" xr:uid="{00000000-0005-0000-0000-000086050000}"/>
    <cellStyle name="40% - Accent3 4 4 3 2" xfId="14247" xr:uid="{A829E402-D090-4C9B-A612-4FF0F6D069BA}"/>
    <cellStyle name="40% - Accent3 4 4 4" xfId="10029" xr:uid="{E141877F-1B63-4809-9CBD-F7059B4389FA}"/>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461B7FAE-40F8-4AA5-9226-9B9D8C5C98FB}"/>
    <cellStyle name="40% - Accent3 4 5 2 3" xfId="12587" xr:uid="{8BD9DC90-C4C6-4917-8A74-1EE10731C42F}"/>
    <cellStyle name="40% - Accent3 4 5 3" xfId="6231" xr:uid="{00000000-0005-0000-0000-00008A050000}"/>
    <cellStyle name="40% - Accent3 4 5 3 2" xfId="14660" xr:uid="{DF016DA2-E9A2-4D60-AF1E-1D3A55FC8CAE}"/>
    <cellStyle name="40% - Accent3 4 5 4" xfId="10442" xr:uid="{AA023D16-A603-4FDB-8E63-7F85346BE050}"/>
    <cellStyle name="40% - Accent3 4 6" xfId="2336" xr:uid="{00000000-0005-0000-0000-00008B050000}"/>
    <cellStyle name="40% - Accent3 4 6 2" xfId="6644" xr:uid="{00000000-0005-0000-0000-00008C050000}"/>
    <cellStyle name="40% - Accent3 4 6 2 2" xfId="15073" xr:uid="{ECAC6E03-59D3-441A-9B37-6FB1ABFB9C54}"/>
    <cellStyle name="40% - Accent3 4 6 3" xfId="10855" xr:uid="{BED74FB8-1354-4C20-B272-DA2601B027EF}"/>
    <cellStyle name="40% - Accent3 4 7" xfId="4578" xr:uid="{00000000-0005-0000-0000-00008D050000}"/>
    <cellStyle name="40% - Accent3 4 7 2" xfId="13007" xr:uid="{1AF3FF78-A438-49A7-8955-53788259732C}"/>
    <cellStyle name="40% - Accent3 4 8" xfId="8789" xr:uid="{B7DC5F7B-D93B-42CD-BFC0-55B077574078}"/>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43B00055-97D2-4EA1-B4C9-DDC58D998AC3}"/>
    <cellStyle name="40% - Accent3 5 2 3" xfId="11341" xr:uid="{BEE97328-97FD-4DD0-88D4-A4CCC28B1A4D}"/>
    <cellStyle name="40% - Accent3 5 3" xfId="4985" xr:uid="{00000000-0005-0000-0000-000091050000}"/>
    <cellStyle name="40% - Accent3 5 3 2" xfId="13414" xr:uid="{853E72A5-C465-4E0B-93B8-4095C729391D}"/>
    <cellStyle name="40% - Accent3 5 4" xfId="9196" xr:uid="{B81AC585-E4A8-438C-A187-6732745DEE6A}"/>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7760F0C3-51F6-4A20-BDD1-C510BFEA98B0}"/>
    <cellStyle name="40% - Accent3 6 2 3" xfId="11754" xr:uid="{6EF11B3B-7A56-48DD-A8BB-2C85BC1DECC7}"/>
    <cellStyle name="40% - Accent3 6 3" xfId="5398" xr:uid="{00000000-0005-0000-0000-000095050000}"/>
    <cellStyle name="40% - Accent3 6 3 2" xfId="13827" xr:uid="{A0B78FC7-B9D6-4952-8A15-8B60EFF35FBE}"/>
    <cellStyle name="40% - Accent3 6 4" xfId="9609" xr:uid="{941DBA1D-1035-494C-AEB4-265C3CC4E0B4}"/>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1CC80563-30F2-4DEA-8FA3-358268677710}"/>
    <cellStyle name="40% - Accent3 7 2 3" xfId="12167" xr:uid="{0852DB10-E62A-44B0-B19F-EC454FAB489D}"/>
    <cellStyle name="40% - Accent3 7 3" xfId="5811" xr:uid="{00000000-0005-0000-0000-000099050000}"/>
    <cellStyle name="40% - Accent3 7 3 2" xfId="14240" xr:uid="{1C368C86-965F-4447-81B2-5B8944DFD120}"/>
    <cellStyle name="40% - Accent3 7 4" xfId="10022" xr:uid="{8E871C97-DFFD-4656-ACEE-A4B3CBF6D306}"/>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B93EC180-FBF7-46C8-8491-44832243FB5D}"/>
    <cellStyle name="40% - Accent3 8 2 3" xfId="12580" xr:uid="{3FCBA5E6-6694-4C4B-AB4A-8BA3806A2E28}"/>
    <cellStyle name="40% - Accent3 8 3" xfId="6224" xr:uid="{00000000-0005-0000-0000-00009D050000}"/>
    <cellStyle name="40% - Accent3 8 3 2" xfId="14653" xr:uid="{236B8FF5-E43D-4268-B8C5-A7A1E9C6CF3D}"/>
    <cellStyle name="40% - Accent3 8 4" xfId="10435" xr:uid="{CFE82490-FA6D-43DC-864F-53FDC864E2CD}"/>
    <cellStyle name="40% - Accent3 9" xfId="2329" xr:uid="{00000000-0005-0000-0000-00009E050000}"/>
    <cellStyle name="40% - Accent3 9 2" xfId="6637" xr:uid="{00000000-0005-0000-0000-00009F050000}"/>
    <cellStyle name="40% - Accent3 9 2 2" xfId="15066" xr:uid="{1924538E-1D43-41D0-8C26-A1EE45978887}"/>
    <cellStyle name="40% - Accent3 9 3" xfId="10848" xr:uid="{F017DFFF-DF7A-4AB4-B8A4-676DD06AE258}"/>
    <cellStyle name="40% - Accent4" xfId="73" builtinId="43" customBuiltin="1"/>
    <cellStyle name="40% - Accent4 10" xfId="4579" xr:uid="{00000000-0005-0000-0000-0000A1050000}"/>
    <cellStyle name="40% - Accent4 10 2" xfId="13008" xr:uid="{90D537C8-B871-4230-8A02-7AA990D97CE8}"/>
    <cellStyle name="40% - Accent4 11" xfId="8790" xr:uid="{25AE4198-C57E-4D5D-9C69-B519B4D51D45}"/>
    <cellStyle name="40% - Accent4 2" xfId="74" xr:uid="{00000000-0005-0000-0000-0000A2050000}"/>
    <cellStyle name="40% - Accent4 2 10" xfId="8791" xr:uid="{A10A4898-AFA9-413A-ABAB-6BC98ED5C202}"/>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E072BB80-094B-4CA3-A6A2-56F02DE1D664}"/>
    <cellStyle name="40% - Accent4 2 2 2 2 2 3" xfId="11352" xr:uid="{81B5EA60-6AFA-4BC7-9DDC-7B9B006BEE65}"/>
    <cellStyle name="40% - Accent4 2 2 2 2 3" xfId="4996" xr:uid="{00000000-0005-0000-0000-0000A8050000}"/>
    <cellStyle name="40% - Accent4 2 2 2 2 3 2" xfId="13425" xr:uid="{C0C62700-9593-42D7-98EC-C1D2D6AD2D28}"/>
    <cellStyle name="40% - Accent4 2 2 2 2 4" xfId="9207" xr:uid="{B8E2D74F-932C-44DF-8E0E-9D682AC52ED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E10C42C6-A9DC-485D-A962-C8ED9FB6FD88}"/>
    <cellStyle name="40% - Accent4 2 2 2 3 2 3" xfId="11765" xr:uid="{01CC7AEB-74CF-4F11-8738-8DCB93F0BFFA}"/>
    <cellStyle name="40% - Accent4 2 2 2 3 3" xfId="5409" xr:uid="{00000000-0005-0000-0000-0000AC050000}"/>
    <cellStyle name="40% - Accent4 2 2 2 3 3 2" xfId="13838" xr:uid="{B1453264-0348-4FE3-A4B6-9C4321BC335E}"/>
    <cellStyle name="40% - Accent4 2 2 2 3 4" xfId="9620" xr:uid="{ACC51746-1310-4601-9BE7-4F931F718895}"/>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497AF083-8153-463B-8BD4-6A64D5B82287}"/>
    <cellStyle name="40% - Accent4 2 2 2 4 2 3" xfId="12178" xr:uid="{3BAD46FE-261F-4C74-ABFE-E85EA3DA7A1A}"/>
    <cellStyle name="40% - Accent4 2 2 2 4 3" xfId="5822" xr:uid="{00000000-0005-0000-0000-0000B0050000}"/>
    <cellStyle name="40% - Accent4 2 2 2 4 3 2" xfId="14251" xr:uid="{896B64CD-F5B0-43A7-902B-619728E10237}"/>
    <cellStyle name="40% - Accent4 2 2 2 4 4" xfId="10033" xr:uid="{2FDDA34B-E5FE-4B28-9117-B04DADF26F11}"/>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6049E58B-B8B5-4FF7-9334-C75E0368ABB0}"/>
    <cellStyle name="40% - Accent4 2 2 2 5 2 3" xfId="12591" xr:uid="{F1ADAFFA-FB9D-48FF-BD5B-E78DFFD96E9B}"/>
    <cellStyle name="40% - Accent4 2 2 2 5 3" xfId="6235" xr:uid="{00000000-0005-0000-0000-0000B4050000}"/>
    <cellStyle name="40% - Accent4 2 2 2 5 3 2" xfId="14664" xr:uid="{C276817E-55B8-4079-AA3D-F01F1194CFBE}"/>
    <cellStyle name="40% - Accent4 2 2 2 5 4" xfId="10446" xr:uid="{E9B4F5E1-90CC-4C73-A014-69EF042332C9}"/>
    <cellStyle name="40% - Accent4 2 2 2 6" xfId="2340" xr:uid="{00000000-0005-0000-0000-0000B5050000}"/>
    <cellStyle name="40% - Accent4 2 2 2 6 2" xfId="6648" xr:uid="{00000000-0005-0000-0000-0000B6050000}"/>
    <cellStyle name="40% - Accent4 2 2 2 6 2 2" xfId="15077" xr:uid="{965614C0-398E-49F8-A7B9-07AB9C555FF2}"/>
    <cellStyle name="40% - Accent4 2 2 2 6 3" xfId="10859" xr:uid="{7EABB3AF-BE0A-4234-8618-0A10C1BB53F3}"/>
    <cellStyle name="40% - Accent4 2 2 2 7" xfId="4582" xr:uid="{00000000-0005-0000-0000-0000B7050000}"/>
    <cellStyle name="40% - Accent4 2 2 2 7 2" xfId="13011" xr:uid="{64157BB6-F104-440F-BF0C-B467B7A852DC}"/>
    <cellStyle name="40% - Accent4 2 2 2 8" xfId="8793" xr:uid="{2300C6A3-973D-4FC6-A2CB-DDE17CCBC656}"/>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990005A1-95E8-4D89-9D31-69787F243226}"/>
    <cellStyle name="40% - Accent4 2 2 3 2 3" xfId="11351" xr:uid="{9A2934DA-F436-4A9D-A9AB-351F6A9026C0}"/>
    <cellStyle name="40% - Accent4 2 2 3 3" xfId="4995" xr:uid="{00000000-0005-0000-0000-0000BB050000}"/>
    <cellStyle name="40% - Accent4 2 2 3 3 2" xfId="13424" xr:uid="{4987300D-4AA4-4EDA-8C71-52E25D324D00}"/>
    <cellStyle name="40% - Accent4 2 2 3 4" xfId="9206" xr:uid="{3AB76AC6-F6DC-41A9-9DBD-0CF95CE68105}"/>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505BF2DF-E212-454C-9C85-69CB598956CA}"/>
    <cellStyle name="40% - Accent4 2 2 4 2 3" xfId="11764" xr:uid="{3892FED2-FBB2-4380-9A72-7EFE5C8F0E2E}"/>
    <cellStyle name="40% - Accent4 2 2 4 3" xfId="5408" xr:uid="{00000000-0005-0000-0000-0000BF050000}"/>
    <cellStyle name="40% - Accent4 2 2 4 3 2" xfId="13837" xr:uid="{55F651EB-FEAC-46C5-B1C6-0120427FCEBA}"/>
    <cellStyle name="40% - Accent4 2 2 4 4" xfId="9619" xr:uid="{358D9A30-07AB-40CA-A32E-4EDD4F2F5BCF}"/>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C23663B6-82F4-44C4-B56E-532194B07DD4}"/>
    <cellStyle name="40% - Accent4 2 2 5 2 3" xfId="12177" xr:uid="{B11F3A48-AF96-46A8-B5C7-EB35B2C77C4C}"/>
    <cellStyle name="40% - Accent4 2 2 5 3" xfId="5821" xr:uid="{00000000-0005-0000-0000-0000C3050000}"/>
    <cellStyle name="40% - Accent4 2 2 5 3 2" xfId="14250" xr:uid="{5270888E-BCEA-40AF-BBAF-2EBE640457BA}"/>
    <cellStyle name="40% - Accent4 2 2 5 4" xfId="10032" xr:uid="{E54AB5A6-F757-4EA1-B01B-26EE29AF0B67}"/>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B48329AD-E45B-4CAE-A263-D0F358294850}"/>
    <cellStyle name="40% - Accent4 2 2 6 2 3" xfId="12590" xr:uid="{3E3A83C5-F1C8-4827-94A3-5225A4CDE78B}"/>
    <cellStyle name="40% - Accent4 2 2 6 3" xfId="6234" xr:uid="{00000000-0005-0000-0000-0000C7050000}"/>
    <cellStyle name="40% - Accent4 2 2 6 3 2" xfId="14663" xr:uid="{35B65FB3-FAFD-4190-812F-B111B2F3A048}"/>
    <cellStyle name="40% - Accent4 2 2 6 4" xfId="10445" xr:uid="{789693EA-E5E1-485F-B6E7-508727D22B61}"/>
    <cellStyle name="40% - Accent4 2 2 7" xfId="2339" xr:uid="{00000000-0005-0000-0000-0000C8050000}"/>
    <cellStyle name="40% - Accent4 2 2 7 2" xfId="6647" xr:uid="{00000000-0005-0000-0000-0000C9050000}"/>
    <cellStyle name="40% - Accent4 2 2 7 2 2" xfId="15076" xr:uid="{2DFE44EA-62D6-41A0-876D-895F5DC9E7C4}"/>
    <cellStyle name="40% - Accent4 2 2 7 3" xfId="10858" xr:uid="{3C9865CA-5DF7-4F7A-82E9-B8162CC1292D}"/>
    <cellStyle name="40% - Accent4 2 2 8" xfId="4581" xr:uid="{00000000-0005-0000-0000-0000CA050000}"/>
    <cellStyle name="40% - Accent4 2 2 8 2" xfId="13010" xr:uid="{EC0E0831-50CA-4EAB-A413-D261BC73DE36}"/>
    <cellStyle name="40% - Accent4 2 2 9" xfId="8792" xr:uid="{93795D1C-6AAB-4A95-9359-10A092EA02D8}"/>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AB4895FA-9237-48C6-90A9-A73C5F8E55CC}"/>
    <cellStyle name="40% - Accent4 2 3 2 2 3" xfId="11353" xr:uid="{9210E799-14D2-4D4A-AD19-A14D426DE741}"/>
    <cellStyle name="40% - Accent4 2 3 2 3" xfId="4997" xr:uid="{00000000-0005-0000-0000-0000CF050000}"/>
    <cellStyle name="40% - Accent4 2 3 2 3 2" xfId="13426" xr:uid="{9E8ADE97-5149-4967-9F4D-4DE388E2CCB9}"/>
    <cellStyle name="40% - Accent4 2 3 2 4" xfId="9208" xr:uid="{E168B755-7BD8-4334-8D20-F4005A625E42}"/>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947C0208-BA40-4329-978F-7770FF931F8E}"/>
    <cellStyle name="40% - Accent4 2 3 3 2 3" xfId="11766" xr:uid="{46D0C555-0554-4568-B2FB-62E2B726D8F1}"/>
    <cellStyle name="40% - Accent4 2 3 3 3" xfId="5410" xr:uid="{00000000-0005-0000-0000-0000D3050000}"/>
    <cellStyle name="40% - Accent4 2 3 3 3 2" xfId="13839" xr:uid="{9AADF8E2-4D96-43E2-B7D9-D03A730D6AA4}"/>
    <cellStyle name="40% - Accent4 2 3 3 4" xfId="9621" xr:uid="{91D7EB37-D85B-4F25-8E3B-BEE93AFCEDA2}"/>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DA2F7173-1BD9-4E81-BE88-633FFF4E4F8B}"/>
    <cellStyle name="40% - Accent4 2 3 4 2 3" xfId="12179" xr:uid="{23F03EBF-53D1-40CF-A4FD-17EABC610509}"/>
    <cellStyle name="40% - Accent4 2 3 4 3" xfId="5823" xr:uid="{00000000-0005-0000-0000-0000D7050000}"/>
    <cellStyle name="40% - Accent4 2 3 4 3 2" xfId="14252" xr:uid="{48A97460-2EB2-4172-85F1-DE5944E0A87D}"/>
    <cellStyle name="40% - Accent4 2 3 4 4" xfId="10034" xr:uid="{18379C7E-3C0B-4AD6-BD23-74EB8A2A8227}"/>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7580953E-32DD-4B0D-B3E1-1D7E0F11BB97}"/>
    <cellStyle name="40% - Accent4 2 3 5 2 3" xfId="12592" xr:uid="{26F2CAB5-4C5C-4009-85C4-CB8DFA687E59}"/>
    <cellStyle name="40% - Accent4 2 3 5 3" xfId="6236" xr:uid="{00000000-0005-0000-0000-0000DB050000}"/>
    <cellStyle name="40% - Accent4 2 3 5 3 2" xfId="14665" xr:uid="{7B662BA8-8FD0-463B-A7B5-3CB53B9E19DA}"/>
    <cellStyle name="40% - Accent4 2 3 5 4" xfId="10447" xr:uid="{8675458A-51A4-453E-81A8-E73E90B32C86}"/>
    <cellStyle name="40% - Accent4 2 3 6" xfId="2341" xr:uid="{00000000-0005-0000-0000-0000DC050000}"/>
    <cellStyle name="40% - Accent4 2 3 6 2" xfId="6649" xr:uid="{00000000-0005-0000-0000-0000DD050000}"/>
    <cellStyle name="40% - Accent4 2 3 6 2 2" xfId="15078" xr:uid="{87384F0A-7D0F-476F-8247-F0DB0400EED7}"/>
    <cellStyle name="40% - Accent4 2 3 6 3" xfId="10860" xr:uid="{E2739A64-6C1B-4017-BD35-EC2A9C4C3296}"/>
    <cellStyle name="40% - Accent4 2 3 7" xfId="4583" xr:uid="{00000000-0005-0000-0000-0000DE050000}"/>
    <cellStyle name="40% - Accent4 2 3 7 2" xfId="13012" xr:uid="{1EBDD51A-E810-49F0-9D1F-A90B1BC70423}"/>
    <cellStyle name="40% - Accent4 2 3 8" xfId="8794" xr:uid="{855F5CBE-1F0F-44FE-B936-A00E6DA99752}"/>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9EB2C058-BD89-4BEE-B84B-D71F9ED748E9}"/>
    <cellStyle name="40% - Accent4 2 4 2 3" xfId="11350" xr:uid="{01F4D146-6762-4C1D-AF10-03AC2077D936}"/>
    <cellStyle name="40% - Accent4 2 4 3" xfId="4994" xr:uid="{00000000-0005-0000-0000-0000E2050000}"/>
    <cellStyle name="40% - Accent4 2 4 3 2" xfId="13423" xr:uid="{E6E1E9BC-F5A4-42C3-A626-AA4D33A362C3}"/>
    <cellStyle name="40% - Accent4 2 4 4" xfId="9205" xr:uid="{5A13F2BD-24A5-41A1-8ECC-D32FE8CD8088}"/>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9427C258-12E1-4DD5-8952-8AD38A1C68EA}"/>
    <cellStyle name="40% - Accent4 2 5 2 3" xfId="11763" xr:uid="{171CFEE9-6E04-4372-B106-1FBFBE712AE9}"/>
    <cellStyle name="40% - Accent4 2 5 3" xfId="5407" xr:uid="{00000000-0005-0000-0000-0000E6050000}"/>
    <cellStyle name="40% - Accent4 2 5 3 2" xfId="13836" xr:uid="{A4F9C446-B438-4905-B43B-D487F2FB7F05}"/>
    <cellStyle name="40% - Accent4 2 5 4" xfId="9618" xr:uid="{66D48DB3-A50E-45BA-BE50-1D898AFA5950}"/>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08CA1D78-3AF2-4945-AFE4-EAEC8B8A8047}"/>
    <cellStyle name="40% - Accent4 2 6 2 3" xfId="12176" xr:uid="{F63DF6E0-6E01-450A-B2A0-03CAFE8EF904}"/>
    <cellStyle name="40% - Accent4 2 6 3" xfId="5820" xr:uid="{00000000-0005-0000-0000-0000EA050000}"/>
    <cellStyle name="40% - Accent4 2 6 3 2" xfId="14249" xr:uid="{EDD97015-0AB5-43A4-B754-AD77408B5FAC}"/>
    <cellStyle name="40% - Accent4 2 6 4" xfId="10031" xr:uid="{67A56A34-D6A7-4258-AC2E-25804D028DFA}"/>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24CC4D21-6FE5-4511-BFAC-D869859397BB}"/>
    <cellStyle name="40% - Accent4 2 7 2 3" xfId="12589" xr:uid="{3ACE3D20-ED35-4B3E-AB49-5625053A0FCE}"/>
    <cellStyle name="40% - Accent4 2 7 3" xfId="6233" xr:uid="{00000000-0005-0000-0000-0000EE050000}"/>
    <cellStyle name="40% - Accent4 2 7 3 2" xfId="14662" xr:uid="{7DEE6188-5B24-4281-BBB6-3957B1A4D995}"/>
    <cellStyle name="40% - Accent4 2 7 4" xfId="10444" xr:uid="{3B8B4CEC-1F79-4CF6-9554-3FE872861277}"/>
    <cellStyle name="40% - Accent4 2 8" xfId="2338" xr:uid="{00000000-0005-0000-0000-0000EF050000}"/>
    <cellStyle name="40% - Accent4 2 8 2" xfId="6646" xr:uid="{00000000-0005-0000-0000-0000F0050000}"/>
    <cellStyle name="40% - Accent4 2 8 2 2" xfId="15075" xr:uid="{49919E89-E053-4565-A297-0B045C34684B}"/>
    <cellStyle name="40% - Accent4 2 8 3" xfId="10857" xr:uid="{F05AD688-7B5B-41E7-8F4E-83B2AE13E82C}"/>
    <cellStyle name="40% - Accent4 2 9" xfId="4580" xr:uid="{00000000-0005-0000-0000-0000F1050000}"/>
    <cellStyle name="40% - Accent4 2 9 2" xfId="13009" xr:uid="{1DB1E175-3CE9-432B-BFA0-70B35BDBA758}"/>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02933973-CC91-45F9-8BDC-5919DD88F4C4}"/>
    <cellStyle name="40% - Accent4 3 2 2 2 3" xfId="11355" xr:uid="{1AA5B660-6E3F-4AD7-B0AF-7F70DA6B58D9}"/>
    <cellStyle name="40% - Accent4 3 2 2 3" xfId="4999" xr:uid="{00000000-0005-0000-0000-0000F7050000}"/>
    <cellStyle name="40% - Accent4 3 2 2 3 2" xfId="13428" xr:uid="{5E896966-C37B-43AB-80E8-C57F68DD1D66}"/>
    <cellStyle name="40% - Accent4 3 2 2 4" xfId="9210" xr:uid="{6465754F-475E-46BC-A9ED-5C4ADC04551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8BD069BF-CB86-4DEA-9102-7F5E7BD27A66}"/>
    <cellStyle name="40% - Accent4 3 2 3 2 3" xfId="11768" xr:uid="{EF982855-1289-41A6-B446-8254427B9FB3}"/>
    <cellStyle name="40% - Accent4 3 2 3 3" xfId="5412" xr:uid="{00000000-0005-0000-0000-0000FB050000}"/>
    <cellStyle name="40% - Accent4 3 2 3 3 2" xfId="13841" xr:uid="{16A9E24C-B0DC-4906-887A-D256A7ECE9EB}"/>
    <cellStyle name="40% - Accent4 3 2 3 4" xfId="9623" xr:uid="{F669F8DA-CC22-4DF1-B9B6-EDBADFE391D5}"/>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332A71E9-F18F-438A-A846-42E4B4562A03}"/>
    <cellStyle name="40% - Accent4 3 2 4 2 3" xfId="12181" xr:uid="{2535B977-F6EF-4FDA-A115-47DA415EE2F9}"/>
    <cellStyle name="40% - Accent4 3 2 4 3" xfId="5825" xr:uid="{00000000-0005-0000-0000-0000FF050000}"/>
    <cellStyle name="40% - Accent4 3 2 4 3 2" xfId="14254" xr:uid="{2A06B684-C1C9-43BC-9210-2D0898169900}"/>
    <cellStyle name="40% - Accent4 3 2 4 4" xfId="10036" xr:uid="{E8976A52-A80E-4CB4-A9CE-7A84546DD866}"/>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45D0A139-ADF1-4486-BFD9-37B398692591}"/>
    <cellStyle name="40% - Accent4 3 2 5 2 3" xfId="12594" xr:uid="{66DC2FFB-3FEE-40A1-A8B2-5259E734CE2A}"/>
    <cellStyle name="40% - Accent4 3 2 5 3" xfId="6238" xr:uid="{00000000-0005-0000-0000-000003060000}"/>
    <cellStyle name="40% - Accent4 3 2 5 3 2" xfId="14667" xr:uid="{73E248A0-1C9B-4937-AF3E-D8ECDB6E3B18}"/>
    <cellStyle name="40% - Accent4 3 2 5 4" xfId="10449" xr:uid="{5D12A529-480B-4485-8933-2E3ADA8D6E75}"/>
    <cellStyle name="40% - Accent4 3 2 6" xfId="2343" xr:uid="{00000000-0005-0000-0000-000004060000}"/>
    <cellStyle name="40% - Accent4 3 2 6 2" xfId="6651" xr:uid="{00000000-0005-0000-0000-000005060000}"/>
    <cellStyle name="40% - Accent4 3 2 6 2 2" xfId="15080" xr:uid="{52C8D9B5-1A0C-44B6-9AB2-40F0EA5DB4AF}"/>
    <cellStyle name="40% - Accent4 3 2 6 3" xfId="10862" xr:uid="{27635EAE-54A1-4711-8C8B-1951F6F5A7AB}"/>
    <cellStyle name="40% - Accent4 3 2 7" xfId="4585" xr:uid="{00000000-0005-0000-0000-000006060000}"/>
    <cellStyle name="40% - Accent4 3 2 7 2" xfId="13014" xr:uid="{DD4A79BC-AD76-47BE-9BDA-92C146BB4E29}"/>
    <cellStyle name="40% - Accent4 3 2 8" xfId="8796" xr:uid="{A768A361-4816-4B29-BB18-998E8C61E0CC}"/>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00BCB18D-0B45-41CC-8EC4-B1CF2E8419AF}"/>
    <cellStyle name="40% - Accent4 3 3 2 3" xfId="11354" xr:uid="{ADDAF69F-A1B6-4245-B5F3-653D7C538435}"/>
    <cellStyle name="40% - Accent4 3 3 3" xfId="4998" xr:uid="{00000000-0005-0000-0000-00000A060000}"/>
    <cellStyle name="40% - Accent4 3 3 3 2" xfId="13427" xr:uid="{AE69AED4-63B2-4361-BDE2-407747227E6C}"/>
    <cellStyle name="40% - Accent4 3 3 4" xfId="9209" xr:uid="{ADE00C17-D1B6-4EB9-8C61-DD8ECD0C1756}"/>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88D565F2-8153-45CB-BB90-EE06C99980A5}"/>
    <cellStyle name="40% - Accent4 3 4 2 3" xfId="11767" xr:uid="{8404F16C-3292-40A2-8785-594B5F3F9AE8}"/>
    <cellStyle name="40% - Accent4 3 4 3" xfId="5411" xr:uid="{00000000-0005-0000-0000-00000E060000}"/>
    <cellStyle name="40% - Accent4 3 4 3 2" xfId="13840" xr:uid="{2375FD9E-54FA-4EFC-AE51-05EC841DC4B8}"/>
    <cellStyle name="40% - Accent4 3 4 4" xfId="9622" xr:uid="{15206D7D-4055-435D-ABB1-F0AF296F5EAD}"/>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41B701BC-41B3-4FCF-9DCD-6774B4B8B285}"/>
    <cellStyle name="40% - Accent4 3 5 2 3" xfId="12180" xr:uid="{2EAB1FA6-7F67-4708-8201-9F6C34DE33CF}"/>
    <cellStyle name="40% - Accent4 3 5 3" xfId="5824" xr:uid="{00000000-0005-0000-0000-000012060000}"/>
    <cellStyle name="40% - Accent4 3 5 3 2" xfId="14253" xr:uid="{2A8766CD-0F45-4BCA-8854-E6EEBFFF0F93}"/>
    <cellStyle name="40% - Accent4 3 5 4" xfId="10035" xr:uid="{BAFF11A4-75D3-4358-9DEF-C1E6203CAEBD}"/>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448FF636-5791-427D-BEDC-1A619A053B78}"/>
    <cellStyle name="40% - Accent4 3 6 2 3" xfId="12593" xr:uid="{F7E604AE-FA00-42C2-A796-5E13270C8BD0}"/>
    <cellStyle name="40% - Accent4 3 6 3" xfId="6237" xr:uid="{00000000-0005-0000-0000-000016060000}"/>
    <cellStyle name="40% - Accent4 3 6 3 2" xfId="14666" xr:uid="{CDCBD553-2155-4308-BC7B-7D9250C5C3D3}"/>
    <cellStyle name="40% - Accent4 3 6 4" xfId="10448" xr:uid="{A998251F-94E7-4951-BBDF-01E6EC592BD9}"/>
    <cellStyle name="40% - Accent4 3 7" xfId="2342" xr:uid="{00000000-0005-0000-0000-000017060000}"/>
    <cellStyle name="40% - Accent4 3 7 2" xfId="6650" xr:uid="{00000000-0005-0000-0000-000018060000}"/>
    <cellStyle name="40% - Accent4 3 7 2 2" xfId="15079" xr:uid="{C586F396-B3E9-442D-B4FA-537AFA8DA06D}"/>
    <cellStyle name="40% - Accent4 3 7 3" xfId="10861" xr:uid="{09C2D0CC-F791-48B5-8319-7B806FBC23C2}"/>
    <cellStyle name="40% - Accent4 3 8" xfId="4584" xr:uid="{00000000-0005-0000-0000-000019060000}"/>
    <cellStyle name="40% - Accent4 3 8 2" xfId="13013" xr:uid="{4BC70AD2-D7B7-4017-9F06-57E10FDA9045}"/>
    <cellStyle name="40% - Accent4 3 9" xfId="8795" xr:uid="{F0BCD6BF-B4AE-4CD9-8150-33A79B846E93}"/>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6B8C1F28-1BD4-454A-BF9B-97C78A82FE9C}"/>
    <cellStyle name="40% - Accent4 4 2 2 3" xfId="11356" xr:uid="{A5B4364B-C051-4971-86DD-6FE52215EECD}"/>
    <cellStyle name="40% - Accent4 4 2 3" xfId="5000" xr:uid="{00000000-0005-0000-0000-00001E060000}"/>
    <cellStyle name="40% - Accent4 4 2 3 2" xfId="13429" xr:uid="{8DC4DB5B-E065-4776-9A01-3F9A3A6A0BA3}"/>
    <cellStyle name="40% - Accent4 4 2 4" xfId="9211" xr:uid="{DBAD6094-213F-44EF-B732-F0902AED8709}"/>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EF26437C-BAE6-4C12-9FB0-BD9D6257B080}"/>
    <cellStyle name="40% - Accent4 4 3 2 3" xfId="11769" xr:uid="{332DF328-1CC2-40DC-8C42-ECE930A7C171}"/>
    <cellStyle name="40% - Accent4 4 3 3" xfId="5413" xr:uid="{00000000-0005-0000-0000-000022060000}"/>
    <cellStyle name="40% - Accent4 4 3 3 2" xfId="13842" xr:uid="{3320FEE2-F3B3-46D8-98DF-9FA4FFDC0CBC}"/>
    <cellStyle name="40% - Accent4 4 3 4" xfId="9624" xr:uid="{CB714AC1-1214-417D-A2DA-8008FAD7561C}"/>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647A6E76-189B-4C57-91CA-3F689D15A679}"/>
    <cellStyle name="40% - Accent4 4 4 2 3" xfId="12182" xr:uid="{5801D9F5-1715-4D38-A9F6-0E51476FE1F5}"/>
    <cellStyle name="40% - Accent4 4 4 3" xfId="5826" xr:uid="{00000000-0005-0000-0000-000026060000}"/>
    <cellStyle name="40% - Accent4 4 4 3 2" xfId="14255" xr:uid="{0BF51E30-564A-44AD-8DD6-25C94AE56D2B}"/>
    <cellStyle name="40% - Accent4 4 4 4" xfId="10037" xr:uid="{0465BA27-4C9F-47EA-9744-0699B2DF3C4B}"/>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8D847B50-60E4-4541-93AD-E6159E594EDB}"/>
    <cellStyle name="40% - Accent4 4 5 2 3" xfId="12595" xr:uid="{FC8A0CA5-1524-44F5-B075-56C4E8192F0E}"/>
    <cellStyle name="40% - Accent4 4 5 3" xfId="6239" xr:uid="{00000000-0005-0000-0000-00002A060000}"/>
    <cellStyle name="40% - Accent4 4 5 3 2" xfId="14668" xr:uid="{5833A2B4-087B-4FA8-A01F-FDBE807D833F}"/>
    <cellStyle name="40% - Accent4 4 5 4" xfId="10450" xr:uid="{B9F85048-7646-4F4A-A0F7-4166B4DA8CFC}"/>
    <cellStyle name="40% - Accent4 4 6" xfId="2344" xr:uid="{00000000-0005-0000-0000-00002B060000}"/>
    <cellStyle name="40% - Accent4 4 6 2" xfId="6652" xr:uid="{00000000-0005-0000-0000-00002C060000}"/>
    <cellStyle name="40% - Accent4 4 6 2 2" xfId="15081" xr:uid="{E956DED1-82E0-4471-AB44-056A04B555E1}"/>
    <cellStyle name="40% - Accent4 4 6 3" xfId="10863" xr:uid="{A7708450-146C-4E96-89EE-0EFEA9806745}"/>
    <cellStyle name="40% - Accent4 4 7" xfId="4586" xr:uid="{00000000-0005-0000-0000-00002D060000}"/>
    <cellStyle name="40% - Accent4 4 7 2" xfId="13015" xr:uid="{902E08B5-0378-45DA-8303-65BE825F3C33}"/>
    <cellStyle name="40% - Accent4 4 8" xfId="8797" xr:uid="{14085DFB-B467-4AB4-A553-DD860FBA6D8C}"/>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084E93E4-4FDC-4F29-B364-59DC92568081}"/>
    <cellStyle name="40% - Accent4 5 2 3" xfId="11349" xr:uid="{C80F6793-311A-4652-9569-10FF2D243CE3}"/>
    <cellStyle name="40% - Accent4 5 3" xfId="4993" xr:uid="{00000000-0005-0000-0000-000031060000}"/>
    <cellStyle name="40% - Accent4 5 3 2" xfId="13422" xr:uid="{8229952E-9163-4711-97AC-C85762526EB9}"/>
    <cellStyle name="40% - Accent4 5 4" xfId="9204" xr:uid="{0297E473-06B7-4572-A3F1-9CB8C202F4BA}"/>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F278A95C-C871-47FE-9F2B-18EEC2CBC62D}"/>
    <cellStyle name="40% - Accent4 6 2 3" xfId="11762" xr:uid="{7E4DE785-5D49-4697-A061-19B7B8920459}"/>
    <cellStyle name="40% - Accent4 6 3" xfId="5406" xr:uid="{00000000-0005-0000-0000-000035060000}"/>
    <cellStyle name="40% - Accent4 6 3 2" xfId="13835" xr:uid="{7E5BDA58-12BA-4ED8-946E-AD8110D65FF2}"/>
    <cellStyle name="40% - Accent4 6 4" xfId="9617" xr:uid="{02508F2C-74E8-46B6-84EA-696D010D634C}"/>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C1B7C7D3-9805-40F6-9FF3-67C655FBF439}"/>
    <cellStyle name="40% - Accent4 7 2 3" xfId="12175" xr:uid="{55FE0590-EDE8-4AC0-A099-EA5DA5F6AC58}"/>
    <cellStyle name="40% - Accent4 7 3" xfId="5819" xr:uid="{00000000-0005-0000-0000-000039060000}"/>
    <cellStyle name="40% - Accent4 7 3 2" xfId="14248" xr:uid="{C74359FF-57A8-495D-949E-4C401B78EF2D}"/>
    <cellStyle name="40% - Accent4 7 4" xfId="10030" xr:uid="{00D7CB41-75F1-499C-93D4-AB8EF979848C}"/>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41088437-7F5C-467B-9C18-FFF8CDAE79A1}"/>
    <cellStyle name="40% - Accent4 8 2 3" xfId="12588" xr:uid="{8A94A884-32B9-4024-8C03-6DB2B2479928}"/>
    <cellStyle name="40% - Accent4 8 3" xfId="6232" xr:uid="{00000000-0005-0000-0000-00003D060000}"/>
    <cellStyle name="40% - Accent4 8 3 2" xfId="14661" xr:uid="{2B449E08-F239-484F-BE50-D14D17948C35}"/>
    <cellStyle name="40% - Accent4 8 4" xfId="10443" xr:uid="{721F4B9C-2808-45F1-A8A1-879D47739E35}"/>
    <cellStyle name="40% - Accent4 9" xfId="2337" xr:uid="{00000000-0005-0000-0000-00003E060000}"/>
    <cellStyle name="40% - Accent4 9 2" xfId="6645" xr:uid="{00000000-0005-0000-0000-00003F060000}"/>
    <cellStyle name="40% - Accent4 9 2 2" xfId="15074" xr:uid="{455244E6-7A98-4F7A-BF7F-5C9CF2399131}"/>
    <cellStyle name="40% - Accent4 9 3" xfId="10856" xr:uid="{E4A18BB3-F43E-4768-A539-1611D4BC7832}"/>
    <cellStyle name="40% - Accent5" xfId="81" builtinId="47" customBuiltin="1"/>
    <cellStyle name="40% - Accent5 10" xfId="4587" xr:uid="{00000000-0005-0000-0000-000041060000}"/>
    <cellStyle name="40% - Accent5 10 2" xfId="13016" xr:uid="{6AD67A3C-C59D-474F-9A73-6EF7AAEA1B50}"/>
    <cellStyle name="40% - Accent5 11" xfId="8798" xr:uid="{4BB08937-4ACD-4498-A883-9474952E753A}"/>
    <cellStyle name="40% - Accent5 2" xfId="82" xr:uid="{00000000-0005-0000-0000-000042060000}"/>
    <cellStyle name="40% - Accent5 2 10" xfId="8799" xr:uid="{9C788F37-86E5-4BD7-A6BE-97E4F72E74A2}"/>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7BE2748D-6C87-41BD-8A0F-EA5F4A266DDC}"/>
    <cellStyle name="40% - Accent5 2 2 2 2 2 3" xfId="11360" xr:uid="{4E7431C8-6A82-4312-AF2B-DFBA0BF38D06}"/>
    <cellStyle name="40% - Accent5 2 2 2 2 3" xfId="5004" xr:uid="{00000000-0005-0000-0000-000048060000}"/>
    <cellStyle name="40% - Accent5 2 2 2 2 3 2" xfId="13433" xr:uid="{B6E1E21F-A50B-4256-97EA-375C7B41836F}"/>
    <cellStyle name="40% - Accent5 2 2 2 2 4" xfId="9215" xr:uid="{C3BD5ECA-BC76-43A6-9491-DDC9B21CEA15}"/>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0AFF6410-C108-4697-9517-0BAC9F8002A9}"/>
    <cellStyle name="40% - Accent5 2 2 2 3 2 3" xfId="11773" xr:uid="{F1895D4C-B766-4C07-B92D-CE700A26A408}"/>
    <cellStyle name="40% - Accent5 2 2 2 3 3" xfId="5417" xr:uid="{00000000-0005-0000-0000-00004C060000}"/>
    <cellStyle name="40% - Accent5 2 2 2 3 3 2" xfId="13846" xr:uid="{81E2FD75-D5C9-4460-A0D4-2F86216787A6}"/>
    <cellStyle name="40% - Accent5 2 2 2 3 4" xfId="9628" xr:uid="{A492D266-2079-4BD9-BDEB-0700C1A0D52E}"/>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65826012-838C-4DAA-9FB2-70C3775F9A47}"/>
    <cellStyle name="40% - Accent5 2 2 2 4 2 3" xfId="12186" xr:uid="{0FAE160D-EBC9-441E-9A14-EE6FC45CD5AE}"/>
    <cellStyle name="40% - Accent5 2 2 2 4 3" xfId="5830" xr:uid="{00000000-0005-0000-0000-000050060000}"/>
    <cellStyle name="40% - Accent5 2 2 2 4 3 2" xfId="14259" xr:uid="{27EA81CA-3101-454E-A5C3-C0D625A14F7A}"/>
    <cellStyle name="40% - Accent5 2 2 2 4 4" xfId="10041" xr:uid="{E09267AA-8196-4F27-BD6B-49B6F7EB30EF}"/>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B8C736BB-2BED-409E-BD04-5F104C46BEF3}"/>
    <cellStyle name="40% - Accent5 2 2 2 5 2 3" xfId="12599" xr:uid="{8AEB2F22-5305-449E-985E-7D66BD518B32}"/>
    <cellStyle name="40% - Accent5 2 2 2 5 3" xfId="6243" xr:uid="{00000000-0005-0000-0000-000054060000}"/>
    <cellStyle name="40% - Accent5 2 2 2 5 3 2" xfId="14672" xr:uid="{E34B0A03-7DCD-419C-8CB0-6C4D92BE07B2}"/>
    <cellStyle name="40% - Accent5 2 2 2 5 4" xfId="10454" xr:uid="{0223CFD5-E655-4610-B6FB-A1F14284AED1}"/>
    <cellStyle name="40% - Accent5 2 2 2 6" xfId="2348" xr:uid="{00000000-0005-0000-0000-000055060000}"/>
    <cellStyle name="40% - Accent5 2 2 2 6 2" xfId="6656" xr:uid="{00000000-0005-0000-0000-000056060000}"/>
    <cellStyle name="40% - Accent5 2 2 2 6 2 2" xfId="15085" xr:uid="{00BB5E41-B561-4982-9982-20299A79E46F}"/>
    <cellStyle name="40% - Accent5 2 2 2 6 3" xfId="10867" xr:uid="{2164D7DB-5351-4E1A-AA2D-62CFB5FF002C}"/>
    <cellStyle name="40% - Accent5 2 2 2 7" xfId="4590" xr:uid="{00000000-0005-0000-0000-000057060000}"/>
    <cellStyle name="40% - Accent5 2 2 2 7 2" xfId="13019" xr:uid="{575440B6-3A83-4911-A872-DE4077CC1EA9}"/>
    <cellStyle name="40% - Accent5 2 2 2 8" xfId="8801" xr:uid="{7AB30766-E84B-4454-A451-42D1C185664F}"/>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9BF9CEA8-B7BC-4DE7-AB23-2A5C7A39FE0F}"/>
    <cellStyle name="40% - Accent5 2 2 3 2 3" xfId="11359" xr:uid="{43FCC7AD-C81E-4A46-885F-3BD12E603AB0}"/>
    <cellStyle name="40% - Accent5 2 2 3 3" xfId="5003" xr:uid="{00000000-0005-0000-0000-00005B060000}"/>
    <cellStyle name="40% - Accent5 2 2 3 3 2" xfId="13432" xr:uid="{E638F18B-0340-487D-BB4D-AC2CA3958880}"/>
    <cellStyle name="40% - Accent5 2 2 3 4" xfId="9214" xr:uid="{63E3D344-212C-4AFC-AD64-0F3AC587A5DA}"/>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88D324D3-8C71-4E14-B6E5-15F28933FC9E}"/>
    <cellStyle name="40% - Accent5 2 2 4 2 3" xfId="11772" xr:uid="{FF127D3A-222E-4DAB-9331-B02B87389E36}"/>
    <cellStyle name="40% - Accent5 2 2 4 3" xfId="5416" xr:uid="{00000000-0005-0000-0000-00005F060000}"/>
    <cellStyle name="40% - Accent5 2 2 4 3 2" xfId="13845" xr:uid="{1DFB5512-7370-40E9-9395-E0D07F60DA43}"/>
    <cellStyle name="40% - Accent5 2 2 4 4" xfId="9627" xr:uid="{7ABE74B0-59D4-45C5-868D-CC49AFCA86E0}"/>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1313B521-AD79-4BAD-B15A-294441F2F8A1}"/>
    <cellStyle name="40% - Accent5 2 2 5 2 3" xfId="12185" xr:uid="{2152123A-616D-4284-9971-805FB58C03FC}"/>
    <cellStyle name="40% - Accent5 2 2 5 3" xfId="5829" xr:uid="{00000000-0005-0000-0000-000063060000}"/>
    <cellStyle name="40% - Accent5 2 2 5 3 2" xfId="14258" xr:uid="{4CF399E8-D83E-4A3B-AD41-8FA3F89F7526}"/>
    <cellStyle name="40% - Accent5 2 2 5 4" xfId="10040" xr:uid="{0D0D61EC-0097-4D77-A90B-4B1DA3FB205B}"/>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FD3B1822-5760-4DD4-B196-97851988CBCF}"/>
    <cellStyle name="40% - Accent5 2 2 6 2 3" xfId="12598" xr:uid="{0FB875FB-7446-4FBD-931C-3FBE36194D26}"/>
    <cellStyle name="40% - Accent5 2 2 6 3" xfId="6242" xr:uid="{00000000-0005-0000-0000-000067060000}"/>
    <cellStyle name="40% - Accent5 2 2 6 3 2" xfId="14671" xr:uid="{27711E08-145F-42D1-AF9B-DC3C5E16A1AE}"/>
    <cellStyle name="40% - Accent5 2 2 6 4" xfId="10453" xr:uid="{98C7B8E7-199E-4979-9D98-113D2DAA0AED}"/>
    <cellStyle name="40% - Accent5 2 2 7" xfId="2347" xr:uid="{00000000-0005-0000-0000-000068060000}"/>
    <cellStyle name="40% - Accent5 2 2 7 2" xfId="6655" xr:uid="{00000000-0005-0000-0000-000069060000}"/>
    <cellStyle name="40% - Accent5 2 2 7 2 2" xfId="15084" xr:uid="{34617F1B-576C-42A6-B664-6A226CE4E261}"/>
    <cellStyle name="40% - Accent5 2 2 7 3" xfId="10866" xr:uid="{5F070E2C-EF73-4230-A2D7-964D4DF071E1}"/>
    <cellStyle name="40% - Accent5 2 2 8" xfId="4589" xr:uid="{00000000-0005-0000-0000-00006A060000}"/>
    <cellStyle name="40% - Accent5 2 2 8 2" xfId="13018" xr:uid="{83DDC1E2-FA8E-473B-A349-55DDC5EDFD0E}"/>
    <cellStyle name="40% - Accent5 2 2 9" xfId="8800" xr:uid="{EE54EBB2-8422-4123-B3DB-D6FF0F2759A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24C70D0A-CB00-4C99-B372-525F75B47950}"/>
    <cellStyle name="40% - Accent5 2 3 2 2 3" xfId="11361" xr:uid="{AA3D2CB2-DEA5-44B0-88ED-A82D3C92890A}"/>
    <cellStyle name="40% - Accent5 2 3 2 3" xfId="5005" xr:uid="{00000000-0005-0000-0000-00006F060000}"/>
    <cellStyle name="40% - Accent5 2 3 2 3 2" xfId="13434" xr:uid="{CE28F994-D8FC-4EC6-846A-7849EF51566D}"/>
    <cellStyle name="40% - Accent5 2 3 2 4" xfId="9216" xr:uid="{81662FC7-B025-4A00-BB0A-2AA82562794D}"/>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27793490-5ABE-41DD-97C2-9209AB0C4706}"/>
    <cellStyle name="40% - Accent5 2 3 3 2 3" xfId="11774" xr:uid="{8EA6E561-11F5-4506-ACCD-5FAD3EF220EC}"/>
    <cellStyle name="40% - Accent5 2 3 3 3" xfId="5418" xr:uid="{00000000-0005-0000-0000-000073060000}"/>
    <cellStyle name="40% - Accent5 2 3 3 3 2" xfId="13847" xr:uid="{E8BFE0EA-13E5-4732-A3B3-BDF75BF5CEBF}"/>
    <cellStyle name="40% - Accent5 2 3 3 4" xfId="9629" xr:uid="{94EEBE3B-B868-4996-861A-DE2AC4C6E40A}"/>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B16851DC-6126-4664-BDF6-6A9145D58A30}"/>
    <cellStyle name="40% - Accent5 2 3 4 2 3" xfId="12187" xr:uid="{34856F76-AB40-42BC-AE0C-99D8FF46BAE9}"/>
    <cellStyle name="40% - Accent5 2 3 4 3" xfId="5831" xr:uid="{00000000-0005-0000-0000-000077060000}"/>
    <cellStyle name="40% - Accent5 2 3 4 3 2" xfId="14260" xr:uid="{BCB06730-E7CF-4205-9E47-36E545F4B06F}"/>
    <cellStyle name="40% - Accent5 2 3 4 4" xfId="10042" xr:uid="{4509AB02-3642-418A-8CE2-BCFA187A3071}"/>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6099F6C0-6984-4AFC-8187-60D7E022B5BA}"/>
    <cellStyle name="40% - Accent5 2 3 5 2 3" xfId="12600" xr:uid="{E82EA138-059E-4B8E-A3C3-67A653811C37}"/>
    <cellStyle name="40% - Accent5 2 3 5 3" xfId="6244" xr:uid="{00000000-0005-0000-0000-00007B060000}"/>
    <cellStyle name="40% - Accent5 2 3 5 3 2" xfId="14673" xr:uid="{3D45D728-D7C0-4B4D-9CD8-8E758D1FA5BC}"/>
    <cellStyle name="40% - Accent5 2 3 5 4" xfId="10455" xr:uid="{4B20AF50-F152-4571-B604-310488FD8E81}"/>
    <cellStyle name="40% - Accent5 2 3 6" xfId="2349" xr:uid="{00000000-0005-0000-0000-00007C060000}"/>
    <cellStyle name="40% - Accent5 2 3 6 2" xfId="6657" xr:uid="{00000000-0005-0000-0000-00007D060000}"/>
    <cellStyle name="40% - Accent5 2 3 6 2 2" xfId="15086" xr:uid="{8C87C02E-204B-44BA-86D1-5A6D78394B95}"/>
    <cellStyle name="40% - Accent5 2 3 6 3" xfId="10868" xr:uid="{3627697C-832D-4A0D-84CA-66233BCA2010}"/>
    <cellStyle name="40% - Accent5 2 3 7" xfId="4591" xr:uid="{00000000-0005-0000-0000-00007E060000}"/>
    <cellStyle name="40% - Accent5 2 3 7 2" xfId="13020" xr:uid="{C444B4A2-BF81-4005-B166-C5C4C6277EE9}"/>
    <cellStyle name="40% - Accent5 2 3 8" xfId="8802" xr:uid="{52CB350F-1689-4531-8755-87EBDDCA5BBE}"/>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14CC5A31-1855-453B-B0CE-689D0B4CA5D9}"/>
    <cellStyle name="40% - Accent5 2 4 2 3" xfId="11358" xr:uid="{08492E8C-D767-4D4A-B5E4-3673FF83E99D}"/>
    <cellStyle name="40% - Accent5 2 4 3" xfId="5002" xr:uid="{00000000-0005-0000-0000-000082060000}"/>
    <cellStyle name="40% - Accent5 2 4 3 2" xfId="13431" xr:uid="{D7716F2A-0783-4F81-8448-50249C6CCBCD}"/>
    <cellStyle name="40% - Accent5 2 4 4" xfId="9213" xr:uid="{DDCA155E-15DE-40B4-8EE6-DFCF3344EDCA}"/>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C40FF53A-691E-4CE9-99D2-31CE4B565B00}"/>
    <cellStyle name="40% - Accent5 2 5 2 3" xfId="11771" xr:uid="{7EC6CB72-A65B-4AEF-98B8-731BE6359659}"/>
    <cellStyle name="40% - Accent5 2 5 3" xfId="5415" xr:uid="{00000000-0005-0000-0000-000086060000}"/>
    <cellStyle name="40% - Accent5 2 5 3 2" xfId="13844" xr:uid="{FCF5B789-39FB-4609-9F1D-2206D3F5D547}"/>
    <cellStyle name="40% - Accent5 2 5 4" xfId="9626" xr:uid="{17A540DA-3F3E-4164-807F-DC5DB98926CF}"/>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D67A8EA1-3177-4537-9284-BF965CF04B2D}"/>
    <cellStyle name="40% - Accent5 2 6 2 3" xfId="12184" xr:uid="{2EE6B4EE-53CA-4274-9F7C-450557ED3CC7}"/>
    <cellStyle name="40% - Accent5 2 6 3" xfId="5828" xr:uid="{00000000-0005-0000-0000-00008A060000}"/>
    <cellStyle name="40% - Accent5 2 6 3 2" xfId="14257" xr:uid="{577E470E-702B-42F4-9454-38E03EDD143B}"/>
    <cellStyle name="40% - Accent5 2 6 4" xfId="10039" xr:uid="{D1B8701A-8788-4B86-82AF-F17FAFD7EDA5}"/>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41F84FED-834C-46F7-A511-D7CFE58D3A27}"/>
    <cellStyle name="40% - Accent5 2 7 2 3" xfId="12597" xr:uid="{6E191B9E-6205-4BF4-99EA-CE42CEDCEA2B}"/>
    <cellStyle name="40% - Accent5 2 7 3" xfId="6241" xr:uid="{00000000-0005-0000-0000-00008E060000}"/>
    <cellStyle name="40% - Accent5 2 7 3 2" xfId="14670" xr:uid="{E4CA3C03-A007-4E2B-9616-C19031D83812}"/>
    <cellStyle name="40% - Accent5 2 7 4" xfId="10452" xr:uid="{27B42715-88C6-4DFF-8609-CEAA5AD45A85}"/>
    <cellStyle name="40% - Accent5 2 8" xfId="2346" xr:uid="{00000000-0005-0000-0000-00008F060000}"/>
    <cellStyle name="40% - Accent5 2 8 2" xfId="6654" xr:uid="{00000000-0005-0000-0000-000090060000}"/>
    <cellStyle name="40% - Accent5 2 8 2 2" xfId="15083" xr:uid="{CE50EE94-9EFD-4308-9A58-B0C96BF823B5}"/>
    <cellStyle name="40% - Accent5 2 8 3" xfId="10865" xr:uid="{D2433E23-0067-46A3-B01D-543A5D129AE2}"/>
    <cellStyle name="40% - Accent5 2 9" xfId="4588" xr:uid="{00000000-0005-0000-0000-000091060000}"/>
    <cellStyle name="40% - Accent5 2 9 2" xfId="13017" xr:uid="{4CD6E0E6-D862-49E2-BA3C-8805C715FBE4}"/>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CC3D37E9-3088-4AC1-97D4-F8F3F7041BC8}"/>
    <cellStyle name="40% - Accent5 3 2 2 2 3" xfId="11363" xr:uid="{38D851DD-045F-4E70-A9C9-F1016F63E1AF}"/>
    <cellStyle name="40% - Accent5 3 2 2 3" xfId="5007" xr:uid="{00000000-0005-0000-0000-000097060000}"/>
    <cellStyle name="40% - Accent5 3 2 2 3 2" xfId="13436" xr:uid="{3F692064-5949-47C1-8A9B-45D2252D97E2}"/>
    <cellStyle name="40% - Accent5 3 2 2 4" xfId="9218" xr:uid="{7BF58E3C-6CA5-4B91-93E4-6413B3A2A2E8}"/>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C51158A0-7A57-4812-892D-3992AE5253FD}"/>
    <cellStyle name="40% - Accent5 3 2 3 2 3" xfId="11776" xr:uid="{B3878529-AB99-47C4-B416-568CDFFCB979}"/>
    <cellStyle name="40% - Accent5 3 2 3 3" xfId="5420" xr:uid="{00000000-0005-0000-0000-00009B060000}"/>
    <cellStyle name="40% - Accent5 3 2 3 3 2" xfId="13849" xr:uid="{3FE7C3CD-8E37-4B7F-AEDE-60F65A88091B}"/>
    <cellStyle name="40% - Accent5 3 2 3 4" xfId="9631" xr:uid="{D706EB35-DD3F-4D21-954E-7435194D19BC}"/>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D5C09817-85B9-426A-8F18-C77929BDA85C}"/>
    <cellStyle name="40% - Accent5 3 2 4 2 3" xfId="12189" xr:uid="{4F7AB2EC-B454-4C41-9167-BB5AAD75CA30}"/>
    <cellStyle name="40% - Accent5 3 2 4 3" xfId="5833" xr:uid="{00000000-0005-0000-0000-00009F060000}"/>
    <cellStyle name="40% - Accent5 3 2 4 3 2" xfId="14262" xr:uid="{FF53A374-E18C-465E-A82F-A935D6518A37}"/>
    <cellStyle name="40% - Accent5 3 2 4 4" xfId="10044" xr:uid="{8697F696-4851-4D05-A3DC-788F19354C91}"/>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7F062CDC-A47F-4EC0-98AF-46B4B46E17B9}"/>
    <cellStyle name="40% - Accent5 3 2 5 2 3" xfId="12602" xr:uid="{630DDEE9-E8F9-47CC-8726-E9D263B5594F}"/>
    <cellStyle name="40% - Accent5 3 2 5 3" xfId="6246" xr:uid="{00000000-0005-0000-0000-0000A3060000}"/>
    <cellStyle name="40% - Accent5 3 2 5 3 2" xfId="14675" xr:uid="{081F1A5A-3E5C-491D-9C2A-7760585B553D}"/>
    <cellStyle name="40% - Accent5 3 2 5 4" xfId="10457" xr:uid="{C062418A-24CB-49EF-9833-75B1037D3505}"/>
    <cellStyle name="40% - Accent5 3 2 6" xfId="2351" xr:uid="{00000000-0005-0000-0000-0000A4060000}"/>
    <cellStyle name="40% - Accent5 3 2 6 2" xfId="6659" xr:uid="{00000000-0005-0000-0000-0000A5060000}"/>
    <cellStyle name="40% - Accent5 3 2 6 2 2" xfId="15088" xr:uid="{6AB37ACA-11EC-48BB-983C-811812B4CB3A}"/>
    <cellStyle name="40% - Accent5 3 2 6 3" xfId="10870" xr:uid="{B89E08B1-F7E7-4B4A-BA76-785641CEABEF}"/>
    <cellStyle name="40% - Accent5 3 2 7" xfId="4593" xr:uid="{00000000-0005-0000-0000-0000A6060000}"/>
    <cellStyle name="40% - Accent5 3 2 7 2" xfId="13022" xr:uid="{1DFBB903-2794-4583-ADF7-958FB0A7D175}"/>
    <cellStyle name="40% - Accent5 3 2 8" xfId="8804" xr:uid="{538F1B52-85CD-4979-9D2D-49DD6A906E70}"/>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D74F25A8-F314-44DE-9333-F0020B8864C7}"/>
    <cellStyle name="40% - Accent5 3 3 2 3" xfId="11362" xr:uid="{1119F0EC-7618-4FC7-BECF-2B44E9F756E2}"/>
    <cellStyle name="40% - Accent5 3 3 3" xfId="5006" xr:uid="{00000000-0005-0000-0000-0000AA060000}"/>
    <cellStyle name="40% - Accent5 3 3 3 2" xfId="13435" xr:uid="{63663ED4-BB49-4EB0-87C9-638F0E5F3FE7}"/>
    <cellStyle name="40% - Accent5 3 3 4" xfId="9217" xr:uid="{4559689F-E718-4C64-9969-F74C20BE8DB3}"/>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938C3DCE-8528-48A1-BA49-06A6DDE643C5}"/>
    <cellStyle name="40% - Accent5 3 4 2 3" xfId="11775" xr:uid="{7D96A9D9-C6BA-431E-8FE6-0554D76BF135}"/>
    <cellStyle name="40% - Accent5 3 4 3" xfId="5419" xr:uid="{00000000-0005-0000-0000-0000AE060000}"/>
    <cellStyle name="40% - Accent5 3 4 3 2" xfId="13848" xr:uid="{DDD82005-2E7E-4719-AE8B-103DFDEC02EB}"/>
    <cellStyle name="40% - Accent5 3 4 4" xfId="9630" xr:uid="{F4124E39-293C-4BFE-BACA-A6BDBFB2733F}"/>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B8B47357-3A38-4B5D-AC1F-6B8662B3AA26}"/>
    <cellStyle name="40% - Accent5 3 5 2 3" xfId="12188" xr:uid="{5EAA7E16-BA7E-4A19-8C7D-984FB25A2DD8}"/>
    <cellStyle name="40% - Accent5 3 5 3" xfId="5832" xr:uid="{00000000-0005-0000-0000-0000B2060000}"/>
    <cellStyle name="40% - Accent5 3 5 3 2" xfId="14261" xr:uid="{DFDE131F-B7EC-4FDB-8CF0-8DA2F79D4B0E}"/>
    <cellStyle name="40% - Accent5 3 5 4" xfId="10043" xr:uid="{1B25FD4A-1334-40A6-8413-1985D0B01914}"/>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581BA3F3-BE43-4468-A5AB-3DD87DB4A4F5}"/>
    <cellStyle name="40% - Accent5 3 6 2 3" xfId="12601" xr:uid="{689778D2-EA4D-46B3-8124-630813BCED18}"/>
    <cellStyle name="40% - Accent5 3 6 3" xfId="6245" xr:uid="{00000000-0005-0000-0000-0000B6060000}"/>
    <cellStyle name="40% - Accent5 3 6 3 2" xfId="14674" xr:uid="{C7BA973B-A894-4264-9C07-89C635E60ECA}"/>
    <cellStyle name="40% - Accent5 3 6 4" xfId="10456" xr:uid="{98C31882-1B0A-4F1E-B165-5F57F24A5676}"/>
    <cellStyle name="40% - Accent5 3 7" xfId="2350" xr:uid="{00000000-0005-0000-0000-0000B7060000}"/>
    <cellStyle name="40% - Accent5 3 7 2" xfId="6658" xr:uid="{00000000-0005-0000-0000-0000B8060000}"/>
    <cellStyle name="40% - Accent5 3 7 2 2" xfId="15087" xr:uid="{1E054F76-1253-4024-866C-B42B0A8C0AF6}"/>
    <cellStyle name="40% - Accent5 3 7 3" xfId="10869" xr:uid="{591CBCE8-4FFE-4D2D-A4A7-37DF3256C5A8}"/>
    <cellStyle name="40% - Accent5 3 8" xfId="4592" xr:uid="{00000000-0005-0000-0000-0000B9060000}"/>
    <cellStyle name="40% - Accent5 3 8 2" xfId="13021" xr:uid="{EE24F460-BA4F-4D30-B371-4BB8E761A08A}"/>
    <cellStyle name="40% - Accent5 3 9" xfId="8803" xr:uid="{5F55C586-BDCB-476B-8BEF-2DFFF6406559}"/>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B3382C82-1005-4552-BBE4-8C04926D3D57}"/>
    <cellStyle name="40% - Accent5 4 2 2 3" xfId="11364" xr:uid="{F1F2C6DE-F5F3-46DA-A499-020811A379E5}"/>
    <cellStyle name="40% - Accent5 4 2 3" xfId="5008" xr:uid="{00000000-0005-0000-0000-0000BE060000}"/>
    <cellStyle name="40% - Accent5 4 2 3 2" xfId="13437" xr:uid="{0191C0B3-4FE7-4F4C-9213-4957F68CDCF6}"/>
    <cellStyle name="40% - Accent5 4 2 4" xfId="9219" xr:uid="{E38B9A0D-B9D9-447E-8C7D-AF850743C2CB}"/>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38ECD2BF-9F97-405A-BC0E-8C128E838280}"/>
    <cellStyle name="40% - Accent5 4 3 2 3" xfId="11777" xr:uid="{EDB85A70-DD67-44B0-A500-DDBDFF08F990}"/>
    <cellStyle name="40% - Accent5 4 3 3" xfId="5421" xr:uid="{00000000-0005-0000-0000-0000C2060000}"/>
    <cellStyle name="40% - Accent5 4 3 3 2" xfId="13850" xr:uid="{030CB4D9-DDC5-4A16-85E8-890C36255F11}"/>
    <cellStyle name="40% - Accent5 4 3 4" xfId="9632" xr:uid="{B9C3E111-AC87-4F74-951B-C8ABDAD5948B}"/>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747B387-2F33-4754-B515-BE2507DA7D94}"/>
    <cellStyle name="40% - Accent5 4 4 2 3" xfId="12190" xr:uid="{1832D8B2-4BF9-4631-BCA4-D9FA3EB0A432}"/>
    <cellStyle name="40% - Accent5 4 4 3" xfId="5834" xr:uid="{00000000-0005-0000-0000-0000C6060000}"/>
    <cellStyle name="40% - Accent5 4 4 3 2" xfId="14263" xr:uid="{20AA5CD7-9879-4B27-8CA1-D9B889CC28A6}"/>
    <cellStyle name="40% - Accent5 4 4 4" xfId="10045" xr:uid="{A13E6A9D-B67B-4908-96B6-ADE73628218C}"/>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CF23F103-5ADB-4CF9-A12C-BDFD9E8B8736}"/>
    <cellStyle name="40% - Accent5 4 5 2 3" xfId="12603" xr:uid="{370F3152-8286-4883-A2A3-D59A1EFD991D}"/>
    <cellStyle name="40% - Accent5 4 5 3" xfId="6247" xr:uid="{00000000-0005-0000-0000-0000CA060000}"/>
    <cellStyle name="40% - Accent5 4 5 3 2" xfId="14676" xr:uid="{B2BD6E77-81A6-462B-949F-23B366DC9DDF}"/>
    <cellStyle name="40% - Accent5 4 5 4" xfId="10458" xr:uid="{19B3D1D5-A4EC-4D09-B262-D38CAD8ED542}"/>
    <cellStyle name="40% - Accent5 4 6" xfId="2352" xr:uid="{00000000-0005-0000-0000-0000CB060000}"/>
    <cellStyle name="40% - Accent5 4 6 2" xfId="6660" xr:uid="{00000000-0005-0000-0000-0000CC060000}"/>
    <cellStyle name="40% - Accent5 4 6 2 2" xfId="15089" xr:uid="{F5C976B2-C796-4E62-A3C0-F0C4E4799B62}"/>
    <cellStyle name="40% - Accent5 4 6 3" xfId="10871" xr:uid="{A1089ABF-E315-424F-8839-4D2E73E53607}"/>
    <cellStyle name="40% - Accent5 4 7" xfId="4594" xr:uid="{00000000-0005-0000-0000-0000CD060000}"/>
    <cellStyle name="40% - Accent5 4 7 2" xfId="13023" xr:uid="{74E19164-8E7F-43CB-916F-ACE5E4D1E72B}"/>
    <cellStyle name="40% - Accent5 4 8" xfId="8805" xr:uid="{557434F3-993B-4EB3-87A5-68BF8EC5CDDF}"/>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F9051986-F411-4387-80E0-DC60C247E9B0}"/>
    <cellStyle name="40% - Accent5 5 2 3" xfId="11357" xr:uid="{0B939F7F-92EA-4A8D-8DCD-87D6CC248B7B}"/>
    <cellStyle name="40% - Accent5 5 3" xfId="5001" xr:uid="{00000000-0005-0000-0000-0000D1060000}"/>
    <cellStyle name="40% - Accent5 5 3 2" xfId="13430" xr:uid="{7CEC3273-C2BE-4F24-B63D-7AC75D9CA687}"/>
    <cellStyle name="40% - Accent5 5 4" xfId="9212" xr:uid="{81F3B495-09B1-426A-9CED-6E18F54FAE73}"/>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3B122E26-A55D-48F6-BD55-A0C908008742}"/>
    <cellStyle name="40% - Accent5 6 2 3" xfId="11770" xr:uid="{28874A40-1EEC-46EC-8DE6-8DA746CC7123}"/>
    <cellStyle name="40% - Accent5 6 3" xfId="5414" xr:uid="{00000000-0005-0000-0000-0000D5060000}"/>
    <cellStyle name="40% - Accent5 6 3 2" xfId="13843" xr:uid="{1211E620-4FC3-4F53-88D8-0C432C78EFE6}"/>
    <cellStyle name="40% - Accent5 6 4" xfId="9625" xr:uid="{26E2CE2C-263A-4234-BB62-13E9B49F6EF6}"/>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6C39F0A3-80EB-4F5A-BBA6-D0F964F473FE}"/>
    <cellStyle name="40% - Accent5 7 2 3" xfId="12183" xr:uid="{81B8081F-981F-441B-8994-492CF1F28A92}"/>
    <cellStyle name="40% - Accent5 7 3" xfId="5827" xr:uid="{00000000-0005-0000-0000-0000D9060000}"/>
    <cellStyle name="40% - Accent5 7 3 2" xfId="14256" xr:uid="{A388D16F-0FA9-4C01-9F1D-BBE41EC6F240}"/>
    <cellStyle name="40% - Accent5 7 4" xfId="10038" xr:uid="{37A42FAE-1A4D-4A18-9E86-1370B659EDD1}"/>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B7B8D779-AE20-4FF1-AC68-E9340E66276E}"/>
    <cellStyle name="40% - Accent5 8 2 3" xfId="12596" xr:uid="{3C8CCBB3-830F-4A85-912A-20EE2DA4714F}"/>
    <cellStyle name="40% - Accent5 8 3" xfId="6240" xr:uid="{00000000-0005-0000-0000-0000DD060000}"/>
    <cellStyle name="40% - Accent5 8 3 2" xfId="14669" xr:uid="{5A81E4A8-9AB4-4642-8F4C-176E7FA53E32}"/>
    <cellStyle name="40% - Accent5 8 4" xfId="10451" xr:uid="{47044799-7F9E-4A84-B78F-4712C5529DB1}"/>
    <cellStyle name="40% - Accent5 9" xfId="2345" xr:uid="{00000000-0005-0000-0000-0000DE060000}"/>
    <cellStyle name="40% - Accent5 9 2" xfId="6653" xr:uid="{00000000-0005-0000-0000-0000DF060000}"/>
    <cellStyle name="40% - Accent5 9 2 2" xfId="15082" xr:uid="{2513A290-C8BF-4FA6-AC2F-18A71E623665}"/>
    <cellStyle name="40% - Accent5 9 3" xfId="10864" xr:uid="{5EB6F674-3EC7-4416-9AE4-DAB2C40DCB6E}"/>
    <cellStyle name="40% - Accent6" xfId="89" builtinId="51" customBuiltin="1"/>
    <cellStyle name="40% - Accent6 10" xfId="4595" xr:uid="{00000000-0005-0000-0000-0000E1060000}"/>
    <cellStyle name="40% - Accent6 10 2" xfId="13024" xr:uid="{5E01697B-8549-42B6-8E15-C54F0ECFCB12}"/>
    <cellStyle name="40% - Accent6 11" xfId="8806" xr:uid="{11FAF5DF-C490-4563-95FA-663247B3AEB2}"/>
    <cellStyle name="40% - Accent6 2" xfId="90" xr:uid="{00000000-0005-0000-0000-0000E2060000}"/>
    <cellStyle name="40% - Accent6 2 10" xfId="8807" xr:uid="{A7FF830A-3BDA-445E-A00B-653A2B621ACF}"/>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B6EEE721-696B-4BDC-8D0B-D00D9C602C7F}"/>
    <cellStyle name="40% - Accent6 2 2 2 2 2 3" xfId="11368" xr:uid="{506AE1EE-0C21-48B1-9FA3-8E0E1E2F9534}"/>
    <cellStyle name="40% - Accent6 2 2 2 2 3" xfId="5012" xr:uid="{00000000-0005-0000-0000-0000E8060000}"/>
    <cellStyle name="40% - Accent6 2 2 2 2 3 2" xfId="13441" xr:uid="{6C0605A6-5B67-4D45-B7A3-CD11C9A2DC35}"/>
    <cellStyle name="40% - Accent6 2 2 2 2 4" xfId="9223" xr:uid="{68243B31-FB0E-46A6-8A7A-BEA53A6E647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449A1C09-00AA-4EB5-8DA4-7A632F89BB77}"/>
    <cellStyle name="40% - Accent6 2 2 2 3 2 3" xfId="11781" xr:uid="{553CE769-B839-4DE3-9B57-7224AE9CF169}"/>
    <cellStyle name="40% - Accent6 2 2 2 3 3" xfId="5425" xr:uid="{00000000-0005-0000-0000-0000EC060000}"/>
    <cellStyle name="40% - Accent6 2 2 2 3 3 2" xfId="13854" xr:uid="{43651591-ECD1-4AB5-A8D5-AF38E9709713}"/>
    <cellStyle name="40% - Accent6 2 2 2 3 4" xfId="9636" xr:uid="{F3C3BA14-B7E1-479E-A3ED-EAB3AF2FFE6C}"/>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CF41553E-17FD-4046-AD0D-374773598EE1}"/>
    <cellStyle name="40% - Accent6 2 2 2 4 2 3" xfId="12194" xr:uid="{2331624D-0028-43B2-A0C5-079D5F656382}"/>
    <cellStyle name="40% - Accent6 2 2 2 4 3" xfId="5838" xr:uid="{00000000-0005-0000-0000-0000F0060000}"/>
    <cellStyle name="40% - Accent6 2 2 2 4 3 2" xfId="14267" xr:uid="{7A748400-FC9C-492F-94C4-0D4282D0EB09}"/>
    <cellStyle name="40% - Accent6 2 2 2 4 4" xfId="10049" xr:uid="{5B2F3E92-54F7-4F40-8986-860E1DCA7674}"/>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5011084-5930-458B-B988-E446DF028047}"/>
    <cellStyle name="40% - Accent6 2 2 2 5 2 3" xfId="12607" xr:uid="{2494358D-C58E-4362-BBE9-44C7E17ADD04}"/>
    <cellStyle name="40% - Accent6 2 2 2 5 3" xfId="6251" xr:uid="{00000000-0005-0000-0000-0000F4060000}"/>
    <cellStyle name="40% - Accent6 2 2 2 5 3 2" xfId="14680" xr:uid="{A7529C78-3652-4B32-AA03-E676DA0DA452}"/>
    <cellStyle name="40% - Accent6 2 2 2 5 4" xfId="10462" xr:uid="{57180AC1-3D0C-4D0A-B103-472E99D02A90}"/>
    <cellStyle name="40% - Accent6 2 2 2 6" xfId="2356" xr:uid="{00000000-0005-0000-0000-0000F5060000}"/>
    <cellStyle name="40% - Accent6 2 2 2 6 2" xfId="6664" xr:uid="{00000000-0005-0000-0000-0000F6060000}"/>
    <cellStyle name="40% - Accent6 2 2 2 6 2 2" xfId="15093" xr:uid="{6EC44CFB-8BD7-43E2-AB09-854C6A57AAE5}"/>
    <cellStyle name="40% - Accent6 2 2 2 6 3" xfId="10875" xr:uid="{A18E70A1-5698-4728-B942-DC0E24052FA7}"/>
    <cellStyle name="40% - Accent6 2 2 2 7" xfId="4598" xr:uid="{00000000-0005-0000-0000-0000F7060000}"/>
    <cellStyle name="40% - Accent6 2 2 2 7 2" xfId="13027" xr:uid="{1EA7ACD6-51EB-4581-8704-88044158E1C9}"/>
    <cellStyle name="40% - Accent6 2 2 2 8" xfId="8809" xr:uid="{B0EBD66C-1053-41A2-88AA-50CDAC7336D8}"/>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23EA7A1A-462F-4D45-BF93-6B02F591AC49}"/>
    <cellStyle name="40% - Accent6 2 2 3 2 3" xfId="11367" xr:uid="{AC1D0660-43A7-4B64-A77E-70577FF3E691}"/>
    <cellStyle name="40% - Accent6 2 2 3 3" xfId="5011" xr:uid="{00000000-0005-0000-0000-0000FB060000}"/>
    <cellStyle name="40% - Accent6 2 2 3 3 2" xfId="13440" xr:uid="{C37136DE-B009-40FF-B6A4-21591BC0D301}"/>
    <cellStyle name="40% - Accent6 2 2 3 4" xfId="9222" xr:uid="{1DB8BAAA-355F-4EA0-8B90-0C319A12A6D8}"/>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319D361F-847E-4AE2-9726-C52EBCF7BD28}"/>
    <cellStyle name="40% - Accent6 2 2 4 2 3" xfId="11780" xr:uid="{49D67298-9448-4CCC-AB2F-7E6A14B96782}"/>
    <cellStyle name="40% - Accent6 2 2 4 3" xfId="5424" xr:uid="{00000000-0005-0000-0000-0000FF060000}"/>
    <cellStyle name="40% - Accent6 2 2 4 3 2" xfId="13853" xr:uid="{9A0E322C-2215-44C2-8B9B-30935E0DF38C}"/>
    <cellStyle name="40% - Accent6 2 2 4 4" xfId="9635" xr:uid="{03293758-A8E6-4BBB-BA10-6C345E367FB1}"/>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E68B2394-C9D1-4637-A5D0-B583721B9390}"/>
    <cellStyle name="40% - Accent6 2 2 5 2 3" xfId="12193" xr:uid="{B57E0A8E-4722-4F3B-944B-691566AA5762}"/>
    <cellStyle name="40% - Accent6 2 2 5 3" xfId="5837" xr:uid="{00000000-0005-0000-0000-000003070000}"/>
    <cellStyle name="40% - Accent6 2 2 5 3 2" xfId="14266" xr:uid="{D94D9147-1E4F-4B5F-8166-02C3CD07237F}"/>
    <cellStyle name="40% - Accent6 2 2 5 4" xfId="10048" xr:uid="{68307E76-4FED-4775-A87A-F3D0D7CF07BD}"/>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5E037842-874F-4374-A372-1A4996B35358}"/>
    <cellStyle name="40% - Accent6 2 2 6 2 3" xfId="12606" xr:uid="{9BE889AB-B3D5-4FEB-8F21-3B174DBA397B}"/>
    <cellStyle name="40% - Accent6 2 2 6 3" xfId="6250" xr:uid="{00000000-0005-0000-0000-000007070000}"/>
    <cellStyle name="40% - Accent6 2 2 6 3 2" xfId="14679" xr:uid="{712DF1FF-1583-4495-84BF-75FBC394042F}"/>
    <cellStyle name="40% - Accent6 2 2 6 4" xfId="10461" xr:uid="{063D6255-89EC-4147-B749-B53DAC6CB04D}"/>
    <cellStyle name="40% - Accent6 2 2 7" xfId="2355" xr:uid="{00000000-0005-0000-0000-000008070000}"/>
    <cellStyle name="40% - Accent6 2 2 7 2" xfId="6663" xr:uid="{00000000-0005-0000-0000-000009070000}"/>
    <cellStyle name="40% - Accent6 2 2 7 2 2" xfId="15092" xr:uid="{094B2699-F27D-4888-A2CB-85E35A32D81A}"/>
    <cellStyle name="40% - Accent6 2 2 7 3" xfId="10874" xr:uid="{DC29B652-9982-479E-8121-5C5FBC90EF5C}"/>
    <cellStyle name="40% - Accent6 2 2 8" xfId="4597" xr:uid="{00000000-0005-0000-0000-00000A070000}"/>
    <cellStyle name="40% - Accent6 2 2 8 2" xfId="13026" xr:uid="{87847910-9219-4EAB-BDEF-520605AAC98C}"/>
    <cellStyle name="40% - Accent6 2 2 9" xfId="8808" xr:uid="{762C84E8-EEDB-4487-BB9E-04FC82AD9943}"/>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377A464A-C8C7-4315-B72D-4B9A27EEBAE7}"/>
    <cellStyle name="40% - Accent6 2 3 2 2 3" xfId="11369" xr:uid="{B83525D5-154C-4FE2-A401-2381CD2C3DCC}"/>
    <cellStyle name="40% - Accent6 2 3 2 3" xfId="5013" xr:uid="{00000000-0005-0000-0000-00000F070000}"/>
    <cellStyle name="40% - Accent6 2 3 2 3 2" xfId="13442" xr:uid="{4C588C95-9AE1-4388-AA29-DCA63FC425ED}"/>
    <cellStyle name="40% - Accent6 2 3 2 4" xfId="9224" xr:uid="{8DC8FD6D-A56F-423C-B8FA-E211B36564B0}"/>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6F5B16D9-1170-44E4-ACFA-9F225134752C}"/>
    <cellStyle name="40% - Accent6 2 3 3 2 3" xfId="11782" xr:uid="{164F343A-37F7-42D4-AAA2-D5C08674AE6A}"/>
    <cellStyle name="40% - Accent6 2 3 3 3" xfId="5426" xr:uid="{00000000-0005-0000-0000-000013070000}"/>
    <cellStyle name="40% - Accent6 2 3 3 3 2" xfId="13855" xr:uid="{D6D0D9A2-283B-470F-B218-E0587CABCDA1}"/>
    <cellStyle name="40% - Accent6 2 3 3 4" xfId="9637" xr:uid="{C81B1D77-E6DC-4CF9-8033-E6AEBB9783FC}"/>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B4429D86-E84B-4A3C-A856-2DE753309F9D}"/>
    <cellStyle name="40% - Accent6 2 3 4 2 3" xfId="12195" xr:uid="{272BE400-7D6D-4F0C-A6DA-1EB62764BBA7}"/>
    <cellStyle name="40% - Accent6 2 3 4 3" xfId="5839" xr:uid="{00000000-0005-0000-0000-000017070000}"/>
    <cellStyle name="40% - Accent6 2 3 4 3 2" xfId="14268" xr:uid="{42CE25CB-4412-4D7A-8E17-D082C05F01F3}"/>
    <cellStyle name="40% - Accent6 2 3 4 4" xfId="10050" xr:uid="{C502E1E6-A351-4A4A-88E8-B55853B73874}"/>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0E62E328-BA9B-4B8C-9C83-CFC08FAF5B56}"/>
    <cellStyle name="40% - Accent6 2 3 5 2 3" xfId="12608" xr:uid="{F1FC5D7C-EB24-4E38-A0EB-65691B1F7837}"/>
    <cellStyle name="40% - Accent6 2 3 5 3" xfId="6252" xr:uid="{00000000-0005-0000-0000-00001B070000}"/>
    <cellStyle name="40% - Accent6 2 3 5 3 2" xfId="14681" xr:uid="{FF1FC30B-745D-48AE-A21A-ADA6AAB3C60D}"/>
    <cellStyle name="40% - Accent6 2 3 5 4" xfId="10463" xr:uid="{0C27AE19-5E4A-485A-976F-F2920D305810}"/>
    <cellStyle name="40% - Accent6 2 3 6" xfId="2357" xr:uid="{00000000-0005-0000-0000-00001C070000}"/>
    <cellStyle name="40% - Accent6 2 3 6 2" xfId="6665" xr:uid="{00000000-0005-0000-0000-00001D070000}"/>
    <cellStyle name="40% - Accent6 2 3 6 2 2" xfId="15094" xr:uid="{4F8BB7ED-66B1-4FAC-9041-78B623327F0C}"/>
    <cellStyle name="40% - Accent6 2 3 6 3" xfId="10876" xr:uid="{CFA1A65D-030D-48DE-8DEE-C468D5198B28}"/>
    <cellStyle name="40% - Accent6 2 3 7" xfId="4599" xr:uid="{00000000-0005-0000-0000-00001E070000}"/>
    <cellStyle name="40% - Accent6 2 3 7 2" xfId="13028" xr:uid="{4E31051E-2371-466B-9839-93FC1F90130B}"/>
    <cellStyle name="40% - Accent6 2 3 8" xfId="8810" xr:uid="{DE9997EC-5A99-4E6A-8F9E-8869078A0C43}"/>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F450D526-0C5E-4191-BA1F-C69AA433F5D6}"/>
    <cellStyle name="40% - Accent6 2 4 2 3" xfId="11366" xr:uid="{3CA2D427-0BA2-42C3-9093-3BCC74095F32}"/>
    <cellStyle name="40% - Accent6 2 4 3" xfId="5010" xr:uid="{00000000-0005-0000-0000-000022070000}"/>
    <cellStyle name="40% - Accent6 2 4 3 2" xfId="13439" xr:uid="{F2AD3FCD-51D0-4A7F-8CBF-62D68F47E5BB}"/>
    <cellStyle name="40% - Accent6 2 4 4" xfId="9221" xr:uid="{F8320721-29DD-4D78-A47A-30039F6FAC0D}"/>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CD0B4018-8A45-43E8-9FEF-F1FD52DB8D44}"/>
    <cellStyle name="40% - Accent6 2 5 2 3" xfId="11779" xr:uid="{2DD6A45C-9CE7-4F1A-84A8-9330645AB6E7}"/>
    <cellStyle name="40% - Accent6 2 5 3" xfId="5423" xr:uid="{00000000-0005-0000-0000-000026070000}"/>
    <cellStyle name="40% - Accent6 2 5 3 2" xfId="13852" xr:uid="{4785FEB2-2321-4AF2-B5D3-BD6BBC6AE8BE}"/>
    <cellStyle name="40% - Accent6 2 5 4" xfId="9634" xr:uid="{197F2290-25CA-406A-901B-CD0AD36F23A2}"/>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183C30C0-1BD4-4ABC-BCF3-60D6303C8047}"/>
    <cellStyle name="40% - Accent6 2 6 2 3" xfId="12192" xr:uid="{906D150F-961B-4B1D-BA65-41F251851874}"/>
    <cellStyle name="40% - Accent6 2 6 3" xfId="5836" xr:uid="{00000000-0005-0000-0000-00002A070000}"/>
    <cellStyle name="40% - Accent6 2 6 3 2" xfId="14265" xr:uid="{EE14D655-8835-41B0-863E-140246E537CD}"/>
    <cellStyle name="40% - Accent6 2 6 4" xfId="10047" xr:uid="{7F1C49A7-FD76-472A-B7D5-E9B6ACFDEAE2}"/>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DACDC906-351D-405D-A959-DC6E8DC7C35A}"/>
    <cellStyle name="40% - Accent6 2 7 2 3" xfId="12605" xr:uid="{D44E6F61-C676-4F06-AF35-C11ED1FEA105}"/>
    <cellStyle name="40% - Accent6 2 7 3" xfId="6249" xr:uid="{00000000-0005-0000-0000-00002E070000}"/>
    <cellStyle name="40% - Accent6 2 7 3 2" xfId="14678" xr:uid="{6415E339-E616-4E1F-93D0-456F7703146E}"/>
    <cellStyle name="40% - Accent6 2 7 4" xfId="10460" xr:uid="{8DD22FE2-A4AF-47A3-B237-9ADD08AC0C54}"/>
    <cellStyle name="40% - Accent6 2 8" xfId="2354" xr:uid="{00000000-0005-0000-0000-00002F070000}"/>
    <cellStyle name="40% - Accent6 2 8 2" xfId="6662" xr:uid="{00000000-0005-0000-0000-000030070000}"/>
    <cellStyle name="40% - Accent6 2 8 2 2" xfId="15091" xr:uid="{F37C2F1B-9BFA-4106-8DAA-204B4AA1BC28}"/>
    <cellStyle name="40% - Accent6 2 8 3" xfId="10873" xr:uid="{D0DD6B4B-A972-4DE1-917A-080C1341EF70}"/>
    <cellStyle name="40% - Accent6 2 9" xfId="4596" xr:uid="{00000000-0005-0000-0000-000031070000}"/>
    <cellStyle name="40% - Accent6 2 9 2" xfId="13025" xr:uid="{41FBB942-A688-45C9-A990-EA85ED0D85D6}"/>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875A431-B57C-4EE6-9C76-3AF15EB05D41}"/>
    <cellStyle name="40% - Accent6 3 2 2 2 3" xfId="11371" xr:uid="{B5647990-EA56-47C2-9D11-5309741C5850}"/>
    <cellStyle name="40% - Accent6 3 2 2 3" xfId="5015" xr:uid="{00000000-0005-0000-0000-000037070000}"/>
    <cellStyle name="40% - Accent6 3 2 2 3 2" xfId="13444" xr:uid="{3CD6EC0D-3995-49E9-A7AE-CC4B90DA0220}"/>
    <cellStyle name="40% - Accent6 3 2 2 4" xfId="9226" xr:uid="{EA96E469-D6AA-49C9-918B-21031C785CF3}"/>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A2DDEC76-7DEE-4A36-998B-689F973AA414}"/>
    <cellStyle name="40% - Accent6 3 2 3 2 3" xfId="11784" xr:uid="{15573DE7-1C99-44A6-BD51-FE248C42C0C4}"/>
    <cellStyle name="40% - Accent6 3 2 3 3" xfId="5428" xr:uid="{00000000-0005-0000-0000-00003B070000}"/>
    <cellStyle name="40% - Accent6 3 2 3 3 2" xfId="13857" xr:uid="{08DABC64-60F0-4434-849A-226CCBC57383}"/>
    <cellStyle name="40% - Accent6 3 2 3 4" xfId="9639" xr:uid="{694E5DDE-413C-4071-A7FC-0B121A192878}"/>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C0BB8E9D-EDBE-4EAB-9361-6094F2958E0C}"/>
    <cellStyle name="40% - Accent6 3 2 4 2 3" xfId="12197" xr:uid="{928D7F87-7C14-4904-8527-2BCD8C598F92}"/>
    <cellStyle name="40% - Accent6 3 2 4 3" xfId="5841" xr:uid="{00000000-0005-0000-0000-00003F070000}"/>
    <cellStyle name="40% - Accent6 3 2 4 3 2" xfId="14270" xr:uid="{338507D9-786B-41A5-A08E-C97527AD3D96}"/>
    <cellStyle name="40% - Accent6 3 2 4 4" xfId="10052" xr:uid="{EDDDA92D-1E13-4378-92AB-606758560373}"/>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9899E81C-E3CB-4A19-8D28-400C1771097F}"/>
    <cellStyle name="40% - Accent6 3 2 5 2 3" xfId="12610" xr:uid="{9DEFFC9D-28EA-4B1E-B1AE-FE04A255598C}"/>
    <cellStyle name="40% - Accent6 3 2 5 3" xfId="6254" xr:uid="{00000000-0005-0000-0000-000043070000}"/>
    <cellStyle name="40% - Accent6 3 2 5 3 2" xfId="14683" xr:uid="{88E0B705-8249-4106-BED9-92367BBE393F}"/>
    <cellStyle name="40% - Accent6 3 2 5 4" xfId="10465" xr:uid="{3F643CB3-AA6E-4CB2-81E1-299E93C371DF}"/>
    <cellStyle name="40% - Accent6 3 2 6" xfId="2359" xr:uid="{00000000-0005-0000-0000-000044070000}"/>
    <cellStyle name="40% - Accent6 3 2 6 2" xfId="6667" xr:uid="{00000000-0005-0000-0000-000045070000}"/>
    <cellStyle name="40% - Accent6 3 2 6 2 2" xfId="15096" xr:uid="{7D003FB6-9020-4B01-8E66-1C4EEA741D34}"/>
    <cellStyle name="40% - Accent6 3 2 6 3" xfId="10878" xr:uid="{3C6E683C-7A80-4FED-A628-F32253EC768A}"/>
    <cellStyle name="40% - Accent6 3 2 7" xfId="4601" xr:uid="{00000000-0005-0000-0000-000046070000}"/>
    <cellStyle name="40% - Accent6 3 2 7 2" xfId="13030" xr:uid="{AAB050F9-47C3-40A9-A79C-755025688A32}"/>
    <cellStyle name="40% - Accent6 3 2 8" xfId="8812" xr:uid="{48F387E2-FBD8-4A03-BD19-2440C7AC71B3}"/>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CE5728EC-17F4-47BA-A4AA-2765991275E7}"/>
    <cellStyle name="40% - Accent6 3 3 2 3" xfId="11370" xr:uid="{99535DA2-D77A-4713-916D-CF6D13CA12F3}"/>
    <cellStyle name="40% - Accent6 3 3 3" xfId="5014" xr:uid="{00000000-0005-0000-0000-00004A070000}"/>
    <cellStyle name="40% - Accent6 3 3 3 2" xfId="13443" xr:uid="{5DE1E3F8-B20E-4727-86FD-E3ECBC65CE8A}"/>
    <cellStyle name="40% - Accent6 3 3 4" xfId="9225" xr:uid="{D67F958D-EC21-4564-AFAD-6C6713EB6753}"/>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46B3D9F5-4633-467B-9597-B08865AD78B9}"/>
    <cellStyle name="40% - Accent6 3 4 2 3" xfId="11783" xr:uid="{1CB388DA-B14E-4F2E-8D52-694E668ACDA1}"/>
    <cellStyle name="40% - Accent6 3 4 3" xfId="5427" xr:uid="{00000000-0005-0000-0000-00004E070000}"/>
    <cellStyle name="40% - Accent6 3 4 3 2" xfId="13856" xr:uid="{857CF36C-E93E-4A91-9E39-C8EE7926F612}"/>
    <cellStyle name="40% - Accent6 3 4 4" xfId="9638" xr:uid="{1B9B525C-50B7-4928-A05D-06E8327F5DBB}"/>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422A67AD-9B31-4B4B-8BEC-A544347BF8E2}"/>
    <cellStyle name="40% - Accent6 3 5 2 3" xfId="12196" xr:uid="{1D1AED99-B460-495D-AFC4-8B1730EB08C5}"/>
    <cellStyle name="40% - Accent6 3 5 3" xfId="5840" xr:uid="{00000000-0005-0000-0000-000052070000}"/>
    <cellStyle name="40% - Accent6 3 5 3 2" xfId="14269" xr:uid="{EA9F18F8-38E1-4118-BE61-0B798C2586F5}"/>
    <cellStyle name="40% - Accent6 3 5 4" xfId="10051" xr:uid="{BDF48900-488C-4BAD-8DEE-6BC10B2872DF}"/>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53EDC213-5C79-4DA2-A83E-3A25DA239AA8}"/>
    <cellStyle name="40% - Accent6 3 6 2 3" xfId="12609" xr:uid="{CECC7CA6-7645-4C76-906F-2CB15B6D1861}"/>
    <cellStyle name="40% - Accent6 3 6 3" xfId="6253" xr:uid="{00000000-0005-0000-0000-000056070000}"/>
    <cellStyle name="40% - Accent6 3 6 3 2" xfId="14682" xr:uid="{A37F16E5-A639-48FF-B032-9EDC62B964F8}"/>
    <cellStyle name="40% - Accent6 3 6 4" xfId="10464" xr:uid="{2051A87D-5894-467E-A907-3F79D35E6CD8}"/>
    <cellStyle name="40% - Accent6 3 7" xfId="2358" xr:uid="{00000000-0005-0000-0000-000057070000}"/>
    <cellStyle name="40% - Accent6 3 7 2" xfId="6666" xr:uid="{00000000-0005-0000-0000-000058070000}"/>
    <cellStyle name="40% - Accent6 3 7 2 2" xfId="15095" xr:uid="{CE21AC37-D95F-4D81-AEBC-9BF653070814}"/>
    <cellStyle name="40% - Accent6 3 7 3" xfId="10877" xr:uid="{9F35161A-F2BC-4ACD-BB5B-0CBF66753E3B}"/>
    <cellStyle name="40% - Accent6 3 8" xfId="4600" xr:uid="{00000000-0005-0000-0000-000059070000}"/>
    <cellStyle name="40% - Accent6 3 8 2" xfId="13029" xr:uid="{9425E96B-97DC-4E2B-848F-A1C7DA51F626}"/>
    <cellStyle name="40% - Accent6 3 9" xfId="8811" xr:uid="{9E74A3E6-EB7D-4797-A016-7E317316404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49316866-6D98-4EE2-AD56-C6BB4D0B9102}"/>
    <cellStyle name="40% - Accent6 4 2 2 3" xfId="11372" xr:uid="{BB4AF125-F368-414A-B422-769EEAE648F2}"/>
    <cellStyle name="40% - Accent6 4 2 3" xfId="5016" xr:uid="{00000000-0005-0000-0000-00005E070000}"/>
    <cellStyle name="40% - Accent6 4 2 3 2" xfId="13445" xr:uid="{D77C6244-195D-48E8-8018-6008185E5313}"/>
    <cellStyle name="40% - Accent6 4 2 4" xfId="9227" xr:uid="{1F6DAE38-CB57-4053-834A-2A6DD93AAD26}"/>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9AD3C407-4214-4237-A146-0D463EC6949E}"/>
    <cellStyle name="40% - Accent6 4 3 2 3" xfId="11785" xr:uid="{F62C0B1E-11FE-4972-86BF-456466ABAAEE}"/>
    <cellStyle name="40% - Accent6 4 3 3" xfId="5429" xr:uid="{00000000-0005-0000-0000-000062070000}"/>
    <cellStyle name="40% - Accent6 4 3 3 2" xfId="13858" xr:uid="{9479B817-54F8-4DA8-9369-D27F06DA7936}"/>
    <cellStyle name="40% - Accent6 4 3 4" xfId="9640" xr:uid="{591F372C-3C0D-4A09-8947-0C1878D3F8F3}"/>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37081B3B-30CB-4C9B-AAF5-0C1E61ADC2EB}"/>
    <cellStyle name="40% - Accent6 4 4 2 3" xfId="12198" xr:uid="{802072EB-6AC2-45B5-9202-6D8D0A083159}"/>
    <cellStyle name="40% - Accent6 4 4 3" xfId="5842" xr:uid="{00000000-0005-0000-0000-000066070000}"/>
    <cellStyle name="40% - Accent6 4 4 3 2" xfId="14271" xr:uid="{B376FB39-3E83-46AE-A029-992D78664344}"/>
    <cellStyle name="40% - Accent6 4 4 4" xfId="10053" xr:uid="{3AF1EBFA-1F36-468F-8B38-DF469435250F}"/>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52E154F4-6679-42B7-8866-EB61D7902D53}"/>
    <cellStyle name="40% - Accent6 4 5 2 3" xfId="12611" xr:uid="{2D951170-D853-4E03-8725-8444F1FDDA32}"/>
    <cellStyle name="40% - Accent6 4 5 3" xfId="6255" xr:uid="{00000000-0005-0000-0000-00006A070000}"/>
    <cellStyle name="40% - Accent6 4 5 3 2" xfId="14684" xr:uid="{F942EE58-0B09-4C1B-837D-9D4202CC7D9E}"/>
    <cellStyle name="40% - Accent6 4 5 4" xfId="10466" xr:uid="{E934AB18-3B21-46BF-8028-330BCFE936F9}"/>
    <cellStyle name="40% - Accent6 4 6" xfId="2360" xr:uid="{00000000-0005-0000-0000-00006B070000}"/>
    <cellStyle name="40% - Accent6 4 6 2" xfId="6668" xr:uid="{00000000-0005-0000-0000-00006C070000}"/>
    <cellStyle name="40% - Accent6 4 6 2 2" xfId="15097" xr:uid="{E07BBC0F-4B1E-499C-8E2E-566374EBBA95}"/>
    <cellStyle name="40% - Accent6 4 6 3" xfId="10879" xr:uid="{22E07C9E-4E01-45F8-B437-ACD652A4AB87}"/>
    <cellStyle name="40% - Accent6 4 7" xfId="4602" xr:uid="{00000000-0005-0000-0000-00006D070000}"/>
    <cellStyle name="40% - Accent6 4 7 2" xfId="13031" xr:uid="{F3266F72-7B11-4DAD-8A5D-F429CB93E9CA}"/>
    <cellStyle name="40% - Accent6 4 8" xfId="8813" xr:uid="{986DF87C-D03E-4E2D-A667-805C2834BF29}"/>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D4DDE44C-809B-4C4A-8DF7-9680EF5DF97B}"/>
    <cellStyle name="40% - Accent6 5 2 3" xfId="11365" xr:uid="{5EFEAD80-97F9-4BB8-87CD-9461ABF4D4AB}"/>
    <cellStyle name="40% - Accent6 5 3" xfId="5009" xr:uid="{00000000-0005-0000-0000-000071070000}"/>
    <cellStyle name="40% - Accent6 5 3 2" xfId="13438" xr:uid="{B173AA6B-1580-4527-9167-F8B337B33CC1}"/>
    <cellStyle name="40% - Accent6 5 4" xfId="9220" xr:uid="{1AA4D33F-F452-4B71-8FF0-8E325E9B8D57}"/>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72EE31F1-4420-48C1-99AB-02FD6A6CD8B0}"/>
    <cellStyle name="40% - Accent6 6 2 3" xfId="11778" xr:uid="{B48EAA25-A883-42F9-8337-7848B3251EFC}"/>
    <cellStyle name="40% - Accent6 6 3" xfId="5422" xr:uid="{00000000-0005-0000-0000-000075070000}"/>
    <cellStyle name="40% - Accent6 6 3 2" xfId="13851" xr:uid="{149A8FA9-4FAB-4841-B946-A13CFDAE4361}"/>
    <cellStyle name="40% - Accent6 6 4" xfId="9633" xr:uid="{7EBDCD15-EC96-4180-BF7B-DB783C766B28}"/>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CFA6A9D3-86C7-45E2-8AAF-88871F7C9D55}"/>
    <cellStyle name="40% - Accent6 7 2 3" xfId="12191" xr:uid="{86C2D39A-1952-45CD-B5A6-E93F85AD25E6}"/>
    <cellStyle name="40% - Accent6 7 3" xfId="5835" xr:uid="{00000000-0005-0000-0000-000079070000}"/>
    <cellStyle name="40% - Accent6 7 3 2" xfId="14264" xr:uid="{8A8B1999-9763-4412-8359-5B0EA527E2C2}"/>
    <cellStyle name="40% - Accent6 7 4" xfId="10046" xr:uid="{C6BD8552-27B6-4A69-A03C-6D0020F43908}"/>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0F96BCFF-DF95-408E-B388-B5A07630E090}"/>
    <cellStyle name="40% - Accent6 8 2 3" xfId="12604" xr:uid="{AF7FE843-FD38-4AE4-A461-5926ED4C9F2B}"/>
    <cellStyle name="40% - Accent6 8 3" xfId="6248" xr:uid="{00000000-0005-0000-0000-00007D070000}"/>
    <cellStyle name="40% - Accent6 8 3 2" xfId="14677" xr:uid="{62758CF6-8B02-47B1-874D-5C01B1E431AA}"/>
    <cellStyle name="40% - Accent6 8 4" xfId="10459" xr:uid="{ECA464B8-86FE-4917-8AD0-FEBC960F4D26}"/>
    <cellStyle name="40% - Accent6 9" xfId="2353" xr:uid="{00000000-0005-0000-0000-00007E070000}"/>
    <cellStyle name="40% - Accent6 9 2" xfId="6661" xr:uid="{00000000-0005-0000-0000-00007F070000}"/>
    <cellStyle name="40% - Accent6 9 2 2" xfId="15090" xr:uid="{66E5563E-7F60-4D90-BEEA-8D65B13E363D}"/>
    <cellStyle name="40% - Accent6 9 3" xfId="10872" xr:uid="{0878E288-E174-4E3B-A992-D92F782AE95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105183D6-AABD-4D44-B895-799DC25AEA98}"/>
    <cellStyle name="Comma 4 2 2 2 10 3" xfId="11197" xr:uid="{87A186E4-9F7F-402C-ACC0-3C495FE206FD}"/>
    <cellStyle name="Comma 4 2 2 2 11" xfId="4603" xr:uid="{00000000-0005-0000-0000-0000A3070000}"/>
    <cellStyle name="Comma 4 2 2 2 11 2" xfId="13032" xr:uid="{973380AB-2EFE-4CB6-BB6C-57B85E0856B5}"/>
    <cellStyle name="Comma 4 2 2 2 12" xfId="8814" xr:uid="{E52C793E-0468-4064-99EB-A40B2A29F5E9}"/>
    <cellStyle name="Comma 4 2 2 2 2" xfId="129" xr:uid="{00000000-0005-0000-0000-0000A4070000}"/>
    <cellStyle name="Comma 4 2 2 2 2 10" xfId="4604" xr:uid="{00000000-0005-0000-0000-0000A5070000}"/>
    <cellStyle name="Comma 4 2 2 2 2 10 2" xfId="13033" xr:uid="{4E6A738B-EEA6-402E-AB14-D7CF848A55FE}"/>
    <cellStyle name="Comma 4 2 2 2 2 11" xfId="8815" xr:uid="{D496E2FF-417F-4DFF-9582-A64D3197BCDE}"/>
    <cellStyle name="Comma 4 2 2 2 2 2" xfId="130" xr:uid="{00000000-0005-0000-0000-0000A6070000}"/>
    <cellStyle name="Comma 4 2 2 2 2 2 10" xfId="8816" xr:uid="{46B38EA1-7DF1-4B45-B7A5-8CBC7F5E4166}"/>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5DBEE34F-2743-4C54-B188-6A0DD3B59244}"/>
    <cellStyle name="Comma 4 2 2 2 2 2 2 2 3" xfId="11375" xr:uid="{ABE54C54-366F-47D0-BA32-C3EA2D8A0D1D}"/>
    <cellStyle name="Comma 4 2 2 2 2 2 2 3" xfId="5019" xr:uid="{00000000-0005-0000-0000-0000AA070000}"/>
    <cellStyle name="Comma 4 2 2 2 2 2 2 3 2" xfId="13448" xr:uid="{0A9BD3A4-577D-4E70-8CB7-73A6CDDC35FE}"/>
    <cellStyle name="Comma 4 2 2 2 2 2 2 4" xfId="9230" xr:uid="{8D609A4A-E776-4A81-8C06-B2DF0CD67E4A}"/>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60FE86B5-9E9E-4D2C-9DCC-A18F528358A8}"/>
    <cellStyle name="Comma 4 2 2 2 2 2 3 2 3" xfId="11788" xr:uid="{1F49010D-C2C5-4B4B-B417-1BE9BCBCF1DC}"/>
    <cellStyle name="Comma 4 2 2 2 2 2 3 3" xfId="5432" xr:uid="{00000000-0005-0000-0000-0000AE070000}"/>
    <cellStyle name="Comma 4 2 2 2 2 2 3 3 2" xfId="13861" xr:uid="{95B7B822-FC2D-4B4E-BEEF-121B3CEE6748}"/>
    <cellStyle name="Comma 4 2 2 2 2 2 3 4" xfId="9643" xr:uid="{34F2EBAC-0904-42DF-9F78-CF046E671E2A}"/>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AE30BFDC-F786-4E9A-BCC9-B3F17ED6A4A8}"/>
    <cellStyle name="Comma 4 2 2 2 2 2 4 2 3" xfId="12201" xr:uid="{3DA726AD-18A6-44B5-B494-F5A754E619C9}"/>
    <cellStyle name="Comma 4 2 2 2 2 2 4 3" xfId="5845" xr:uid="{00000000-0005-0000-0000-0000B2070000}"/>
    <cellStyle name="Comma 4 2 2 2 2 2 4 3 2" xfId="14274" xr:uid="{89337156-7674-4484-AD7D-0E8D2D65992A}"/>
    <cellStyle name="Comma 4 2 2 2 2 2 4 4" xfId="10056" xr:uid="{CBFAD24A-AE10-4484-92D0-1CC0B7DD61C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F1990B7E-DDA5-4C39-ACC8-9DB698B4C7FF}"/>
    <cellStyle name="Comma 4 2 2 2 2 2 5 2 3" xfId="12614" xr:uid="{96450549-7CF9-4E3B-8223-94A53626537B}"/>
    <cellStyle name="Comma 4 2 2 2 2 2 5 3" xfId="6258" xr:uid="{00000000-0005-0000-0000-0000B6070000}"/>
    <cellStyle name="Comma 4 2 2 2 2 2 5 3 2" xfId="14687" xr:uid="{C3BAE5D9-A587-4F11-8E98-E5894E845559}"/>
    <cellStyle name="Comma 4 2 2 2 2 2 5 4" xfId="10469" xr:uid="{D76B58E8-ED4F-48FA-8EDE-9941E4DB810B}"/>
    <cellStyle name="Comma 4 2 2 2 2 2 6" xfId="2385" xr:uid="{00000000-0005-0000-0000-0000B7070000}"/>
    <cellStyle name="Comma 4 2 2 2 2 2 6 2" xfId="6671" xr:uid="{00000000-0005-0000-0000-0000B8070000}"/>
    <cellStyle name="Comma 4 2 2 2 2 2 6 2 2" xfId="15100" xr:uid="{AEC4C190-7AD0-44F0-9F2C-6647D421BD0C}"/>
    <cellStyle name="Comma 4 2 2 2 2 2 6 3" xfId="10882" xr:uid="{037241E2-383D-43B4-BC9B-AAE66E3E1261}"/>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2D06C32A-D3E0-4012-B97B-70F994D8D499}"/>
    <cellStyle name="Comma 4 2 2 2 2 2 8 3" xfId="11199" xr:uid="{EDB69E05-4E60-4C60-B734-4B04E8BF6CD3}"/>
    <cellStyle name="Comma 4 2 2 2 2 2 9" xfId="4605" xr:uid="{00000000-0005-0000-0000-0000BC070000}"/>
    <cellStyle name="Comma 4 2 2 2 2 2 9 2" xfId="13034" xr:uid="{786E9F67-8AA1-4A14-9E5C-3FDE01E51529}"/>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EBA64923-92BB-47A5-8692-89C3E755FC1F}"/>
    <cellStyle name="Comma 4 2 2 2 2 3 2 3" xfId="11374" xr:uid="{0DBDE2E2-426F-4AAE-9E76-825EE9850B83}"/>
    <cellStyle name="Comma 4 2 2 2 2 3 3" xfId="5018" xr:uid="{00000000-0005-0000-0000-0000C0070000}"/>
    <cellStyle name="Comma 4 2 2 2 2 3 3 2" xfId="13447" xr:uid="{27B433D2-5ECA-49CF-9C81-E9D9FC692BC2}"/>
    <cellStyle name="Comma 4 2 2 2 2 3 4" xfId="9229" xr:uid="{359EF4AB-F3F8-46B9-AA94-3E36FAAD3B26}"/>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67AACFA8-8D83-4153-AC85-949847DF6976}"/>
    <cellStyle name="Comma 4 2 2 2 2 4 2 3" xfId="11787" xr:uid="{D3A7EFB0-759D-41E3-B5C4-A9C9F5674CCF}"/>
    <cellStyle name="Comma 4 2 2 2 2 4 3" xfId="5431" xr:uid="{00000000-0005-0000-0000-0000C4070000}"/>
    <cellStyle name="Comma 4 2 2 2 2 4 3 2" xfId="13860" xr:uid="{01D0C382-8EDD-422E-94E0-4BC435C0D192}"/>
    <cellStyle name="Comma 4 2 2 2 2 4 4" xfId="9642" xr:uid="{EACF346E-486A-403B-BD82-D9E0D4898DC4}"/>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28DD107E-C351-4ADD-A96E-F4A22F3E050A}"/>
    <cellStyle name="Comma 4 2 2 2 2 5 2 3" xfId="12200" xr:uid="{4C7A4300-0040-42DE-9626-B542FCEC1EF8}"/>
    <cellStyle name="Comma 4 2 2 2 2 5 3" xfId="5844" xr:uid="{00000000-0005-0000-0000-0000C8070000}"/>
    <cellStyle name="Comma 4 2 2 2 2 5 3 2" xfId="14273" xr:uid="{70B2888A-73ED-4568-ABF4-4F09696729D2}"/>
    <cellStyle name="Comma 4 2 2 2 2 5 4" xfId="10055" xr:uid="{171AD847-BC62-4B1D-AAC2-3BD8B212DF9C}"/>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4DC33873-B8A9-45AC-AB05-11C3F3DFCA1C}"/>
    <cellStyle name="Comma 4 2 2 2 2 6 2 3" xfId="12613" xr:uid="{A9C44A5D-83F7-4EE4-9D71-2D87A6FCDCCC}"/>
    <cellStyle name="Comma 4 2 2 2 2 6 3" xfId="6257" xr:uid="{00000000-0005-0000-0000-0000CC070000}"/>
    <cellStyle name="Comma 4 2 2 2 2 6 3 2" xfId="14686" xr:uid="{99B37364-7337-42DB-854E-AF9111FAD192}"/>
    <cellStyle name="Comma 4 2 2 2 2 6 4" xfId="10468" xr:uid="{BC0C4C68-35F2-4ECD-B262-0F8AD7EE2E3E}"/>
    <cellStyle name="Comma 4 2 2 2 2 7" xfId="2384" xr:uid="{00000000-0005-0000-0000-0000CD070000}"/>
    <cellStyle name="Comma 4 2 2 2 2 7 2" xfId="6670" xr:uid="{00000000-0005-0000-0000-0000CE070000}"/>
    <cellStyle name="Comma 4 2 2 2 2 7 2 2" xfId="15099" xr:uid="{99B517F1-C05C-4F46-9759-BD635EA870F1}"/>
    <cellStyle name="Comma 4 2 2 2 2 7 3" xfId="10881" xr:uid="{3F8D2CB2-1DA5-4E29-BD10-282A6443FDBC}"/>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0A26BB1E-0098-4B8D-99C6-97F2BF645DAE}"/>
    <cellStyle name="Comma 4 2 2 2 2 9 3" xfId="11198" xr:uid="{2F144E56-2137-4EE2-9B2B-553C8F15DA5E}"/>
    <cellStyle name="Comma 4 2 2 2 3" xfId="131" xr:uid="{00000000-0005-0000-0000-0000D2070000}"/>
    <cellStyle name="Comma 4 2 2 2 3 10" xfId="8817" xr:uid="{6A9CEA47-AA14-422E-B88C-14D04BBA6925}"/>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C1F1C38A-4520-4DB6-8C66-2E8C71E8C4DD}"/>
    <cellStyle name="Comma 4 2 2 2 3 2 2 3" xfId="11376" xr:uid="{9FD24D4C-E382-4927-9E66-1E6B2318398F}"/>
    <cellStyle name="Comma 4 2 2 2 3 2 3" xfId="5020" xr:uid="{00000000-0005-0000-0000-0000D6070000}"/>
    <cellStyle name="Comma 4 2 2 2 3 2 3 2" xfId="13449" xr:uid="{C503AC0C-69E9-4206-A0F4-B2B632C75C8F}"/>
    <cellStyle name="Comma 4 2 2 2 3 2 4" xfId="9231" xr:uid="{80E2B09E-AA3E-4D2C-9D80-8A4CADB385A5}"/>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27901DB6-F7C5-46BE-9BB9-6EF612965CC9}"/>
    <cellStyle name="Comma 4 2 2 2 3 3 2 3" xfId="11789" xr:uid="{5CB9F373-38A6-4AEC-8815-FD5659345F73}"/>
    <cellStyle name="Comma 4 2 2 2 3 3 3" xfId="5433" xr:uid="{00000000-0005-0000-0000-0000DA070000}"/>
    <cellStyle name="Comma 4 2 2 2 3 3 3 2" xfId="13862" xr:uid="{B8C4FCF9-653F-4E12-9C2E-8BDB7B8BEC7D}"/>
    <cellStyle name="Comma 4 2 2 2 3 3 4" xfId="9644" xr:uid="{6941A0BC-5144-4421-9D8B-F0A400FE714C}"/>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F1AF7232-1100-472F-8E9F-D9F71E74FE59}"/>
    <cellStyle name="Comma 4 2 2 2 3 4 2 3" xfId="12202" xr:uid="{B07B26CF-B762-4B37-90DD-86C36A7D23B4}"/>
    <cellStyle name="Comma 4 2 2 2 3 4 3" xfId="5846" xr:uid="{00000000-0005-0000-0000-0000DE070000}"/>
    <cellStyle name="Comma 4 2 2 2 3 4 3 2" xfId="14275" xr:uid="{512B1412-8EF7-4C39-949B-E4C4330E09E7}"/>
    <cellStyle name="Comma 4 2 2 2 3 4 4" xfId="10057" xr:uid="{F24B331B-6351-4AA5-9947-167F9B53E56C}"/>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E5FA502B-47E8-4588-A78A-2BDC642B1F64}"/>
    <cellStyle name="Comma 4 2 2 2 3 5 2 3" xfId="12615" xr:uid="{E4BF8365-AA5F-4687-BDF5-9C9B00060BDC}"/>
    <cellStyle name="Comma 4 2 2 2 3 5 3" xfId="6259" xr:uid="{00000000-0005-0000-0000-0000E2070000}"/>
    <cellStyle name="Comma 4 2 2 2 3 5 3 2" xfId="14688" xr:uid="{D62DF7C0-D7BD-47DE-A306-43B035365A82}"/>
    <cellStyle name="Comma 4 2 2 2 3 5 4" xfId="10470" xr:uid="{A734C79C-9BE5-4E7A-99B1-A5CA159EFBC1}"/>
    <cellStyle name="Comma 4 2 2 2 3 6" xfId="2386" xr:uid="{00000000-0005-0000-0000-0000E3070000}"/>
    <cellStyle name="Comma 4 2 2 2 3 6 2" xfId="6672" xr:uid="{00000000-0005-0000-0000-0000E4070000}"/>
    <cellStyle name="Comma 4 2 2 2 3 6 2 2" xfId="15101" xr:uid="{81917B97-8D33-4EB4-885A-B530F2272CE2}"/>
    <cellStyle name="Comma 4 2 2 2 3 6 3" xfId="10883" xr:uid="{FE4A6F09-B8B2-42E1-A2F8-6BEEFB9E7683}"/>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D3B570A0-837C-42F1-8F94-F23A6B5388BE}"/>
    <cellStyle name="Comma 4 2 2 2 3 8 3" xfId="11200" xr:uid="{4C5C3827-4946-430C-9782-CBCE7EAD9919}"/>
    <cellStyle name="Comma 4 2 2 2 3 9" xfId="4606" xr:uid="{00000000-0005-0000-0000-0000E8070000}"/>
    <cellStyle name="Comma 4 2 2 2 3 9 2" xfId="13035" xr:uid="{307BDEC5-3258-4E09-A9AD-2BDF955114A5}"/>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AFB4F5E7-C11D-4749-BA00-7B15F0FE7E4B}"/>
    <cellStyle name="Comma 4 2 2 2 4 2 3" xfId="11373" xr:uid="{93CBDB63-B9BC-41F6-BC93-673DEC9B8058}"/>
    <cellStyle name="Comma 4 2 2 2 4 3" xfId="5017" xr:uid="{00000000-0005-0000-0000-0000EC070000}"/>
    <cellStyle name="Comma 4 2 2 2 4 3 2" xfId="13446" xr:uid="{82EBAC33-D4E5-4295-A3C6-F65268C33A9E}"/>
    <cellStyle name="Comma 4 2 2 2 4 4" xfId="9228" xr:uid="{A43F75FF-31D9-4EC7-BE7A-AC883C45BFEE}"/>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F8F1E38D-2A8A-469D-92C6-C0B6BC5E4470}"/>
    <cellStyle name="Comma 4 2 2 2 5 2 3" xfId="11786" xr:uid="{22BE12EE-06F9-475B-B43F-95685211AF96}"/>
    <cellStyle name="Comma 4 2 2 2 5 3" xfId="5430" xr:uid="{00000000-0005-0000-0000-0000F0070000}"/>
    <cellStyle name="Comma 4 2 2 2 5 3 2" xfId="13859" xr:uid="{7BCF049B-7501-49F7-83EC-3E88E48DE1DC}"/>
    <cellStyle name="Comma 4 2 2 2 5 4" xfId="9641" xr:uid="{8C0C00A8-B8F6-4845-8257-75286A8B1648}"/>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96D2941E-1C6D-4B38-BAD7-B0D7103D7840}"/>
    <cellStyle name="Comma 4 2 2 2 6 2 3" xfId="12199" xr:uid="{3F8BEFDB-3E83-4A10-AB57-390EE2C6B1E1}"/>
    <cellStyle name="Comma 4 2 2 2 6 3" xfId="5843" xr:uid="{00000000-0005-0000-0000-0000F4070000}"/>
    <cellStyle name="Comma 4 2 2 2 6 3 2" xfId="14272" xr:uid="{B0E572E9-A53F-4755-82C4-746F48CA4716}"/>
    <cellStyle name="Comma 4 2 2 2 6 4" xfId="10054" xr:uid="{B4C1A5AD-B30F-4BF1-A544-EB76B0ADBE66}"/>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C6925A0B-CE06-4340-AEC6-3A921FFA013C}"/>
    <cellStyle name="Comma 4 2 2 2 7 2 3" xfId="12612" xr:uid="{E9462739-DC1A-44C9-A6AB-247FAE064A0F}"/>
    <cellStyle name="Comma 4 2 2 2 7 3" xfId="6256" xr:uid="{00000000-0005-0000-0000-0000F8070000}"/>
    <cellStyle name="Comma 4 2 2 2 7 3 2" xfId="14685" xr:uid="{44D6F30A-DF18-4CC1-B84D-89A199658F49}"/>
    <cellStyle name="Comma 4 2 2 2 7 4" xfId="10467" xr:uid="{D021F5E9-EF25-49EB-B783-93283DA3E9B0}"/>
    <cellStyle name="Comma 4 2 2 2 8" xfId="2383" xr:uid="{00000000-0005-0000-0000-0000F9070000}"/>
    <cellStyle name="Comma 4 2 2 2 8 2" xfId="6669" xr:uid="{00000000-0005-0000-0000-0000FA070000}"/>
    <cellStyle name="Comma 4 2 2 2 8 2 2" xfId="15098" xr:uid="{B7F36286-4208-427E-B3BA-91BDC1A370D1}"/>
    <cellStyle name="Comma 4 2 2 2 8 3" xfId="10880" xr:uid="{EEBA5E08-3152-48FF-8C7C-7BFA791B97FC}"/>
    <cellStyle name="Comma 4 2 2 2 9" xfId="2382" xr:uid="{00000000-0005-0000-0000-0000FB070000}"/>
    <cellStyle name="Comma 4 2 2 3" xfId="132" xr:uid="{00000000-0005-0000-0000-0000FC070000}"/>
    <cellStyle name="Comma 4 2 2 3 10" xfId="4607" xr:uid="{00000000-0005-0000-0000-0000FD070000}"/>
    <cellStyle name="Comma 4 2 2 3 10 2" xfId="13036" xr:uid="{B3FBEF81-0C6E-481E-B030-6CAB77DAC54C}"/>
    <cellStyle name="Comma 4 2 2 3 11" xfId="8818" xr:uid="{6C438008-B4CF-4CF3-888F-D2B401424CF3}"/>
    <cellStyle name="Comma 4 2 2 3 2" xfId="133" xr:uid="{00000000-0005-0000-0000-0000FE070000}"/>
    <cellStyle name="Comma 4 2 2 3 2 10" xfId="8819" xr:uid="{5B61064F-894D-4793-AE11-B0299ADD0B74}"/>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6D23F4DD-509C-4155-BD31-99976CD1B289}"/>
    <cellStyle name="Comma 4 2 2 3 2 2 2 3" xfId="11378" xr:uid="{1A8992E1-9EB3-4E72-95A4-FDF1E6572020}"/>
    <cellStyle name="Comma 4 2 2 3 2 2 3" xfId="5022" xr:uid="{00000000-0005-0000-0000-000002080000}"/>
    <cellStyle name="Comma 4 2 2 3 2 2 3 2" xfId="13451" xr:uid="{FA1ABBED-94C7-49E4-8A78-A2EC921C5F69}"/>
    <cellStyle name="Comma 4 2 2 3 2 2 4" xfId="9233" xr:uid="{93A4CDD6-F94C-4B6D-9936-548294A8B149}"/>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E90F8BB9-223F-48CF-9FB9-1C8282DD1716}"/>
    <cellStyle name="Comma 4 2 2 3 2 3 2 3" xfId="11791" xr:uid="{DC6C8EB8-8274-4834-90D0-A9EFFAFF9B92}"/>
    <cellStyle name="Comma 4 2 2 3 2 3 3" xfId="5435" xr:uid="{00000000-0005-0000-0000-000006080000}"/>
    <cellStyle name="Comma 4 2 2 3 2 3 3 2" xfId="13864" xr:uid="{76CCC551-172E-423E-AEFB-81817C997844}"/>
    <cellStyle name="Comma 4 2 2 3 2 3 4" xfId="9646" xr:uid="{9209DCD3-88DF-4CB5-868D-BB2CF592FB91}"/>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66265911-77D3-4679-93A6-92BD95BCEB12}"/>
    <cellStyle name="Comma 4 2 2 3 2 4 2 3" xfId="12204" xr:uid="{AF3E63F0-BC18-4B3C-B1A3-0F86D7704376}"/>
    <cellStyle name="Comma 4 2 2 3 2 4 3" xfId="5848" xr:uid="{00000000-0005-0000-0000-00000A080000}"/>
    <cellStyle name="Comma 4 2 2 3 2 4 3 2" xfId="14277" xr:uid="{23F6A865-BAD4-4F79-B40D-40345C14A6BB}"/>
    <cellStyle name="Comma 4 2 2 3 2 4 4" xfId="10059" xr:uid="{1EED034D-0AF6-4E52-B7D6-DDB494E1C15A}"/>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C6388679-AA46-4C08-815C-30BAD26C222E}"/>
    <cellStyle name="Comma 4 2 2 3 2 5 2 3" xfId="12617" xr:uid="{F4D8B4F4-8A86-4F98-84AA-0E8E72A205DA}"/>
    <cellStyle name="Comma 4 2 2 3 2 5 3" xfId="6261" xr:uid="{00000000-0005-0000-0000-00000E080000}"/>
    <cellStyle name="Comma 4 2 2 3 2 5 3 2" xfId="14690" xr:uid="{1E56D112-A18A-4E5D-A13A-EFB030FD6C6E}"/>
    <cellStyle name="Comma 4 2 2 3 2 5 4" xfId="10472" xr:uid="{AA822E3A-E95C-4CFD-AC06-34B1ADB4F29F}"/>
    <cellStyle name="Comma 4 2 2 3 2 6" xfId="2388" xr:uid="{00000000-0005-0000-0000-00000F080000}"/>
    <cellStyle name="Comma 4 2 2 3 2 6 2" xfId="6674" xr:uid="{00000000-0005-0000-0000-000010080000}"/>
    <cellStyle name="Comma 4 2 2 3 2 6 2 2" xfId="15103" xr:uid="{0E5BFE62-2DEA-421F-B876-73033E2772B4}"/>
    <cellStyle name="Comma 4 2 2 3 2 6 3" xfId="10885" xr:uid="{94C8D80A-E97F-4326-8265-9EE3B88013DB}"/>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9A566F5A-A5A5-42AE-93A2-EE7D11DBDCC9}"/>
    <cellStyle name="Comma 4 2 2 3 2 8 3" xfId="11202" xr:uid="{B4DDD96D-8B92-4B71-BFBA-21DA29817819}"/>
    <cellStyle name="Comma 4 2 2 3 2 9" xfId="4608" xr:uid="{00000000-0005-0000-0000-000014080000}"/>
    <cellStyle name="Comma 4 2 2 3 2 9 2" xfId="13037" xr:uid="{FDE493D1-02CA-4EFC-B0C1-AEF8B19F6F69}"/>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39B2F6F5-6A89-42FB-8A95-FB5132407E92}"/>
    <cellStyle name="Comma 4 2 2 3 3 2 3" xfId="11377" xr:uid="{DD070408-385B-4263-9E7F-8EBCDA373C60}"/>
    <cellStyle name="Comma 4 2 2 3 3 3" xfId="5021" xr:uid="{00000000-0005-0000-0000-000018080000}"/>
    <cellStyle name="Comma 4 2 2 3 3 3 2" xfId="13450" xr:uid="{65A4DC31-8E96-40E4-8F75-5F0F4DDC1D02}"/>
    <cellStyle name="Comma 4 2 2 3 3 4" xfId="9232" xr:uid="{5525AEED-A1DF-48CE-85B2-3F55A4DE6D5F}"/>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8A9020D8-FE8D-46E0-83EA-607A1C71D564}"/>
    <cellStyle name="Comma 4 2 2 3 4 2 3" xfId="11790" xr:uid="{C530831F-2E90-42EF-9A73-B551A6162B90}"/>
    <cellStyle name="Comma 4 2 2 3 4 3" xfId="5434" xr:uid="{00000000-0005-0000-0000-00001C080000}"/>
    <cellStyle name="Comma 4 2 2 3 4 3 2" xfId="13863" xr:uid="{B36493F3-F953-4BEE-A55F-F1E02C0EE4F9}"/>
    <cellStyle name="Comma 4 2 2 3 4 4" xfId="9645" xr:uid="{D03AB5F1-4845-46EF-89ED-FBC3F4C48FEB}"/>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464BFE41-A18E-480C-9E21-E5618C311EA4}"/>
    <cellStyle name="Comma 4 2 2 3 5 2 3" xfId="12203" xr:uid="{5EC74BB9-3E31-4F95-A162-7BEE220317BB}"/>
    <cellStyle name="Comma 4 2 2 3 5 3" xfId="5847" xr:uid="{00000000-0005-0000-0000-000020080000}"/>
    <cellStyle name="Comma 4 2 2 3 5 3 2" xfId="14276" xr:uid="{83094FBB-1415-4602-B336-974F5032EC0C}"/>
    <cellStyle name="Comma 4 2 2 3 5 4" xfId="10058" xr:uid="{A08DA3B9-22FD-4F68-82ED-53D30EBFBEDA}"/>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7E010180-81FF-4B63-869B-E9A6B35743F7}"/>
    <cellStyle name="Comma 4 2 2 3 6 2 3" xfId="12616" xr:uid="{AE1426B3-CFB3-45FF-AE6C-4262652721E4}"/>
    <cellStyle name="Comma 4 2 2 3 6 3" xfId="6260" xr:uid="{00000000-0005-0000-0000-000024080000}"/>
    <cellStyle name="Comma 4 2 2 3 6 3 2" xfId="14689" xr:uid="{02283C6A-9D63-45D3-BD11-4DDB5F4D52B8}"/>
    <cellStyle name="Comma 4 2 2 3 6 4" xfId="10471" xr:uid="{42BCFDA9-250A-4CB7-8ADE-413620FB132D}"/>
    <cellStyle name="Comma 4 2 2 3 7" xfId="2387" xr:uid="{00000000-0005-0000-0000-000025080000}"/>
    <cellStyle name="Comma 4 2 2 3 7 2" xfId="6673" xr:uid="{00000000-0005-0000-0000-000026080000}"/>
    <cellStyle name="Comma 4 2 2 3 7 2 2" xfId="15102" xr:uid="{46A900D3-FF9F-4EA5-84A5-A766746C3B00}"/>
    <cellStyle name="Comma 4 2 2 3 7 3" xfId="10884" xr:uid="{1BEC7E65-225D-440D-8B21-359C34498124}"/>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0A0CEC6E-A216-47C5-BC9F-0E5C663C6EF8}"/>
    <cellStyle name="Comma 4 2 2 3 9 3" xfId="11201" xr:uid="{E22F13B5-28E3-4C8A-B8F2-CABE9BDBFDF5}"/>
    <cellStyle name="Comma 4 2 2 4" xfId="134" xr:uid="{00000000-0005-0000-0000-00002A080000}"/>
    <cellStyle name="Comma 4 2 2 4 10" xfId="8820" xr:uid="{07451C70-00D7-4096-84BF-E38310B36978}"/>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E8001328-5D3C-4234-81CA-205DC3D11669}"/>
    <cellStyle name="Comma 4 2 2 4 2 2 3" xfId="11379" xr:uid="{CA194CA0-E6C0-4F06-80BA-13846AEA95FD}"/>
    <cellStyle name="Comma 4 2 2 4 2 3" xfId="5023" xr:uid="{00000000-0005-0000-0000-00002E080000}"/>
    <cellStyle name="Comma 4 2 2 4 2 3 2" xfId="13452" xr:uid="{31F19688-E3EF-415E-AE3D-D8E5AD1A49C2}"/>
    <cellStyle name="Comma 4 2 2 4 2 4" xfId="9234" xr:uid="{FCBAABC5-962C-414A-AB9F-BD0D26FAE91A}"/>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B4CD3C41-2654-4E53-9006-96E62A11D946}"/>
    <cellStyle name="Comma 4 2 2 4 3 2 3" xfId="11792" xr:uid="{C227955A-01E3-4192-8AC8-AFF65C253BDC}"/>
    <cellStyle name="Comma 4 2 2 4 3 3" xfId="5436" xr:uid="{00000000-0005-0000-0000-000032080000}"/>
    <cellStyle name="Comma 4 2 2 4 3 3 2" xfId="13865" xr:uid="{C2D29107-6F5C-4808-ADDB-C6E1165537D3}"/>
    <cellStyle name="Comma 4 2 2 4 3 4" xfId="9647" xr:uid="{3BF5C25D-4892-4B84-BF75-02A068DF38F3}"/>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8443D16E-1F79-435F-BBF8-CE50906CA4D0}"/>
    <cellStyle name="Comma 4 2 2 4 4 2 3" xfId="12205" xr:uid="{1BFF877D-F69F-48C8-A24A-F86610E95C1B}"/>
    <cellStyle name="Comma 4 2 2 4 4 3" xfId="5849" xr:uid="{00000000-0005-0000-0000-000036080000}"/>
    <cellStyle name="Comma 4 2 2 4 4 3 2" xfId="14278" xr:uid="{3470AC78-C59B-4B14-81C9-5B9E01DE5559}"/>
    <cellStyle name="Comma 4 2 2 4 4 4" xfId="10060" xr:uid="{8AAA5F21-36F1-4780-B416-C7A8298CCA29}"/>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F9540988-AEB8-4CEF-9A8A-033C7A0E83A3}"/>
    <cellStyle name="Comma 4 2 2 4 5 2 3" xfId="12618" xr:uid="{24AC17CD-50FE-45D4-9E8D-ED5AEB9BF1AC}"/>
    <cellStyle name="Comma 4 2 2 4 5 3" xfId="6262" xr:uid="{00000000-0005-0000-0000-00003A080000}"/>
    <cellStyle name="Comma 4 2 2 4 5 3 2" xfId="14691" xr:uid="{664D57FE-2B6D-4BAE-AE5D-A1357B26AB2A}"/>
    <cellStyle name="Comma 4 2 2 4 5 4" xfId="10473" xr:uid="{BE407C75-71E3-48C9-B667-23A01A8462FE}"/>
    <cellStyle name="Comma 4 2 2 4 6" xfId="2389" xr:uid="{00000000-0005-0000-0000-00003B080000}"/>
    <cellStyle name="Comma 4 2 2 4 6 2" xfId="6675" xr:uid="{00000000-0005-0000-0000-00003C080000}"/>
    <cellStyle name="Comma 4 2 2 4 6 2 2" xfId="15104" xr:uid="{F1349D05-75F6-4658-AABC-109646745CAD}"/>
    <cellStyle name="Comma 4 2 2 4 6 3" xfId="10886" xr:uid="{77990F56-F727-4F6A-AB0F-1863064A2819}"/>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318B3FD0-0BAC-4041-8EFD-763E839741A9}"/>
    <cellStyle name="Comma 4 2 2 4 8 3" xfId="11203" xr:uid="{36131AC8-2217-4992-8570-22F2872532E4}"/>
    <cellStyle name="Comma 4 2 2 4 9" xfId="4609" xr:uid="{00000000-0005-0000-0000-000040080000}"/>
    <cellStyle name="Comma 4 2 2 4 9 2" xfId="13038" xr:uid="{7EAEC8AD-EFF4-4DEA-8088-4845AC845101}"/>
    <cellStyle name="Comma 4 2 2 5" xfId="135" xr:uid="{00000000-0005-0000-0000-000041080000}"/>
    <cellStyle name="Comma 4 2 2 5 10" xfId="8821" xr:uid="{5CC1BFD0-7E01-411B-BB6B-063023C77299}"/>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75FDF178-9E36-4592-A0AE-DA62685FFD42}"/>
    <cellStyle name="Comma 4 2 2 5 2 2 3" xfId="11380" xr:uid="{C1DFE4BC-05DB-4BCC-BE7F-7D563D5F5782}"/>
    <cellStyle name="Comma 4 2 2 5 2 3" xfId="5024" xr:uid="{00000000-0005-0000-0000-000045080000}"/>
    <cellStyle name="Comma 4 2 2 5 2 3 2" xfId="13453" xr:uid="{653A452F-90CA-4A3E-8668-9C52361C8127}"/>
    <cellStyle name="Comma 4 2 2 5 2 4" xfId="9235" xr:uid="{02D0A885-A101-41D2-92C3-CEC25B5C6F45}"/>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299F9A0-A488-420B-85FC-5AF782D5849A}"/>
    <cellStyle name="Comma 4 2 2 5 3 2 3" xfId="11793" xr:uid="{5C9F85CB-4E88-416B-8506-7AFA93F0E4C0}"/>
    <cellStyle name="Comma 4 2 2 5 3 3" xfId="5437" xr:uid="{00000000-0005-0000-0000-000049080000}"/>
    <cellStyle name="Comma 4 2 2 5 3 3 2" xfId="13866" xr:uid="{7F2B43F5-1468-4A28-8ECF-85627A7B9E9B}"/>
    <cellStyle name="Comma 4 2 2 5 3 4" xfId="9648" xr:uid="{0BE079AE-B0A2-4A85-9AF1-4A4C1E99582B}"/>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56614080-DB3B-4BE3-86FA-0A44AA3C3741}"/>
    <cellStyle name="Comma 4 2 2 5 4 2 3" xfId="12206" xr:uid="{7ECA7D53-0C6B-42BE-82B9-1E57A06A8C21}"/>
    <cellStyle name="Comma 4 2 2 5 4 3" xfId="5850" xr:uid="{00000000-0005-0000-0000-00004D080000}"/>
    <cellStyle name="Comma 4 2 2 5 4 3 2" xfId="14279" xr:uid="{3AEA537C-9FEB-4918-97D7-A6211BAAA2BA}"/>
    <cellStyle name="Comma 4 2 2 5 4 4" xfId="10061" xr:uid="{EF424D81-3739-4E26-ABA4-B8AA8BF38AAC}"/>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888D1C69-CA2F-48EA-8EC1-FC884B88B87D}"/>
    <cellStyle name="Comma 4 2 2 5 5 2 3" xfId="12619" xr:uid="{0967404A-BAC4-49AD-9401-700AA3270E94}"/>
    <cellStyle name="Comma 4 2 2 5 5 3" xfId="6263" xr:uid="{00000000-0005-0000-0000-000051080000}"/>
    <cellStyle name="Comma 4 2 2 5 5 3 2" xfId="14692" xr:uid="{FF7693BF-56FB-4222-B7DE-B16C8AFC6C62}"/>
    <cellStyle name="Comma 4 2 2 5 5 4" xfId="10474" xr:uid="{B7DC126F-16E7-4BE6-A5D8-0E0FEA96797C}"/>
    <cellStyle name="Comma 4 2 2 5 6" xfId="2390" xr:uid="{00000000-0005-0000-0000-000052080000}"/>
    <cellStyle name="Comma 4 2 2 5 6 2" xfId="6676" xr:uid="{00000000-0005-0000-0000-000053080000}"/>
    <cellStyle name="Comma 4 2 2 5 6 2 2" xfId="15105" xr:uid="{FD2EEF7E-EB82-4BA2-9977-3C5FB7C38455}"/>
    <cellStyle name="Comma 4 2 2 5 6 3" xfId="10887" xr:uid="{44E3B9C0-876A-44BF-BD90-A9C1C18B9C70}"/>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6105676F-0F6F-44FC-BA94-FB8B6874BBB4}"/>
    <cellStyle name="Comma 4 2 2 5 8 3" xfId="11204" xr:uid="{738935DC-C21C-48A3-BC10-4116BE459BFC}"/>
    <cellStyle name="Comma 4 2 2 5 9" xfId="4610" xr:uid="{00000000-0005-0000-0000-000057080000}"/>
    <cellStyle name="Comma 4 2 2 5 9 2" xfId="13039" xr:uid="{C747614B-CAC1-44F7-96DD-0F72A98E86C6}"/>
    <cellStyle name="Comma 4 2 3" xfId="136" xr:uid="{00000000-0005-0000-0000-000058080000}"/>
    <cellStyle name="Comma 4 2 3 10" xfId="2769" xr:uid="{00000000-0005-0000-0000-000059080000}"/>
    <cellStyle name="Comma 4 2 3 10 2" xfId="6994" xr:uid="{00000000-0005-0000-0000-00005A080000}"/>
    <cellStyle name="Comma 4 2 3 10 2 2" xfId="15423" xr:uid="{9C3CF65D-0147-4F14-8EE6-F3939EBE5BFD}"/>
    <cellStyle name="Comma 4 2 3 10 3" xfId="11205" xr:uid="{55B5FACE-E0BC-4DFE-9A7D-BDAEF056884B}"/>
    <cellStyle name="Comma 4 2 3 11" xfId="4611" xr:uid="{00000000-0005-0000-0000-00005B080000}"/>
    <cellStyle name="Comma 4 2 3 11 2" xfId="13040" xr:uid="{63C90178-6D8E-444A-B1EF-5BF99582A965}"/>
    <cellStyle name="Comma 4 2 3 12" xfId="8822" xr:uid="{E313CFD4-31C6-4418-A111-3CF3C7D28024}"/>
    <cellStyle name="Comma 4 2 3 2" xfId="137" xr:uid="{00000000-0005-0000-0000-00005C080000}"/>
    <cellStyle name="Comma 4 2 3 2 10" xfId="4612" xr:uid="{00000000-0005-0000-0000-00005D080000}"/>
    <cellStyle name="Comma 4 2 3 2 10 2" xfId="13041" xr:uid="{A83CAA80-8FDA-4A87-B3CF-DB1D28C77621}"/>
    <cellStyle name="Comma 4 2 3 2 11" xfId="8823" xr:uid="{218B5A04-A568-4B7B-8E22-6EC3B49DA9EA}"/>
    <cellStyle name="Comma 4 2 3 2 2" xfId="138" xr:uid="{00000000-0005-0000-0000-00005E080000}"/>
    <cellStyle name="Comma 4 2 3 2 2 10" xfId="8824" xr:uid="{BDB423DB-5028-4F15-869A-E05325171D6C}"/>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FBBBFED9-7AB7-4855-BD71-D4A8A93976E0}"/>
    <cellStyle name="Comma 4 2 3 2 2 2 2 3" xfId="11383" xr:uid="{95317C28-84E5-47F8-BE79-A9B593E0A55B}"/>
    <cellStyle name="Comma 4 2 3 2 2 2 3" xfId="5027" xr:uid="{00000000-0005-0000-0000-000062080000}"/>
    <cellStyle name="Comma 4 2 3 2 2 2 3 2" xfId="13456" xr:uid="{94F7085E-C068-4FC2-AB06-771BB38B4B88}"/>
    <cellStyle name="Comma 4 2 3 2 2 2 4" xfId="9238" xr:uid="{580993C5-517F-475B-B568-D810DAE57F43}"/>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F401E072-73E0-4453-8AD6-95213CD9EB62}"/>
    <cellStyle name="Comma 4 2 3 2 2 3 2 3" xfId="11796" xr:uid="{98AD7E9B-6426-4235-9E92-FFC307896A54}"/>
    <cellStyle name="Comma 4 2 3 2 2 3 3" xfId="5440" xr:uid="{00000000-0005-0000-0000-000066080000}"/>
    <cellStyle name="Comma 4 2 3 2 2 3 3 2" xfId="13869" xr:uid="{9B07D014-3AF6-4C1A-98AD-56C735C98D4C}"/>
    <cellStyle name="Comma 4 2 3 2 2 3 4" xfId="9651" xr:uid="{7A0B1C7F-E91C-483A-B5B8-72A43C421198}"/>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68090BE1-250B-4B2C-ADEF-EA5F97170191}"/>
    <cellStyle name="Comma 4 2 3 2 2 4 2 3" xfId="12209" xr:uid="{4E7B3888-16C9-4364-80AC-73390D8D1825}"/>
    <cellStyle name="Comma 4 2 3 2 2 4 3" xfId="5853" xr:uid="{00000000-0005-0000-0000-00006A080000}"/>
    <cellStyle name="Comma 4 2 3 2 2 4 3 2" xfId="14282" xr:uid="{8DBCED7B-7A83-443D-9048-6D16BA5B9053}"/>
    <cellStyle name="Comma 4 2 3 2 2 4 4" xfId="10064" xr:uid="{B813C779-7081-4CCC-AB12-6DD3ADCA3C83}"/>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C93C5B1F-CB14-46A7-B76C-3F9CB81E1AA4}"/>
    <cellStyle name="Comma 4 2 3 2 2 5 2 3" xfId="12622" xr:uid="{42C420D5-47E6-45B6-8C77-1890F8EF984D}"/>
    <cellStyle name="Comma 4 2 3 2 2 5 3" xfId="6266" xr:uid="{00000000-0005-0000-0000-00006E080000}"/>
    <cellStyle name="Comma 4 2 3 2 2 5 3 2" xfId="14695" xr:uid="{94D792A8-E699-4D66-9E35-10F8B20B825B}"/>
    <cellStyle name="Comma 4 2 3 2 2 5 4" xfId="10477" xr:uid="{ADD2D369-21E2-470E-B4BF-7B6BBE6B55CC}"/>
    <cellStyle name="Comma 4 2 3 2 2 6" xfId="2393" xr:uid="{00000000-0005-0000-0000-00006F080000}"/>
    <cellStyle name="Comma 4 2 3 2 2 6 2" xfId="6679" xr:uid="{00000000-0005-0000-0000-000070080000}"/>
    <cellStyle name="Comma 4 2 3 2 2 6 2 2" xfId="15108" xr:uid="{759470B6-BA4E-43C2-AD44-E049BE911203}"/>
    <cellStyle name="Comma 4 2 3 2 2 6 3" xfId="10890" xr:uid="{4F9F0A7E-FE89-47A3-A883-473917C25B3B}"/>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6B160715-172A-4D21-8AFB-AB97E41AF2EF}"/>
    <cellStyle name="Comma 4 2 3 2 2 8 3" xfId="11207" xr:uid="{36270A1F-EC9C-4CF9-B1BE-3C02405C3FCB}"/>
    <cellStyle name="Comma 4 2 3 2 2 9" xfId="4613" xr:uid="{00000000-0005-0000-0000-000074080000}"/>
    <cellStyle name="Comma 4 2 3 2 2 9 2" xfId="13042" xr:uid="{EB6FFB39-E69D-4634-9F2C-0A73D803CA0A}"/>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8F475F3A-DEBF-42BA-9380-95376F7FB7BE}"/>
    <cellStyle name="Comma 4 2 3 2 3 2 3" xfId="11382" xr:uid="{88401D8C-EFF7-47A0-B0A5-A6F7038FD910}"/>
    <cellStyle name="Comma 4 2 3 2 3 3" xfId="5026" xr:uid="{00000000-0005-0000-0000-000078080000}"/>
    <cellStyle name="Comma 4 2 3 2 3 3 2" xfId="13455" xr:uid="{6B4A434D-5722-48EE-B91C-117B64524789}"/>
    <cellStyle name="Comma 4 2 3 2 3 4" xfId="9237" xr:uid="{2BAD8ED2-4078-41A7-BAFC-59F3F1C4C285}"/>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C0B2C044-CCAA-40C3-BC14-F15EF59A3E43}"/>
    <cellStyle name="Comma 4 2 3 2 4 2 3" xfId="11795" xr:uid="{CA86D76B-43DA-441C-8381-C73CB4FB1388}"/>
    <cellStyle name="Comma 4 2 3 2 4 3" xfId="5439" xr:uid="{00000000-0005-0000-0000-00007C080000}"/>
    <cellStyle name="Comma 4 2 3 2 4 3 2" xfId="13868" xr:uid="{76981D10-3AD2-437C-8EF6-664BA7C0FAD2}"/>
    <cellStyle name="Comma 4 2 3 2 4 4" xfId="9650" xr:uid="{7FEA9968-DA4F-480D-98F0-E6D04EC53C44}"/>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FE9CF8CA-F18B-4AD5-A12F-56B6695E95C2}"/>
    <cellStyle name="Comma 4 2 3 2 5 2 3" xfId="12208" xr:uid="{F473A755-66B7-4A2F-9CC1-7C6D2709A5D1}"/>
    <cellStyle name="Comma 4 2 3 2 5 3" xfId="5852" xr:uid="{00000000-0005-0000-0000-000080080000}"/>
    <cellStyle name="Comma 4 2 3 2 5 3 2" xfId="14281" xr:uid="{B39A0BB8-AC88-445F-B290-2B08608951BE}"/>
    <cellStyle name="Comma 4 2 3 2 5 4" xfId="10063" xr:uid="{648D6110-0A0B-4821-A3F0-3C2C4B299B80}"/>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C05B38BE-CE87-440C-824B-73D6C1BA3C0E}"/>
    <cellStyle name="Comma 4 2 3 2 6 2 3" xfId="12621" xr:uid="{D26314A4-D2C1-4CC5-A8EF-CA29940151E4}"/>
    <cellStyle name="Comma 4 2 3 2 6 3" xfId="6265" xr:uid="{00000000-0005-0000-0000-000084080000}"/>
    <cellStyle name="Comma 4 2 3 2 6 3 2" xfId="14694" xr:uid="{0FD501C8-B194-4805-963E-3A42081D67CD}"/>
    <cellStyle name="Comma 4 2 3 2 6 4" xfId="10476" xr:uid="{154612D7-6608-47A3-9FF2-9847ECE157FE}"/>
    <cellStyle name="Comma 4 2 3 2 7" xfId="2392" xr:uid="{00000000-0005-0000-0000-000085080000}"/>
    <cellStyle name="Comma 4 2 3 2 7 2" xfId="6678" xr:uid="{00000000-0005-0000-0000-000086080000}"/>
    <cellStyle name="Comma 4 2 3 2 7 2 2" xfId="15107" xr:uid="{F9C570F4-1DE3-4B4B-8C85-8086E8F10D39}"/>
    <cellStyle name="Comma 4 2 3 2 7 3" xfId="10889" xr:uid="{D55545FE-0531-4DEE-B33B-64C3371F179A}"/>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DCC8C949-A2FE-44A6-AB5A-00CB0AEE1073}"/>
    <cellStyle name="Comma 4 2 3 2 9 3" xfId="11206" xr:uid="{62D32F19-5D5E-4236-8E42-98486AAEC82A}"/>
    <cellStyle name="Comma 4 2 3 3" xfId="139" xr:uid="{00000000-0005-0000-0000-00008A080000}"/>
    <cellStyle name="Comma 4 2 3 3 10" xfId="8825" xr:uid="{9E7CA8E1-2A46-473C-8BCD-F76C342C207F}"/>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9827C290-36CC-42E1-ACB0-B3DC56F52E19}"/>
    <cellStyle name="Comma 4 2 3 3 2 2 3" xfId="11384" xr:uid="{95D28BC7-FBEB-40CC-B187-CCF2576607D5}"/>
    <cellStyle name="Comma 4 2 3 3 2 3" xfId="5028" xr:uid="{00000000-0005-0000-0000-00008E080000}"/>
    <cellStyle name="Comma 4 2 3 3 2 3 2" xfId="13457" xr:uid="{AA7147A8-6FCC-4D08-91D1-7F3A091BACB5}"/>
    <cellStyle name="Comma 4 2 3 3 2 4" xfId="9239" xr:uid="{A7819AFE-6AC1-4774-B6F5-DD38A7030551}"/>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37AED40A-7147-46D0-971C-0911AC1A35F1}"/>
    <cellStyle name="Comma 4 2 3 3 3 2 3" xfId="11797" xr:uid="{55D05075-D704-4850-91ED-741F4714806E}"/>
    <cellStyle name="Comma 4 2 3 3 3 3" xfId="5441" xr:uid="{00000000-0005-0000-0000-000092080000}"/>
    <cellStyle name="Comma 4 2 3 3 3 3 2" xfId="13870" xr:uid="{53EA116D-0C08-4EB5-A26E-DA8CE23827F2}"/>
    <cellStyle name="Comma 4 2 3 3 3 4" xfId="9652" xr:uid="{B279B3FA-4250-44B2-9E5E-B69110822EBC}"/>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210A0654-7B76-4F1D-BAB9-117ED7289C61}"/>
    <cellStyle name="Comma 4 2 3 3 4 2 3" xfId="12210" xr:uid="{2AD31172-C2E8-4013-8DE9-6C126BBD10ED}"/>
    <cellStyle name="Comma 4 2 3 3 4 3" xfId="5854" xr:uid="{00000000-0005-0000-0000-000096080000}"/>
    <cellStyle name="Comma 4 2 3 3 4 3 2" xfId="14283" xr:uid="{6A2C8997-54C6-45EB-AEDA-0088DAAB7531}"/>
    <cellStyle name="Comma 4 2 3 3 4 4" xfId="10065" xr:uid="{A8CBCB29-4CFE-4712-BCE9-497965EB7A82}"/>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1EF4FC93-D682-4D0A-951C-5241EB701C1D}"/>
    <cellStyle name="Comma 4 2 3 3 5 2 3" xfId="12623" xr:uid="{FEB89E66-DE56-4AEC-A1CD-197220202123}"/>
    <cellStyle name="Comma 4 2 3 3 5 3" xfId="6267" xr:uid="{00000000-0005-0000-0000-00009A080000}"/>
    <cellStyle name="Comma 4 2 3 3 5 3 2" xfId="14696" xr:uid="{2B673CBC-555B-43E1-A514-27F7A7E356B9}"/>
    <cellStyle name="Comma 4 2 3 3 5 4" xfId="10478" xr:uid="{9C3486E8-504B-4991-BEFC-63FBA44E0AC1}"/>
    <cellStyle name="Comma 4 2 3 3 6" xfId="2394" xr:uid="{00000000-0005-0000-0000-00009B080000}"/>
    <cellStyle name="Comma 4 2 3 3 6 2" xfId="6680" xr:uid="{00000000-0005-0000-0000-00009C080000}"/>
    <cellStyle name="Comma 4 2 3 3 6 2 2" xfId="15109" xr:uid="{0B6431FC-55EB-4FB5-9173-F317B1E3E429}"/>
    <cellStyle name="Comma 4 2 3 3 6 3" xfId="10891" xr:uid="{2E017A04-D5DC-4D7D-9DEA-3B5F9D7A4FA0}"/>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5593D402-18F8-4B08-AA5C-7C7A7700C624}"/>
    <cellStyle name="Comma 4 2 3 3 8 3" xfId="11208" xr:uid="{4DE928C2-DA78-4D85-A54C-E7F05FA04778}"/>
    <cellStyle name="Comma 4 2 3 3 9" xfId="4614" xr:uid="{00000000-0005-0000-0000-0000A0080000}"/>
    <cellStyle name="Comma 4 2 3 3 9 2" xfId="13043" xr:uid="{1EBB1186-C816-44A6-9FFD-CF22ECF77A29}"/>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3821EB1A-02E7-44BA-B64B-2A78DC59D208}"/>
    <cellStyle name="Comma 4 2 3 4 2 3" xfId="11381" xr:uid="{488FDBF2-7BB9-4268-8E00-BFC0EC453ACA}"/>
    <cellStyle name="Comma 4 2 3 4 3" xfId="5025" xr:uid="{00000000-0005-0000-0000-0000A4080000}"/>
    <cellStyle name="Comma 4 2 3 4 3 2" xfId="13454" xr:uid="{F6FD067B-273A-4E53-853E-7D1ED30AE70B}"/>
    <cellStyle name="Comma 4 2 3 4 4" xfId="9236" xr:uid="{60C1855D-E4B5-4A58-A57A-3FF75DB10BC9}"/>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47029A1E-3ED3-4861-92C1-21CDBB38178D}"/>
    <cellStyle name="Comma 4 2 3 5 2 3" xfId="11794" xr:uid="{BE43F28D-56A8-4030-A25E-E80AC1306C2C}"/>
    <cellStyle name="Comma 4 2 3 5 3" xfId="5438" xr:uid="{00000000-0005-0000-0000-0000A8080000}"/>
    <cellStyle name="Comma 4 2 3 5 3 2" xfId="13867" xr:uid="{6A355E35-6B03-4889-9042-0071D350AA30}"/>
    <cellStyle name="Comma 4 2 3 5 4" xfId="9649" xr:uid="{43DFD1F4-ABFF-4B3B-B743-EEA360F34606}"/>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8AAF6212-7628-4B0F-AB5D-89597AFD0759}"/>
    <cellStyle name="Comma 4 2 3 6 2 3" xfId="12207" xr:uid="{24CB2A96-8CA0-4172-B2A7-447A41702C39}"/>
    <cellStyle name="Comma 4 2 3 6 3" xfId="5851" xr:uid="{00000000-0005-0000-0000-0000AC080000}"/>
    <cellStyle name="Comma 4 2 3 6 3 2" xfId="14280" xr:uid="{8BE0C4B1-E41D-4154-A397-016B4957E232}"/>
    <cellStyle name="Comma 4 2 3 6 4" xfId="10062" xr:uid="{54488708-6971-4793-AA47-5EFA5D764448}"/>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BD58D745-10F1-48E9-AA65-1C48F3D86902}"/>
    <cellStyle name="Comma 4 2 3 7 2 3" xfId="12620" xr:uid="{AF18429F-BF6C-4A03-8922-A1C437CC1DDE}"/>
    <cellStyle name="Comma 4 2 3 7 3" xfId="6264" xr:uid="{00000000-0005-0000-0000-0000B0080000}"/>
    <cellStyle name="Comma 4 2 3 7 3 2" xfId="14693" xr:uid="{44E6097E-0F63-4EF7-82F6-1FC3E19C485A}"/>
    <cellStyle name="Comma 4 2 3 7 4" xfId="10475" xr:uid="{1C14D323-E6F1-4543-A454-63C75391341A}"/>
    <cellStyle name="Comma 4 2 3 8" xfId="2391" xr:uid="{00000000-0005-0000-0000-0000B1080000}"/>
    <cellStyle name="Comma 4 2 3 8 2" xfId="6677" xr:uid="{00000000-0005-0000-0000-0000B2080000}"/>
    <cellStyle name="Comma 4 2 3 8 2 2" xfId="15106" xr:uid="{40739571-19C0-474E-8B78-4E88524A8230}"/>
    <cellStyle name="Comma 4 2 3 8 3" xfId="10888" xr:uid="{6F298B8A-EECD-4410-8847-CBADED95773A}"/>
    <cellStyle name="Comma 4 2 3 9" xfId="2374" xr:uid="{00000000-0005-0000-0000-0000B3080000}"/>
    <cellStyle name="Comma 4 2 4" xfId="140" xr:uid="{00000000-0005-0000-0000-0000B4080000}"/>
    <cellStyle name="Comma 4 2 4 10" xfId="4615" xr:uid="{00000000-0005-0000-0000-0000B5080000}"/>
    <cellStyle name="Comma 4 2 4 10 2" xfId="13044" xr:uid="{FC2334AF-3B98-4B7C-B41E-89AF983F287B}"/>
    <cellStyle name="Comma 4 2 4 11" xfId="8826" xr:uid="{8B6FCF4D-C0C0-4703-9BC3-B602B56266B8}"/>
    <cellStyle name="Comma 4 2 4 2" xfId="141" xr:uid="{00000000-0005-0000-0000-0000B6080000}"/>
    <cellStyle name="Comma 4 2 4 2 10" xfId="8827" xr:uid="{AEFBEC49-C495-4BDB-8A35-D4EF87B8ACF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2CAE530D-696E-44BC-BCEA-1F34FF6A39D4}"/>
    <cellStyle name="Comma 4 2 4 2 2 2 3" xfId="11386" xr:uid="{FF6B4CC9-0ECB-43D9-A975-B313BBE2DD51}"/>
    <cellStyle name="Comma 4 2 4 2 2 3" xfId="5030" xr:uid="{00000000-0005-0000-0000-0000BA080000}"/>
    <cellStyle name="Comma 4 2 4 2 2 3 2" xfId="13459" xr:uid="{39C67E38-D7B3-48C1-992D-3E1EA3EEC230}"/>
    <cellStyle name="Comma 4 2 4 2 2 4" xfId="9241" xr:uid="{3DD65885-0A92-4CE6-B4DE-22445886F840}"/>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68F53FE0-A503-4021-A6F3-F671DA00A77F}"/>
    <cellStyle name="Comma 4 2 4 2 3 2 3" xfId="11799" xr:uid="{1268A604-9B81-473C-8923-12E2976BB5A5}"/>
    <cellStyle name="Comma 4 2 4 2 3 3" xfId="5443" xr:uid="{00000000-0005-0000-0000-0000BE080000}"/>
    <cellStyle name="Comma 4 2 4 2 3 3 2" xfId="13872" xr:uid="{04819282-4003-4995-9D8D-C4AFF82B1259}"/>
    <cellStyle name="Comma 4 2 4 2 3 4" xfId="9654" xr:uid="{0BFE5A16-FE35-452E-8A1E-0CE217CFD875}"/>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392A14E4-B9EC-4A8D-A2EC-B1E54880E728}"/>
    <cellStyle name="Comma 4 2 4 2 4 2 3" xfId="12212" xr:uid="{67FF0EBB-C0C8-41C1-9709-F0AD699B2625}"/>
    <cellStyle name="Comma 4 2 4 2 4 3" xfId="5856" xr:uid="{00000000-0005-0000-0000-0000C2080000}"/>
    <cellStyle name="Comma 4 2 4 2 4 3 2" xfId="14285" xr:uid="{4CD2A9CF-07EC-468B-A7F9-EF21CA1A673A}"/>
    <cellStyle name="Comma 4 2 4 2 4 4" xfId="10067" xr:uid="{8344B9B5-975A-4E76-9D00-CD949685E8B1}"/>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2A683F54-511D-4EDD-9F32-7D100C56470E}"/>
    <cellStyle name="Comma 4 2 4 2 5 2 3" xfId="12625" xr:uid="{C78420B8-061B-4E23-AD82-28997CC7FBF8}"/>
    <cellStyle name="Comma 4 2 4 2 5 3" xfId="6269" xr:uid="{00000000-0005-0000-0000-0000C6080000}"/>
    <cellStyle name="Comma 4 2 4 2 5 3 2" xfId="14698" xr:uid="{7336A06E-D057-4B87-8771-8FA2090BE82B}"/>
    <cellStyle name="Comma 4 2 4 2 5 4" xfId="10480" xr:uid="{CDC0EFD7-8BD2-4178-978F-849281A192CB}"/>
    <cellStyle name="Comma 4 2 4 2 6" xfId="2396" xr:uid="{00000000-0005-0000-0000-0000C7080000}"/>
    <cellStyle name="Comma 4 2 4 2 6 2" xfId="6682" xr:uid="{00000000-0005-0000-0000-0000C8080000}"/>
    <cellStyle name="Comma 4 2 4 2 6 2 2" xfId="15111" xr:uid="{6A561B9A-95FD-4315-ACA4-0C94EC0BA47C}"/>
    <cellStyle name="Comma 4 2 4 2 6 3" xfId="10893" xr:uid="{AC79D4A6-5D09-4FD4-936F-FB1E53D5128B}"/>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9CF6764D-F026-4993-9DB2-4ABC0ADF8694}"/>
    <cellStyle name="Comma 4 2 4 2 8 3" xfId="11210" xr:uid="{2FF9F64E-C1CA-4AE8-B41C-5AD17C6EC22C}"/>
    <cellStyle name="Comma 4 2 4 2 9" xfId="4616" xr:uid="{00000000-0005-0000-0000-0000CC080000}"/>
    <cellStyle name="Comma 4 2 4 2 9 2" xfId="13045" xr:uid="{67D20C47-BFA3-4037-AD92-F90D48B6DC24}"/>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9576A5E3-AC7F-41FA-99B8-E285ED05C43B}"/>
    <cellStyle name="Comma 4 2 4 3 2 3" xfId="11385" xr:uid="{B1C9BBE2-C182-4FD9-8DDB-ABAE96BCF344}"/>
    <cellStyle name="Comma 4 2 4 3 3" xfId="5029" xr:uid="{00000000-0005-0000-0000-0000D0080000}"/>
    <cellStyle name="Comma 4 2 4 3 3 2" xfId="13458" xr:uid="{437CEF27-9D85-4113-80D2-8BB41EBB643F}"/>
    <cellStyle name="Comma 4 2 4 3 4" xfId="9240" xr:uid="{0A5AAB6F-4A1C-4F98-9621-CE6A7143A9B1}"/>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647C4CD0-E2B6-48B1-8303-0A40A6DDD741}"/>
    <cellStyle name="Comma 4 2 4 4 2 3" xfId="11798" xr:uid="{E88FB25E-528A-411D-91EA-71DA125B3573}"/>
    <cellStyle name="Comma 4 2 4 4 3" xfId="5442" xr:uid="{00000000-0005-0000-0000-0000D4080000}"/>
    <cellStyle name="Comma 4 2 4 4 3 2" xfId="13871" xr:uid="{BAF910BB-E168-4560-B1D7-31E4760AF186}"/>
    <cellStyle name="Comma 4 2 4 4 4" xfId="9653" xr:uid="{DBA1CF38-60E1-4BD2-A66C-F6792ED8102A}"/>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6D8E0E5A-DC00-4A5D-995B-B3AECBF72414}"/>
    <cellStyle name="Comma 4 2 4 5 2 3" xfId="12211" xr:uid="{A5918EEB-CC40-4307-8611-8BF0B975D563}"/>
    <cellStyle name="Comma 4 2 4 5 3" xfId="5855" xr:uid="{00000000-0005-0000-0000-0000D8080000}"/>
    <cellStyle name="Comma 4 2 4 5 3 2" xfId="14284" xr:uid="{741C9321-CA01-4824-BEC6-E0FADBA5352B}"/>
    <cellStyle name="Comma 4 2 4 5 4" xfId="10066" xr:uid="{19447799-D7B5-4566-86E9-9AA707220970}"/>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E3D8AC38-32BF-4400-BF77-8725C9830B99}"/>
    <cellStyle name="Comma 4 2 4 6 2 3" xfId="12624" xr:uid="{9966787B-4D94-4F81-AA34-E8CE4F925CA1}"/>
    <cellStyle name="Comma 4 2 4 6 3" xfId="6268" xr:uid="{00000000-0005-0000-0000-0000DC080000}"/>
    <cellStyle name="Comma 4 2 4 6 3 2" xfId="14697" xr:uid="{4EB2A6A1-E13E-4658-B5C2-A11D9E11C325}"/>
    <cellStyle name="Comma 4 2 4 6 4" xfId="10479" xr:uid="{FFF60EC2-093B-47CB-9CED-AE32F20D9366}"/>
    <cellStyle name="Comma 4 2 4 7" xfId="2395" xr:uid="{00000000-0005-0000-0000-0000DD080000}"/>
    <cellStyle name="Comma 4 2 4 7 2" xfId="6681" xr:uid="{00000000-0005-0000-0000-0000DE080000}"/>
    <cellStyle name="Comma 4 2 4 7 2 2" xfId="15110" xr:uid="{0B0F2E6F-8384-4CCD-9631-222412629CC9}"/>
    <cellStyle name="Comma 4 2 4 7 3" xfId="10892" xr:uid="{21ACE0BD-93B9-4363-A146-A1BBC48DA97D}"/>
    <cellStyle name="Comma 4 2 4 8" xfId="2370" xr:uid="{00000000-0005-0000-0000-0000DF080000}"/>
    <cellStyle name="Comma 4 2 4 9" xfId="2773" xr:uid="{00000000-0005-0000-0000-0000E0080000}"/>
    <cellStyle name="Comma 4 2 4 9 2" xfId="6998" xr:uid="{00000000-0005-0000-0000-0000E1080000}"/>
    <cellStyle name="Comma 4 2 4 9 2 2" xfId="15427" xr:uid="{A9AA173A-ACEE-46B8-BF4F-609F674C52C7}"/>
    <cellStyle name="Comma 4 2 4 9 3" xfId="11209" xr:uid="{FB2FBE8B-5EF3-4E7E-8C85-4BFF004C37C4}"/>
    <cellStyle name="Comma 4 2 5" xfId="142" xr:uid="{00000000-0005-0000-0000-0000E2080000}"/>
    <cellStyle name="Comma 4 2 5 10" xfId="8828" xr:uid="{38DAA346-4917-4E10-B823-F5A1674DD1DE}"/>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4EDDC9A5-37B1-488B-962E-B20DE16F807F}"/>
    <cellStyle name="Comma 4 2 5 2 2 3" xfId="11387" xr:uid="{19B5A3B6-95DE-4F72-BB9C-AC2526422BD6}"/>
    <cellStyle name="Comma 4 2 5 2 3" xfId="5031" xr:uid="{00000000-0005-0000-0000-0000E6080000}"/>
    <cellStyle name="Comma 4 2 5 2 3 2" xfId="13460" xr:uid="{54D39D66-71ED-47C2-8DFB-C844240F6D4C}"/>
    <cellStyle name="Comma 4 2 5 2 4" xfId="9242" xr:uid="{A0CD74B4-F3A7-43E2-BFD2-3CCB340598AF}"/>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EC0B4186-D848-46EA-AA4D-7FF6E104BA63}"/>
    <cellStyle name="Comma 4 2 5 3 2 3" xfId="11800" xr:uid="{71BCD04E-6D6A-4C80-9D4D-9AC924D80088}"/>
    <cellStyle name="Comma 4 2 5 3 3" xfId="5444" xr:uid="{00000000-0005-0000-0000-0000EA080000}"/>
    <cellStyle name="Comma 4 2 5 3 3 2" xfId="13873" xr:uid="{0E774FE1-9462-4CF7-8D26-C441062F538A}"/>
    <cellStyle name="Comma 4 2 5 3 4" xfId="9655" xr:uid="{81F80D68-CD21-44A9-8F9E-B56297A21860}"/>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E818785D-2BDA-4FB5-82CC-5EFF2666E264}"/>
    <cellStyle name="Comma 4 2 5 4 2 3" xfId="12213" xr:uid="{E27FF621-A9AC-46D4-B849-81090E5D9760}"/>
    <cellStyle name="Comma 4 2 5 4 3" xfId="5857" xr:uid="{00000000-0005-0000-0000-0000EE080000}"/>
    <cellStyle name="Comma 4 2 5 4 3 2" xfId="14286" xr:uid="{FC38866B-3C3C-4E17-8062-13813A946777}"/>
    <cellStyle name="Comma 4 2 5 4 4" xfId="10068" xr:uid="{9D8A48A1-3D70-4F48-A0B4-EC6F3CCCEC36}"/>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84707AA6-1099-4546-AB12-288704A6AB6A}"/>
    <cellStyle name="Comma 4 2 5 5 2 3" xfId="12626" xr:uid="{81090823-281A-4F27-A238-F8FCE455AC42}"/>
    <cellStyle name="Comma 4 2 5 5 3" xfId="6270" xr:uid="{00000000-0005-0000-0000-0000F2080000}"/>
    <cellStyle name="Comma 4 2 5 5 3 2" xfId="14699" xr:uid="{B77BEA5B-A202-4D7B-AD60-2957505798D7}"/>
    <cellStyle name="Comma 4 2 5 5 4" xfId="10481" xr:uid="{C9A1D534-DDB3-46D3-8B90-8599C0AD8952}"/>
    <cellStyle name="Comma 4 2 5 6" xfId="2397" xr:uid="{00000000-0005-0000-0000-0000F3080000}"/>
    <cellStyle name="Comma 4 2 5 6 2" xfId="6683" xr:uid="{00000000-0005-0000-0000-0000F4080000}"/>
    <cellStyle name="Comma 4 2 5 6 2 2" xfId="15112" xr:uid="{3779D02D-23AD-407A-A192-09561F3AAD44}"/>
    <cellStyle name="Comma 4 2 5 6 3" xfId="10894" xr:uid="{FE241825-8E72-43CE-93EF-87A4E31BA947}"/>
    <cellStyle name="Comma 4 2 5 7" xfId="2368" xr:uid="{00000000-0005-0000-0000-0000F5080000}"/>
    <cellStyle name="Comma 4 2 5 8" xfId="2775" xr:uid="{00000000-0005-0000-0000-0000F6080000}"/>
    <cellStyle name="Comma 4 2 5 8 2" xfId="7000" xr:uid="{00000000-0005-0000-0000-0000F7080000}"/>
    <cellStyle name="Comma 4 2 5 8 2 2" xfId="15429" xr:uid="{6EB43CA2-AE7D-4307-BA74-9C5DBB161DAA}"/>
    <cellStyle name="Comma 4 2 5 8 3" xfId="11211" xr:uid="{E3ADA5BE-EE4E-4F81-AF6A-1FB2BEFB10CD}"/>
    <cellStyle name="Comma 4 2 5 9" xfId="4617" xr:uid="{00000000-0005-0000-0000-0000F8080000}"/>
    <cellStyle name="Comma 4 2 5 9 2" xfId="13046" xr:uid="{C9B76147-6AB6-42DD-B9C3-9FABEB9E8211}"/>
    <cellStyle name="Comma 4 2 6" xfId="143" xr:uid="{00000000-0005-0000-0000-0000F9080000}"/>
    <cellStyle name="Comma 4 2 6 10" xfId="8829" xr:uid="{DAF5F18E-44FA-4FA0-B3FA-B0D87F36D6D5}"/>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87476F24-ADD1-429B-9711-158C9F0FC2DB}"/>
    <cellStyle name="Comma 4 2 6 2 2 3" xfId="11388" xr:uid="{BFBE7004-5985-47E8-9EC8-03AF1D9D3DA7}"/>
    <cellStyle name="Comma 4 2 6 2 3" xfId="5032" xr:uid="{00000000-0005-0000-0000-0000FD080000}"/>
    <cellStyle name="Comma 4 2 6 2 3 2" xfId="13461" xr:uid="{CCFE367F-3C3E-469C-9F6D-297CA4CC53C8}"/>
    <cellStyle name="Comma 4 2 6 2 4" xfId="9243" xr:uid="{FC78D8C9-4DC2-4F28-8C1E-4D100770B194}"/>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96C02A97-7EDB-4ACB-AA7D-45C7BAA4700C}"/>
    <cellStyle name="Comma 4 2 6 3 2 3" xfId="11801" xr:uid="{26A39EDE-8531-4CC4-915B-673E3FBE5CAB}"/>
    <cellStyle name="Comma 4 2 6 3 3" xfId="5445" xr:uid="{00000000-0005-0000-0000-000001090000}"/>
    <cellStyle name="Comma 4 2 6 3 3 2" xfId="13874" xr:uid="{953B64E8-359E-4D0B-B705-57B7AD914D87}"/>
    <cellStyle name="Comma 4 2 6 3 4" xfId="9656" xr:uid="{946B4596-70E6-49F8-B571-E895576DF845}"/>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30B156A7-89ED-4C8F-BFE2-DD2C0AE77BD7}"/>
    <cellStyle name="Comma 4 2 6 4 2 3" xfId="12214" xr:uid="{52C18CCF-A8F6-4022-B8C5-C4495689609D}"/>
    <cellStyle name="Comma 4 2 6 4 3" xfId="5858" xr:uid="{00000000-0005-0000-0000-000005090000}"/>
    <cellStyle name="Comma 4 2 6 4 3 2" xfId="14287" xr:uid="{B85ED612-F9D3-4956-8B4F-361B62A4B86B}"/>
    <cellStyle name="Comma 4 2 6 4 4" xfId="10069" xr:uid="{C3144848-8108-496D-9334-A1A284BF4286}"/>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AB1A872B-1BCE-4963-B922-33D27536FC36}"/>
    <cellStyle name="Comma 4 2 6 5 2 3" xfId="12627" xr:uid="{E87E0633-004A-43F9-A75F-A46841B0D775}"/>
    <cellStyle name="Comma 4 2 6 5 3" xfId="6271" xr:uid="{00000000-0005-0000-0000-000009090000}"/>
    <cellStyle name="Comma 4 2 6 5 3 2" xfId="14700" xr:uid="{CD54C603-670D-4AB1-A68D-1008C1756797}"/>
    <cellStyle name="Comma 4 2 6 5 4" xfId="10482" xr:uid="{18951339-915B-4F20-AE6A-4EE36C15168B}"/>
    <cellStyle name="Comma 4 2 6 6" xfId="2398" xr:uid="{00000000-0005-0000-0000-00000A090000}"/>
    <cellStyle name="Comma 4 2 6 6 2" xfId="6684" xr:uid="{00000000-0005-0000-0000-00000B090000}"/>
    <cellStyle name="Comma 4 2 6 6 2 2" xfId="15113" xr:uid="{AF38C29C-50E4-40FE-B1D5-1DD0DB053F6F}"/>
    <cellStyle name="Comma 4 2 6 6 3" xfId="10895" xr:uid="{CACFFD63-DBC3-44F5-8E25-16612F46B2B0}"/>
    <cellStyle name="Comma 4 2 6 7" xfId="2367" xr:uid="{00000000-0005-0000-0000-00000C090000}"/>
    <cellStyle name="Comma 4 2 6 8" xfId="2776" xr:uid="{00000000-0005-0000-0000-00000D090000}"/>
    <cellStyle name="Comma 4 2 6 8 2" xfId="7001" xr:uid="{00000000-0005-0000-0000-00000E090000}"/>
    <cellStyle name="Comma 4 2 6 8 2 2" xfId="15430" xr:uid="{63BA4FDA-A3C8-476B-84D0-81F54B1F6139}"/>
    <cellStyle name="Comma 4 2 6 8 3" xfId="11212" xr:uid="{2E8DEA82-65A5-4E31-A926-417E33BD4CF5}"/>
    <cellStyle name="Comma 4 2 6 9" xfId="4618" xr:uid="{00000000-0005-0000-0000-00000F090000}"/>
    <cellStyle name="Comma 4 2 6 9 2" xfId="13047" xr:uid="{755639E7-1597-4B39-9F92-927B24BE48BD}"/>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D9B7BBFD-13E4-4A1E-AF66-9E7B6089F0F4}"/>
    <cellStyle name="Comma 4 3 2 10 3" xfId="11213" xr:uid="{19D24F33-A600-4E07-985E-BEDDC7B9FEB8}"/>
    <cellStyle name="Comma 4 3 2 11" xfId="4619" xr:uid="{00000000-0005-0000-0000-000014090000}"/>
    <cellStyle name="Comma 4 3 2 11 2" xfId="13048" xr:uid="{4796E248-4929-4A8F-9F12-8F10139F79DB}"/>
    <cellStyle name="Comma 4 3 2 12" xfId="8830" xr:uid="{8D3B4B53-E6B5-40BE-9CC5-091657725583}"/>
    <cellStyle name="Comma 4 3 2 2" xfId="146" xr:uid="{00000000-0005-0000-0000-000015090000}"/>
    <cellStyle name="Comma 4 3 2 2 10" xfId="4620" xr:uid="{00000000-0005-0000-0000-000016090000}"/>
    <cellStyle name="Comma 4 3 2 2 10 2" xfId="13049" xr:uid="{D3D152A3-1E0D-408C-A1FF-50038043CD6F}"/>
    <cellStyle name="Comma 4 3 2 2 11" xfId="8831" xr:uid="{8035D11C-C0A2-4087-BCDC-5EDF6AC97D5A}"/>
    <cellStyle name="Comma 4 3 2 2 2" xfId="147" xr:uid="{00000000-0005-0000-0000-000017090000}"/>
    <cellStyle name="Comma 4 3 2 2 2 10" xfId="8832" xr:uid="{F5B0EC37-44C4-4CB9-A824-46C936D04AF9}"/>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2E1772DF-12C7-471F-8458-0CE35FAE9B63}"/>
    <cellStyle name="Comma 4 3 2 2 2 2 2 3" xfId="11391" xr:uid="{0E2635B0-299F-4B58-9DD0-E9479BA7776C}"/>
    <cellStyle name="Comma 4 3 2 2 2 2 3" xfId="5035" xr:uid="{00000000-0005-0000-0000-00001B090000}"/>
    <cellStyle name="Comma 4 3 2 2 2 2 3 2" xfId="13464" xr:uid="{A7984C11-A858-47ED-B1F6-CF1BC59DD473}"/>
    <cellStyle name="Comma 4 3 2 2 2 2 4" xfId="9246" xr:uid="{E874D555-28D3-4A9C-9679-D4221E470143}"/>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E64A92D5-306B-480B-A481-EAD29AE48B04}"/>
    <cellStyle name="Comma 4 3 2 2 2 3 2 3" xfId="11804" xr:uid="{4D9B1A62-3412-438E-A317-8238DDB2D4FE}"/>
    <cellStyle name="Comma 4 3 2 2 2 3 3" xfId="5448" xr:uid="{00000000-0005-0000-0000-00001F090000}"/>
    <cellStyle name="Comma 4 3 2 2 2 3 3 2" xfId="13877" xr:uid="{9A70D08C-C134-4979-A547-4F877EA59303}"/>
    <cellStyle name="Comma 4 3 2 2 2 3 4" xfId="9659" xr:uid="{239C5C73-94F3-4848-90F7-2940F2C0F4A5}"/>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BD1251C3-2E38-4F99-90B0-A953F9CA0D87}"/>
    <cellStyle name="Comma 4 3 2 2 2 4 2 3" xfId="12217" xr:uid="{6DF0AD83-3E65-4714-9461-94D5E6B79905}"/>
    <cellStyle name="Comma 4 3 2 2 2 4 3" xfId="5861" xr:uid="{00000000-0005-0000-0000-000023090000}"/>
    <cellStyle name="Comma 4 3 2 2 2 4 3 2" xfId="14290" xr:uid="{49424445-487C-48D4-9AE8-6E7755CA62E7}"/>
    <cellStyle name="Comma 4 3 2 2 2 4 4" xfId="10072" xr:uid="{37873F69-79FC-45E0-952E-495C37EC8DAF}"/>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A9B5B26A-4D2D-4B6C-BAE6-B303C88B292F}"/>
    <cellStyle name="Comma 4 3 2 2 2 5 2 3" xfId="12630" xr:uid="{1C8EA7B4-6BBD-49D5-8F7D-73F489342E83}"/>
    <cellStyle name="Comma 4 3 2 2 2 5 3" xfId="6274" xr:uid="{00000000-0005-0000-0000-000027090000}"/>
    <cellStyle name="Comma 4 3 2 2 2 5 3 2" xfId="14703" xr:uid="{A0FE549C-39A1-4E64-ABC6-EC91AB943DAC}"/>
    <cellStyle name="Comma 4 3 2 2 2 5 4" xfId="10485" xr:uid="{F5E46F94-44C0-4441-B3F5-E75F7719FE23}"/>
    <cellStyle name="Comma 4 3 2 2 2 6" xfId="2401" xr:uid="{00000000-0005-0000-0000-000028090000}"/>
    <cellStyle name="Comma 4 3 2 2 2 6 2" xfId="6687" xr:uid="{00000000-0005-0000-0000-000029090000}"/>
    <cellStyle name="Comma 4 3 2 2 2 6 2 2" xfId="15116" xr:uid="{DA329B6A-3DBD-4E80-BA98-A6A3DD3E7558}"/>
    <cellStyle name="Comma 4 3 2 2 2 6 3" xfId="10898" xr:uid="{2EAF014C-7F20-4382-8E92-0F4BC87CEE44}"/>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39E66F07-3FFD-4E60-BB8A-D4A98A7CC1E5}"/>
    <cellStyle name="Comma 4 3 2 2 2 8 3" xfId="11215" xr:uid="{CEA7F28B-D41A-46C7-8F41-E77AE330C551}"/>
    <cellStyle name="Comma 4 3 2 2 2 9" xfId="4621" xr:uid="{00000000-0005-0000-0000-00002D090000}"/>
    <cellStyle name="Comma 4 3 2 2 2 9 2" xfId="13050" xr:uid="{BD9357A7-BF93-4CC1-B106-2BECE8FDA09E}"/>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D61554EC-35C4-4CBF-9C37-74F880B87A55}"/>
    <cellStyle name="Comma 4 3 2 2 3 2 3" xfId="11390" xr:uid="{D0F5FCFE-6AC8-41D1-8752-8C216426ADB0}"/>
    <cellStyle name="Comma 4 3 2 2 3 3" xfId="5034" xr:uid="{00000000-0005-0000-0000-000031090000}"/>
    <cellStyle name="Comma 4 3 2 2 3 3 2" xfId="13463" xr:uid="{48370720-3251-4C03-A009-5F23B5202CB8}"/>
    <cellStyle name="Comma 4 3 2 2 3 4" xfId="9245" xr:uid="{238A588A-651A-44D4-966E-7D2A36039526}"/>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4B17951E-8E9C-4214-B676-E86358D534A1}"/>
    <cellStyle name="Comma 4 3 2 2 4 2 3" xfId="11803" xr:uid="{50C3DA56-6393-4C9B-80EB-3BDB45FED053}"/>
    <cellStyle name="Comma 4 3 2 2 4 3" xfId="5447" xr:uid="{00000000-0005-0000-0000-000035090000}"/>
    <cellStyle name="Comma 4 3 2 2 4 3 2" xfId="13876" xr:uid="{F125624C-D4E6-4DF0-9DC4-D2733E3C3C57}"/>
    <cellStyle name="Comma 4 3 2 2 4 4" xfId="9658" xr:uid="{E9375DB2-EE05-4CBA-BC10-63000FFB3901}"/>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D5FF4B49-466D-4016-9ECA-B2F1AAA080E3}"/>
    <cellStyle name="Comma 4 3 2 2 5 2 3" xfId="12216" xr:uid="{29126CB3-70BB-4DCC-B9EF-D2AD1D02D6FC}"/>
    <cellStyle name="Comma 4 3 2 2 5 3" xfId="5860" xr:uid="{00000000-0005-0000-0000-000039090000}"/>
    <cellStyle name="Comma 4 3 2 2 5 3 2" xfId="14289" xr:uid="{F3DAFBE0-8B02-4112-8202-EA416657676E}"/>
    <cellStyle name="Comma 4 3 2 2 5 4" xfId="10071" xr:uid="{65035B64-213F-4C43-B8EF-54F7ECF2B4DB}"/>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8183C667-EA62-431B-B5B8-51728CBB5D25}"/>
    <cellStyle name="Comma 4 3 2 2 6 2 3" xfId="12629" xr:uid="{48C5B04F-BDD8-4BCA-83DE-0D9D749A413E}"/>
    <cellStyle name="Comma 4 3 2 2 6 3" xfId="6273" xr:uid="{00000000-0005-0000-0000-00003D090000}"/>
    <cellStyle name="Comma 4 3 2 2 6 3 2" xfId="14702" xr:uid="{74F302D5-EFF0-4210-B8EA-B8CFB5253F35}"/>
    <cellStyle name="Comma 4 3 2 2 6 4" xfId="10484" xr:uid="{BF9CB15C-7E31-44CD-AA2E-4D86C6C501A5}"/>
    <cellStyle name="Comma 4 3 2 2 7" xfId="2400" xr:uid="{00000000-0005-0000-0000-00003E090000}"/>
    <cellStyle name="Comma 4 3 2 2 7 2" xfId="6686" xr:uid="{00000000-0005-0000-0000-00003F090000}"/>
    <cellStyle name="Comma 4 3 2 2 7 2 2" xfId="15115" xr:uid="{62526829-4D63-43BF-9741-672E023B437A}"/>
    <cellStyle name="Comma 4 3 2 2 7 3" xfId="10897" xr:uid="{55E8B884-4F37-4254-A7F6-45E185D15D02}"/>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042052C5-3062-48D1-97A8-5944D36DD792}"/>
    <cellStyle name="Comma 4 3 2 2 9 3" xfId="11214" xr:uid="{6434D48E-D58C-43BC-8D4E-B7D9A71DF748}"/>
    <cellStyle name="Comma 4 3 2 3" xfId="148" xr:uid="{00000000-0005-0000-0000-000043090000}"/>
    <cellStyle name="Comma 4 3 2 3 10" xfId="8833" xr:uid="{EF216641-D687-4F42-8EB4-85C1E0FDC5C1}"/>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408D4580-E275-4080-A2E4-1CBC158F07E2}"/>
    <cellStyle name="Comma 4 3 2 3 2 2 3" xfId="11392" xr:uid="{BD5CBC0C-8975-4344-8888-5723CED90411}"/>
    <cellStyle name="Comma 4 3 2 3 2 3" xfId="5036" xr:uid="{00000000-0005-0000-0000-000047090000}"/>
    <cellStyle name="Comma 4 3 2 3 2 3 2" xfId="13465" xr:uid="{56C2FD11-8927-4A2B-953F-5A2FAD509698}"/>
    <cellStyle name="Comma 4 3 2 3 2 4" xfId="9247" xr:uid="{0A9A0B4D-677C-48E2-B6C8-B6E13E0EEA5F}"/>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8BC3581C-B0F6-4853-BD2B-3175C6A16F33}"/>
    <cellStyle name="Comma 4 3 2 3 3 2 3" xfId="11805" xr:uid="{5D0C8EDE-C189-4F9A-8A0B-E86D8E6172A4}"/>
    <cellStyle name="Comma 4 3 2 3 3 3" xfId="5449" xr:uid="{00000000-0005-0000-0000-00004B090000}"/>
    <cellStyle name="Comma 4 3 2 3 3 3 2" xfId="13878" xr:uid="{206525ED-D1F8-417C-B22C-965C4794D2B8}"/>
    <cellStyle name="Comma 4 3 2 3 3 4" xfId="9660" xr:uid="{5D1E9B4D-9915-49E2-98A0-1B3E0E16A4F2}"/>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52C39221-7558-403D-B719-41306320A0AA}"/>
    <cellStyle name="Comma 4 3 2 3 4 2 3" xfId="12218" xr:uid="{ACEA10C2-8A6E-48B8-8B3C-9EBCC883E958}"/>
    <cellStyle name="Comma 4 3 2 3 4 3" xfId="5862" xr:uid="{00000000-0005-0000-0000-00004F090000}"/>
    <cellStyle name="Comma 4 3 2 3 4 3 2" xfId="14291" xr:uid="{F0B12436-2707-4E01-B205-308994C6A7A8}"/>
    <cellStyle name="Comma 4 3 2 3 4 4" xfId="10073" xr:uid="{754F3945-A73B-42A6-9611-5E8A9DBCCD1A}"/>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1E4F4B24-1BEC-42C1-A8D0-68475E01E475}"/>
    <cellStyle name="Comma 4 3 2 3 5 2 3" xfId="12631" xr:uid="{AF1696D8-2486-48E2-B0E8-8D4D5784E4B6}"/>
    <cellStyle name="Comma 4 3 2 3 5 3" xfId="6275" xr:uid="{00000000-0005-0000-0000-000053090000}"/>
    <cellStyle name="Comma 4 3 2 3 5 3 2" xfId="14704" xr:uid="{D4743C7F-1B18-4D72-AC7B-FEE1518D3D4B}"/>
    <cellStyle name="Comma 4 3 2 3 5 4" xfId="10486" xr:uid="{C8C2C6C8-9D3A-43DB-9541-C1FB63027547}"/>
    <cellStyle name="Comma 4 3 2 3 6" xfId="2402" xr:uid="{00000000-0005-0000-0000-000054090000}"/>
    <cellStyle name="Comma 4 3 2 3 6 2" xfId="6688" xr:uid="{00000000-0005-0000-0000-000055090000}"/>
    <cellStyle name="Comma 4 3 2 3 6 2 2" xfId="15117" xr:uid="{8D622E9C-8F7B-4EA5-9064-260BAD4C6CD4}"/>
    <cellStyle name="Comma 4 3 2 3 6 3" xfId="10899" xr:uid="{964A5F39-E8E8-430C-9E3E-0B5C91A4B877}"/>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B3014AF2-BF01-450F-85D4-16680716E3C8}"/>
    <cellStyle name="Comma 4 3 2 3 8 3" xfId="11216" xr:uid="{D9D5F976-3801-4519-B08A-814FC47F35F9}"/>
    <cellStyle name="Comma 4 3 2 3 9" xfId="4622" xr:uid="{00000000-0005-0000-0000-000059090000}"/>
    <cellStyle name="Comma 4 3 2 3 9 2" xfId="13051" xr:uid="{9A3A76F6-2231-4388-A439-495F13C42113}"/>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AB8DA5E2-10E2-4B69-B1D9-2FF1D224807D}"/>
    <cellStyle name="Comma 4 3 2 4 2 3" xfId="11389" xr:uid="{425B614C-7E1D-471D-A9B9-19F320D05F17}"/>
    <cellStyle name="Comma 4 3 2 4 3" xfId="5033" xr:uid="{00000000-0005-0000-0000-00005D090000}"/>
    <cellStyle name="Comma 4 3 2 4 3 2" xfId="13462" xr:uid="{0E436D23-7212-402D-9D63-A8E14CD8CE65}"/>
    <cellStyle name="Comma 4 3 2 4 4" xfId="9244" xr:uid="{1D285F50-FFB9-4EF0-9BAE-8C0FE14A4A85}"/>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032881C-BEBE-48AA-9B6A-FA73492C12E9}"/>
    <cellStyle name="Comma 4 3 2 5 2 3" xfId="11802" xr:uid="{8D7102AA-DF24-4CFD-8DC6-82196FDF7136}"/>
    <cellStyle name="Comma 4 3 2 5 3" xfId="5446" xr:uid="{00000000-0005-0000-0000-000061090000}"/>
    <cellStyle name="Comma 4 3 2 5 3 2" xfId="13875" xr:uid="{B7E442BB-60B9-44BE-88BF-FABC5EA40997}"/>
    <cellStyle name="Comma 4 3 2 5 4" xfId="9657" xr:uid="{BB74C22B-555C-496D-8182-654864BF2E1F}"/>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FAE5BE0C-04B8-4B28-BCC0-C925CB510EA7}"/>
    <cellStyle name="Comma 4 3 2 6 2 3" xfId="12215" xr:uid="{58D8EE5D-8FD8-4049-9CE2-CE11EDAE0FF3}"/>
    <cellStyle name="Comma 4 3 2 6 3" xfId="5859" xr:uid="{00000000-0005-0000-0000-000065090000}"/>
    <cellStyle name="Comma 4 3 2 6 3 2" xfId="14288" xr:uid="{4FD13016-9329-40A8-A384-76D90264012C}"/>
    <cellStyle name="Comma 4 3 2 6 4" xfId="10070" xr:uid="{911BA668-B45A-440E-8BEB-D937C18B8D7B}"/>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8E318E28-BEF6-49D7-8027-C9CDA0278C93}"/>
    <cellStyle name="Comma 4 3 2 7 2 3" xfId="12628" xr:uid="{FAB17C0F-6141-4D97-B8B0-0D1B378E4DF9}"/>
    <cellStyle name="Comma 4 3 2 7 3" xfId="6272" xr:uid="{00000000-0005-0000-0000-000069090000}"/>
    <cellStyle name="Comma 4 3 2 7 3 2" xfId="14701" xr:uid="{A04E7E3F-5500-425C-85FE-10384591E033}"/>
    <cellStyle name="Comma 4 3 2 7 4" xfId="10483" xr:uid="{171160ED-E056-4DAA-AF49-824DE90870FA}"/>
    <cellStyle name="Comma 4 3 2 8" xfId="2399" xr:uid="{00000000-0005-0000-0000-00006A090000}"/>
    <cellStyle name="Comma 4 3 2 8 2" xfId="6685" xr:uid="{00000000-0005-0000-0000-00006B090000}"/>
    <cellStyle name="Comma 4 3 2 8 2 2" xfId="15114" xr:uid="{575E2A6C-69F6-468A-9A4F-9BC09E4055B6}"/>
    <cellStyle name="Comma 4 3 2 8 3" xfId="10896" xr:uid="{ED830C17-17CF-48C2-9C1E-66BC7787A582}"/>
    <cellStyle name="Comma 4 3 2 9" xfId="2366" xr:uid="{00000000-0005-0000-0000-00006C090000}"/>
    <cellStyle name="Comma 4 3 3" xfId="149" xr:uid="{00000000-0005-0000-0000-00006D090000}"/>
    <cellStyle name="Comma 4 3 3 10" xfId="4623" xr:uid="{00000000-0005-0000-0000-00006E090000}"/>
    <cellStyle name="Comma 4 3 3 10 2" xfId="13052" xr:uid="{ADEE6B54-DBB6-4DF2-B39D-AABDDC311A7A}"/>
    <cellStyle name="Comma 4 3 3 11" xfId="8834" xr:uid="{73146504-A8B2-4B21-9A51-C77BDB1D7D05}"/>
    <cellStyle name="Comma 4 3 3 2" xfId="150" xr:uid="{00000000-0005-0000-0000-00006F090000}"/>
    <cellStyle name="Comma 4 3 3 2 10" xfId="8835" xr:uid="{243D7C44-4BDD-49AC-8995-305BB1CA5989}"/>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DDBE2F88-BD5A-408B-83F9-9ABDED7B11A9}"/>
    <cellStyle name="Comma 4 3 3 2 2 2 3" xfId="11394" xr:uid="{D5FAA3DA-0547-42FE-86FE-6CF638B9CF57}"/>
    <cellStyle name="Comma 4 3 3 2 2 3" xfId="5038" xr:uid="{00000000-0005-0000-0000-000073090000}"/>
    <cellStyle name="Comma 4 3 3 2 2 3 2" xfId="13467" xr:uid="{046E891D-B901-4DFB-BBF9-AAD403E938A6}"/>
    <cellStyle name="Comma 4 3 3 2 2 4" xfId="9249" xr:uid="{B6F083CA-86C7-431D-83B7-1EDE518A6579}"/>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3A1BD663-E947-47E7-B1F8-C3F82DD25770}"/>
    <cellStyle name="Comma 4 3 3 2 3 2 3" xfId="11807" xr:uid="{17545BDE-4233-408C-95D3-EBF1BAC0B034}"/>
    <cellStyle name="Comma 4 3 3 2 3 3" xfId="5451" xr:uid="{00000000-0005-0000-0000-000077090000}"/>
    <cellStyle name="Comma 4 3 3 2 3 3 2" xfId="13880" xr:uid="{4F80DF84-C7D7-444E-B593-8F146BB4B721}"/>
    <cellStyle name="Comma 4 3 3 2 3 4" xfId="9662" xr:uid="{A6ED6818-6406-4CA3-901B-CC9B4965D92B}"/>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4058C431-D5E3-4C59-B10F-FF1DD9EB035C}"/>
    <cellStyle name="Comma 4 3 3 2 4 2 3" xfId="12220" xr:uid="{A9D69D30-EF04-4198-8004-C4CE94DC9674}"/>
    <cellStyle name="Comma 4 3 3 2 4 3" xfId="5864" xr:uid="{00000000-0005-0000-0000-00007B090000}"/>
    <cellStyle name="Comma 4 3 3 2 4 3 2" xfId="14293" xr:uid="{A0E4555E-650E-4A85-826D-91B6B4D9252D}"/>
    <cellStyle name="Comma 4 3 3 2 4 4" xfId="10075" xr:uid="{0AC234FB-F7FD-4B00-A5D3-A6DFB719D013}"/>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BA1C1997-220C-49D0-A4B9-F0DC7A593C61}"/>
    <cellStyle name="Comma 4 3 3 2 5 2 3" xfId="12633" xr:uid="{9439315C-366B-4CA2-9238-6E40279243C3}"/>
    <cellStyle name="Comma 4 3 3 2 5 3" xfId="6277" xr:uid="{00000000-0005-0000-0000-00007F090000}"/>
    <cellStyle name="Comma 4 3 3 2 5 3 2" xfId="14706" xr:uid="{E8A58438-CA08-42AC-B375-B9C481DDF7C6}"/>
    <cellStyle name="Comma 4 3 3 2 5 4" xfId="10488" xr:uid="{459B09AC-D439-44D9-9DC3-15DE5F40ACF7}"/>
    <cellStyle name="Comma 4 3 3 2 6" xfId="2404" xr:uid="{00000000-0005-0000-0000-000080090000}"/>
    <cellStyle name="Comma 4 3 3 2 6 2" xfId="6690" xr:uid="{00000000-0005-0000-0000-000081090000}"/>
    <cellStyle name="Comma 4 3 3 2 6 2 2" xfId="15119" xr:uid="{93242EC1-EA8F-4A30-B646-6E62BF3A425A}"/>
    <cellStyle name="Comma 4 3 3 2 6 3" xfId="10901" xr:uid="{E9CD481C-E48E-4EFC-B105-F4620E61ADE8}"/>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E6AED9EB-A6CF-4F68-8D15-7BC5E528B4F9}"/>
    <cellStyle name="Comma 4 3 3 2 8 3" xfId="11218" xr:uid="{90BC7166-1C8E-4D84-8F90-A345F4CD9899}"/>
    <cellStyle name="Comma 4 3 3 2 9" xfId="4624" xr:uid="{00000000-0005-0000-0000-000085090000}"/>
    <cellStyle name="Comma 4 3 3 2 9 2" xfId="13053" xr:uid="{1754AEE7-7B02-486A-85B1-129B3BF584B8}"/>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CD074703-42DB-4212-B2F2-42DED9DDF809}"/>
    <cellStyle name="Comma 4 3 3 3 2 3" xfId="11393" xr:uid="{BBF93755-80BD-453F-A5D8-8A7E20B3CDE1}"/>
    <cellStyle name="Comma 4 3 3 3 3" xfId="5037" xr:uid="{00000000-0005-0000-0000-000089090000}"/>
    <cellStyle name="Comma 4 3 3 3 3 2" xfId="13466" xr:uid="{D7FCDD4C-69A8-4BEF-878C-F218F3EDDA1F}"/>
    <cellStyle name="Comma 4 3 3 3 4" xfId="9248" xr:uid="{5956CA0A-2466-4195-B7FD-8E8CFFC1A6D0}"/>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1E954F00-D0ED-472F-B11E-66334D19F028}"/>
    <cellStyle name="Comma 4 3 3 4 2 3" xfId="11806" xr:uid="{773BF6C8-E346-44F6-AF25-935A91E4679B}"/>
    <cellStyle name="Comma 4 3 3 4 3" xfId="5450" xr:uid="{00000000-0005-0000-0000-00008D090000}"/>
    <cellStyle name="Comma 4 3 3 4 3 2" xfId="13879" xr:uid="{0D9769B7-F89F-4877-BECC-75742D52F3AD}"/>
    <cellStyle name="Comma 4 3 3 4 4" xfId="9661" xr:uid="{38AD8EDF-1217-4BDB-AD17-01659740266D}"/>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F5385598-8914-4929-A4DD-31627A70BC02}"/>
    <cellStyle name="Comma 4 3 3 5 2 3" xfId="12219" xr:uid="{C286FE5A-D2DA-45A6-BA2E-34AF4414E17C}"/>
    <cellStyle name="Comma 4 3 3 5 3" xfId="5863" xr:uid="{00000000-0005-0000-0000-000091090000}"/>
    <cellStyle name="Comma 4 3 3 5 3 2" xfId="14292" xr:uid="{7DB237B8-4C30-457B-AA11-CCFBA5870068}"/>
    <cellStyle name="Comma 4 3 3 5 4" xfId="10074" xr:uid="{1F54571A-35ED-493B-8A90-5AF48D637F27}"/>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7F1FD7D4-C421-4F04-981D-80EAA560E5D1}"/>
    <cellStyle name="Comma 4 3 3 6 2 3" xfId="12632" xr:uid="{9ED042DB-D440-4C01-9CC4-66049FA509DC}"/>
    <cellStyle name="Comma 4 3 3 6 3" xfId="6276" xr:uid="{00000000-0005-0000-0000-000095090000}"/>
    <cellStyle name="Comma 4 3 3 6 3 2" xfId="14705" xr:uid="{6BFEBA53-BE00-48B0-8A45-11BA062B1E4D}"/>
    <cellStyle name="Comma 4 3 3 6 4" xfId="10487" xr:uid="{E138399D-4812-4050-84AA-F8018A6B954C}"/>
    <cellStyle name="Comma 4 3 3 7" xfId="2403" xr:uid="{00000000-0005-0000-0000-000096090000}"/>
    <cellStyle name="Comma 4 3 3 7 2" xfId="6689" xr:uid="{00000000-0005-0000-0000-000097090000}"/>
    <cellStyle name="Comma 4 3 3 7 2 2" xfId="15118" xr:uid="{231A37BA-3A25-4F27-B9D8-C3928189748C}"/>
    <cellStyle name="Comma 4 3 3 7 3" xfId="10900" xr:uid="{E4B0C635-B68C-484A-97F2-F9BEAD4D7873}"/>
    <cellStyle name="Comma 4 3 3 8" xfId="2362" xr:uid="{00000000-0005-0000-0000-000098090000}"/>
    <cellStyle name="Comma 4 3 3 9" xfId="2781" xr:uid="{00000000-0005-0000-0000-000099090000}"/>
    <cellStyle name="Comma 4 3 3 9 2" xfId="7006" xr:uid="{00000000-0005-0000-0000-00009A090000}"/>
    <cellStyle name="Comma 4 3 3 9 2 2" xfId="15435" xr:uid="{1D10CA7D-3129-4E0D-975D-F861404B32B1}"/>
    <cellStyle name="Comma 4 3 3 9 3" xfId="11217" xr:uid="{335E1E1B-9183-4A50-954B-22A3EDA787D9}"/>
    <cellStyle name="Comma 4 3 4" xfId="151" xr:uid="{00000000-0005-0000-0000-00009B090000}"/>
    <cellStyle name="Comma 4 3 4 10" xfId="8836" xr:uid="{B7E9DBD2-92C5-4D7B-941C-9ACF060D6BEF}"/>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6DE74003-4BA0-44EF-831F-F6791F336AE5}"/>
    <cellStyle name="Comma 4 3 4 2 2 3" xfId="11395" xr:uid="{EF058259-FCF6-420A-AC7C-0DD8A0DBEB30}"/>
    <cellStyle name="Comma 4 3 4 2 3" xfId="5039" xr:uid="{00000000-0005-0000-0000-00009F090000}"/>
    <cellStyle name="Comma 4 3 4 2 3 2" xfId="13468" xr:uid="{BBD57C7C-9C6A-4CEC-9CF7-F1652D46254D}"/>
    <cellStyle name="Comma 4 3 4 2 4" xfId="9250" xr:uid="{DEABB1CC-D9D4-438E-B33A-66FFD25F7CB6}"/>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242B72D8-6CF5-43A9-A234-888EFB601751}"/>
    <cellStyle name="Comma 4 3 4 3 2 3" xfId="11808" xr:uid="{3AD3E1FF-2334-4F84-93F0-74604016CF34}"/>
    <cellStyle name="Comma 4 3 4 3 3" xfId="5452" xr:uid="{00000000-0005-0000-0000-0000A3090000}"/>
    <cellStyle name="Comma 4 3 4 3 3 2" xfId="13881" xr:uid="{264AFBE0-9C8E-41AA-854E-7125618A5CAF}"/>
    <cellStyle name="Comma 4 3 4 3 4" xfId="9663" xr:uid="{8141F436-8052-4EE3-82FB-AF65D545F214}"/>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8A797418-712E-4B89-9926-98E02859ED58}"/>
    <cellStyle name="Comma 4 3 4 4 2 3" xfId="12221" xr:uid="{774ECF29-1496-4991-8F33-D1152CDED591}"/>
    <cellStyle name="Comma 4 3 4 4 3" xfId="5865" xr:uid="{00000000-0005-0000-0000-0000A7090000}"/>
    <cellStyle name="Comma 4 3 4 4 3 2" xfId="14294" xr:uid="{A76E92A3-BE1F-4262-A35B-BB8BE6BAD0A0}"/>
    <cellStyle name="Comma 4 3 4 4 4" xfId="10076" xr:uid="{229D366D-9179-435B-BA6B-11E01218FC3C}"/>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C88AC954-2101-43CF-9294-F74A7C6598E6}"/>
    <cellStyle name="Comma 4 3 4 5 2 3" xfId="12634" xr:uid="{991B7CCB-B61C-45EF-A6D7-1FB988BD4591}"/>
    <cellStyle name="Comma 4 3 4 5 3" xfId="6278" xr:uid="{00000000-0005-0000-0000-0000AB090000}"/>
    <cellStyle name="Comma 4 3 4 5 3 2" xfId="14707" xr:uid="{8EF20A84-7ECB-4189-B085-DF32B586E69D}"/>
    <cellStyle name="Comma 4 3 4 5 4" xfId="10489" xr:uid="{35E91EFD-1FA1-495F-AA62-AC8795FB76B5}"/>
    <cellStyle name="Comma 4 3 4 6" xfId="2405" xr:uid="{00000000-0005-0000-0000-0000AC090000}"/>
    <cellStyle name="Comma 4 3 4 6 2" xfId="6691" xr:uid="{00000000-0005-0000-0000-0000AD090000}"/>
    <cellStyle name="Comma 4 3 4 6 2 2" xfId="15120" xr:uid="{27785A34-DF6C-4DB8-AF8A-145E32FD8F31}"/>
    <cellStyle name="Comma 4 3 4 6 3" xfId="10902" xr:uid="{1BA89D61-E0B9-4B42-89D8-9E7145B054E8}"/>
    <cellStyle name="Comma 4 3 4 7" xfId="2701" xr:uid="{00000000-0005-0000-0000-0000AE090000}"/>
    <cellStyle name="Comma 4 3 4 8" xfId="2783" xr:uid="{00000000-0005-0000-0000-0000AF090000}"/>
    <cellStyle name="Comma 4 3 4 8 2" xfId="7008" xr:uid="{00000000-0005-0000-0000-0000B0090000}"/>
    <cellStyle name="Comma 4 3 4 8 2 2" xfId="15437" xr:uid="{28E53963-2E2E-4249-83C4-2E7CDFAD2122}"/>
    <cellStyle name="Comma 4 3 4 8 3" xfId="11219" xr:uid="{9BF54715-B101-43A2-913A-9EDE15B5B8ED}"/>
    <cellStyle name="Comma 4 3 4 9" xfId="4625" xr:uid="{00000000-0005-0000-0000-0000B1090000}"/>
    <cellStyle name="Comma 4 3 4 9 2" xfId="13054" xr:uid="{C312167D-3A50-41F2-B056-B11ED3C58845}"/>
    <cellStyle name="Comma 4 3 5" xfId="152" xr:uid="{00000000-0005-0000-0000-0000B2090000}"/>
    <cellStyle name="Comma 4 3 5 10" xfId="8837" xr:uid="{727B5DDB-397F-4375-A647-0672609B9BBA}"/>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5EEA1755-27A1-4764-A2D9-FDAC1C4FEB93}"/>
    <cellStyle name="Comma 4 3 5 2 2 3" xfId="11396" xr:uid="{A486B478-8C14-43AD-A55C-0E148CBAC934}"/>
    <cellStyle name="Comma 4 3 5 2 3" xfId="5040" xr:uid="{00000000-0005-0000-0000-0000B6090000}"/>
    <cellStyle name="Comma 4 3 5 2 3 2" xfId="13469" xr:uid="{2FFC155B-96E2-4817-AE04-0442965E9AE9}"/>
    <cellStyle name="Comma 4 3 5 2 4" xfId="9251" xr:uid="{7C4AADD0-9149-49E8-8FE0-DB104458E3E1}"/>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DB99837D-B0CD-4CA0-BDE3-4FED4703C315}"/>
    <cellStyle name="Comma 4 3 5 3 2 3" xfId="11809" xr:uid="{5315E3EC-97D4-49A9-A4DC-19CED829AF0E}"/>
    <cellStyle name="Comma 4 3 5 3 3" xfId="5453" xr:uid="{00000000-0005-0000-0000-0000BA090000}"/>
    <cellStyle name="Comma 4 3 5 3 3 2" xfId="13882" xr:uid="{EF579593-4370-4C11-91EF-99241C50EB01}"/>
    <cellStyle name="Comma 4 3 5 3 4" xfId="9664" xr:uid="{DAAFACD6-99E0-4463-80EA-FC18D1EDD0A6}"/>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CBB41A0A-8B2C-42BD-843A-773773971A03}"/>
    <cellStyle name="Comma 4 3 5 4 2 3" xfId="12222" xr:uid="{A2429A19-8EC8-4436-B241-D7B3E67C7736}"/>
    <cellStyle name="Comma 4 3 5 4 3" xfId="5866" xr:uid="{00000000-0005-0000-0000-0000BE090000}"/>
    <cellStyle name="Comma 4 3 5 4 3 2" xfId="14295" xr:uid="{A19F641A-2ED7-4D4B-87B4-6F3C224DD6D5}"/>
    <cellStyle name="Comma 4 3 5 4 4" xfId="10077" xr:uid="{F3C2606A-C514-4814-AA2C-5BD25304274D}"/>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F4E97E9C-248C-46CD-8412-6E715F6960B7}"/>
    <cellStyle name="Comma 4 3 5 5 2 3" xfId="12635" xr:uid="{5BB837A3-111A-424E-B23B-6330ECAA5E1F}"/>
    <cellStyle name="Comma 4 3 5 5 3" xfId="6279" xr:uid="{00000000-0005-0000-0000-0000C2090000}"/>
    <cellStyle name="Comma 4 3 5 5 3 2" xfId="14708" xr:uid="{18F8FE27-10FA-4BA7-AFCA-F62FEF28FF00}"/>
    <cellStyle name="Comma 4 3 5 5 4" xfId="10490" xr:uid="{8100AC42-177C-4D89-B19F-CEBC5B92985E}"/>
    <cellStyle name="Comma 4 3 5 6" xfId="2406" xr:uid="{00000000-0005-0000-0000-0000C3090000}"/>
    <cellStyle name="Comma 4 3 5 6 2" xfId="6692" xr:uid="{00000000-0005-0000-0000-0000C4090000}"/>
    <cellStyle name="Comma 4 3 5 6 2 2" xfId="15121" xr:uid="{8A0B20C6-DD73-43BE-AEB5-99372856EBCD}"/>
    <cellStyle name="Comma 4 3 5 6 3" xfId="10903" xr:uid="{43654015-E6BE-4175-8784-29850234881E}"/>
    <cellStyle name="Comma 4 3 5 7" xfId="2702" xr:uid="{00000000-0005-0000-0000-0000C5090000}"/>
    <cellStyle name="Comma 4 3 5 8" xfId="2784" xr:uid="{00000000-0005-0000-0000-0000C6090000}"/>
    <cellStyle name="Comma 4 3 5 8 2" xfId="7009" xr:uid="{00000000-0005-0000-0000-0000C7090000}"/>
    <cellStyle name="Comma 4 3 5 8 2 2" xfId="15438" xr:uid="{455A85DD-55DE-4E03-9879-E007A67FEA41}"/>
    <cellStyle name="Comma 4 3 5 8 3" xfId="11220" xr:uid="{F1446CF3-6212-4D5A-91E6-67F0D965724A}"/>
    <cellStyle name="Comma 4 3 5 9" xfId="4626" xr:uid="{00000000-0005-0000-0000-0000C8090000}"/>
    <cellStyle name="Comma 4 3 5 9 2" xfId="13055" xr:uid="{6E0B6E3A-033C-400E-8DF2-E303A1F5174D}"/>
    <cellStyle name="Comma 4 4" xfId="153" xr:uid="{00000000-0005-0000-0000-0000C9090000}"/>
    <cellStyle name="Comma 4 4 10" xfId="2785" xr:uid="{00000000-0005-0000-0000-0000CA090000}"/>
    <cellStyle name="Comma 4 4 10 2" xfId="7010" xr:uid="{00000000-0005-0000-0000-0000CB090000}"/>
    <cellStyle name="Comma 4 4 10 2 2" xfId="15439" xr:uid="{821E88FA-6CB4-4731-9997-26C25A673E86}"/>
    <cellStyle name="Comma 4 4 10 3" xfId="11221" xr:uid="{7DB8AFF6-3761-40B4-A355-9548DDD3007B}"/>
    <cellStyle name="Comma 4 4 11" xfId="4627" xr:uid="{00000000-0005-0000-0000-0000CC090000}"/>
    <cellStyle name="Comma 4 4 11 2" xfId="13056" xr:uid="{151924DD-4070-4682-B04C-95E483A0727A}"/>
    <cellStyle name="Comma 4 4 12" xfId="8838" xr:uid="{294FD7BE-AF66-416B-BE5D-4FC31D393884}"/>
    <cellStyle name="Comma 4 4 2" xfId="154" xr:uid="{00000000-0005-0000-0000-0000CD090000}"/>
    <cellStyle name="Comma 4 4 2 10" xfId="4628" xr:uid="{00000000-0005-0000-0000-0000CE090000}"/>
    <cellStyle name="Comma 4 4 2 10 2" xfId="13057" xr:uid="{AE2AF9E0-DE00-4737-9E55-71B9D87E88B1}"/>
    <cellStyle name="Comma 4 4 2 11" xfId="8839" xr:uid="{DECF578A-802A-42A0-A905-1224A94D316B}"/>
    <cellStyle name="Comma 4 4 2 2" xfId="155" xr:uid="{00000000-0005-0000-0000-0000CF090000}"/>
    <cellStyle name="Comma 4 4 2 2 10" xfId="8840" xr:uid="{419B0472-9B5B-4810-9CDF-8C625BA5CB49}"/>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9AC841DC-448D-4AC9-AC36-57E642029781}"/>
    <cellStyle name="Comma 4 4 2 2 2 2 3" xfId="11399" xr:uid="{D8195F51-93E0-458F-9D0F-7C94983059D3}"/>
    <cellStyle name="Comma 4 4 2 2 2 3" xfId="5043" xr:uid="{00000000-0005-0000-0000-0000D3090000}"/>
    <cellStyle name="Comma 4 4 2 2 2 3 2" xfId="13472" xr:uid="{EC10E1E8-264A-4FF2-8CD1-84E29701B0F5}"/>
    <cellStyle name="Comma 4 4 2 2 2 4" xfId="9254" xr:uid="{27C24C76-2D7E-49EF-A8C2-633C84A91869}"/>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30945374-E871-40EB-A63D-26092B5B0EE9}"/>
    <cellStyle name="Comma 4 4 2 2 3 2 3" xfId="11812" xr:uid="{3CB7D74E-CAC6-4732-A3CF-324A92E84CD7}"/>
    <cellStyle name="Comma 4 4 2 2 3 3" xfId="5456" xr:uid="{00000000-0005-0000-0000-0000D7090000}"/>
    <cellStyle name="Comma 4 4 2 2 3 3 2" xfId="13885" xr:uid="{13D00437-A978-449E-8165-44D55599484C}"/>
    <cellStyle name="Comma 4 4 2 2 3 4" xfId="9667" xr:uid="{4161138A-BC37-4936-A795-2E71BDFCE84A}"/>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FFE5A851-AAE2-475A-B9E9-91852FBBE765}"/>
    <cellStyle name="Comma 4 4 2 2 4 2 3" xfId="12225" xr:uid="{B2102A30-4E8E-435E-9F34-826C49F20D7F}"/>
    <cellStyle name="Comma 4 4 2 2 4 3" xfId="5869" xr:uid="{00000000-0005-0000-0000-0000DB090000}"/>
    <cellStyle name="Comma 4 4 2 2 4 3 2" xfId="14298" xr:uid="{15E2A82D-9348-4FE0-BA80-A449600BD7A6}"/>
    <cellStyle name="Comma 4 4 2 2 4 4" xfId="10080" xr:uid="{7D5401D8-0242-4BD8-A3D8-91771331778D}"/>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87929655-F451-4F99-A715-3A5CB635E859}"/>
    <cellStyle name="Comma 4 4 2 2 5 2 3" xfId="12638" xr:uid="{BCFB0742-0BCC-41EE-843E-E3644CF85603}"/>
    <cellStyle name="Comma 4 4 2 2 5 3" xfId="6282" xr:uid="{00000000-0005-0000-0000-0000DF090000}"/>
    <cellStyle name="Comma 4 4 2 2 5 3 2" xfId="14711" xr:uid="{7DE2BAD3-553F-4DAF-B3EF-B7873933E6C0}"/>
    <cellStyle name="Comma 4 4 2 2 5 4" xfId="10493" xr:uid="{82AAB673-2532-4E69-95E7-7DFD9A97ED21}"/>
    <cellStyle name="Comma 4 4 2 2 6" xfId="2409" xr:uid="{00000000-0005-0000-0000-0000E0090000}"/>
    <cellStyle name="Comma 4 4 2 2 6 2" xfId="6695" xr:uid="{00000000-0005-0000-0000-0000E1090000}"/>
    <cellStyle name="Comma 4 4 2 2 6 2 2" xfId="15124" xr:uid="{248711D1-BAE0-4A90-9716-B1B432BC8939}"/>
    <cellStyle name="Comma 4 4 2 2 6 3" xfId="10906" xr:uid="{F8E813E6-8AB0-4897-8F96-7F064CB3FC3F}"/>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DFA6F41F-FE3C-4C99-A2A6-2401C0E76817}"/>
    <cellStyle name="Comma 4 4 2 2 8 3" xfId="11223" xr:uid="{A8482821-F7C3-451C-8625-73AAF768C74B}"/>
    <cellStyle name="Comma 4 4 2 2 9" xfId="4629" xr:uid="{00000000-0005-0000-0000-0000E5090000}"/>
    <cellStyle name="Comma 4 4 2 2 9 2" xfId="13058" xr:uid="{604C9B79-D98E-4CE1-8B8B-45AA98461CB6}"/>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8B849B98-25F2-475C-9A1D-BF14F02D0ADB}"/>
    <cellStyle name="Comma 4 4 2 3 2 3" xfId="11398" xr:uid="{2BCFCC4C-852F-436D-8F47-3E50700C7A55}"/>
    <cellStyle name="Comma 4 4 2 3 3" xfId="5042" xr:uid="{00000000-0005-0000-0000-0000E9090000}"/>
    <cellStyle name="Comma 4 4 2 3 3 2" xfId="13471" xr:uid="{9FF768F2-853A-4380-89BD-B537EA14DC91}"/>
    <cellStyle name="Comma 4 4 2 3 4" xfId="9253" xr:uid="{BE8403EC-CDEB-4A43-AF3C-0BC5B5931732}"/>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ABA7B402-E51A-46BD-A2FB-D5D0A5E832CF}"/>
    <cellStyle name="Comma 4 4 2 4 2 3" xfId="11811" xr:uid="{E0B759A9-D113-4946-A01E-CC3B84288913}"/>
    <cellStyle name="Comma 4 4 2 4 3" xfId="5455" xr:uid="{00000000-0005-0000-0000-0000ED090000}"/>
    <cellStyle name="Comma 4 4 2 4 3 2" xfId="13884" xr:uid="{5DA19759-0C9A-4F0E-AEEF-B1653C7EA29E}"/>
    <cellStyle name="Comma 4 4 2 4 4" xfId="9666" xr:uid="{DF6449D2-BF52-47D3-91E7-BEE9FFF2F34F}"/>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5F87AC4A-388A-48C6-8EBA-8DAFEBB8A94E}"/>
    <cellStyle name="Comma 4 4 2 5 2 3" xfId="12224" xr:uid="{BEDEB0F0-6997-43D3-9E24-0F7771256730}"/>
    <cellStyle name="Comma 4 4 2 5 3" xfId="5868" xr:uid="{00000000-0005-0000-0000-0000F1090000}"/>
    <cellStyle name="Comma 4 4 2 5 3 2" xfId="14297" xr:uid="{41C73981-930D-4F9C-8DFA-C0E22CDC241B}"/>
    <cellStyle name="Comma 4 4 2 5 4" xfId="10079" xr:uid="{CD184D64-0F24-430E-8DCD-CF740A210180}"/>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276ED7D7-7C04-4E14-B053-045E6CF8ACF0}"/>
    <cellStyle name="Comma 4 4 2 6 2 3" xfId="12637" xr:uid="{27C7D1A4-21B5-4239-9B6A-B37D84DADD77}"/>
    <cellStyle name="Comma 4 4 2 6 3" xfId="6281" xr:uid="{00000000-0005-0000-0000-0000F5090000}"/>
    <cellStyle name="Comma 4 4 2 6 3 2" xfId="14710" xr:uid="{1354773E-A8F0-4FE8-AE1D-53F4C9B93E37}"/>
    <cellStyle name="Comma 4 4 2 6 4" xfId="10492" xr:uid="{A3A9CBF6-CE12-410E-807E-A90DCEA2DFF5}"/>
    <cellStyle name="Comma 4 4 2 7" xfId="2408" xr:uid="{00000000-0005-0000-0000-0000F6090000}"/>
    <cellStyle name="Comma 4 4 2 7 2" xfId="6694" xr:uid="{00000000-0005-0000-0000-0000F7090000}"/>
    <cellStyle name="Comma 4 4 2 7 2 2" xfId="15123" xr:uid="{1EA2CA9A-6E9D-4E62-A7C4-62BB34DBACCC}"/>
    <cellStyle name="Comma 4 4 2 7 3" xfId="10905" xr:uid="{B7C36DCA-0EF7-413F-9020-9D869568666A}"/>
    <cellStyle name="Comma 4 4 2 8" xfId="2704" xr:uid="{00000000-0005-0000-0000-0000F8090000}"/>
    <cellStyle name="Comma 4 4 2 9" xfId="2786" xr:uid="{00000000-0005-0000-0000-0000F9090000}"/>
    <cellStyle name="Comma 4 4 2 9 2" xfId="7011" xr:uid="{00000000-0005-0000-0000-0000FA090000}"/>
    <cellStyle name="Comma 4 4 2 9 2 2" xfId="15440" xr:uid="{0F8C0321-EDAA-48AD-8FEA-6ECC59D7962B}"/>
    <cellStyle name="Comma 4 4 2 9 3" xfId="11222" xr:uid="{CB56EAD6-4115-45B3-AA0D-9D4D8076F27A}"/>
    <cellStyle name="Comma 4 4 3" xfId="156" xr:uid="{00000000-0005-0000-0000-0000FB090000}"/>
    <cellStyle name="Comma 4 4 3 10" xfId="8841" xr:uid="{5CB26F35-84BF-4F1E-9430-2E9FE74DBFF5}"/>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3CED4DE1-9E16-4566-BB5D-4AE2A1AC9F6B}"/>
    <cellStyle name="Comma 4 4 3 2 2 3" xfId="11400" xr:uid="{D4330D6E-B62B-419E-B584-3190B7F53057}"/>
    <cellStyle name="Comma 4 4 3 2 3" xfId="5044" xr:uid="{00000000-0005-0000-0000-0000FF090000}"/>
    <cellStyle name="Comma 4 4 3 2 3 2" xfId="13473" xr:uid="{8B605174-8FD9-4701-A5EB-647ADCF467A8}"/>
    <cellStyle name="Comma 4 4 3 2 4" xfId="9255" xr:uid="{75EA7EFC-4B07-4C20-B1D0-040B7E1A120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3797C955-29E6-47E9-8747-775A49927470}"/>
    <cellStyle name="Comma 4 4 3 3 2 3" xfId="11813" xr:uid="{03D7B82F-F09C-4FFF-9A28-DC9A94EA3FD0}"/>
    <cellStyle name="Comma 4 4 3 3 3" xfId="5457" xr:uid="{00000000-0005-0000-0000-0000030A0000}"/>
    <cellStyle name="Comma 4 4 3 3 3 2" xfId="13886" xr:uid="{C0F6ECBE-E802-4C78-8212-41BB9112DA44}"/>
    <cellStyle name="Comma 4 4 3 3 4" xfId="9668" xr:uid="{182438EC-63BE-4E7F-A0FB-ACBC5D4AEF8F}"/>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3B920DA3-B189-43B9-9269-1DB0ABAF5F6B}"/>
    <cellStyle name="Comma 4 4 3 4 2 3" xfId="12226" xr:uid="{A8189259-8196-4ADA-9314-D41687D6E79A}"/>
    <cellStyle name="Comma 4 4 3 4 3" xfId="5870" xr:uid="{00000000-0005-0000-0000-0000070A0000}"/>
    <cellStyle name="Comma 4 4 3 4 3 2" xfId="14299" xr:uid="{90F72B9F-CA5D-4E27-9AD0-F57B97A115EA}"/>
    <cellStyle name="Comma 4 4 3 4 4" xfId="10081" xr:uid="{8A29C7A3-1EE5-4588-9CD4-03276BA42127}"/>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501A018-E2A4-429D-BD42-1E252959AB17}"/>
    <cellStyle name="Comma 4 4 3 5 2 3" xfId="12639" xr:uid="{D31B1C96-7AAA-44D2-BB40-9BEA88A1A61B}"/>
    <cellStyle name="Comma 4 4 3 5 3" xfId="6283" xr:uid="{00000000-0005-0000-0000-00000B0A0000}"/>
    <cellStyle name="Comma 4 4 3 5 3 2" xfId="14712" xr:uid="{FA992AB6-CA7E-4735-8668-F17114E64500}"/>
    <cellStyle name="Comma 4 4 3 5 4" xfId="10494" xr:uid="{F863DA52-1D47-4240-8D1C-804BF2655306}"/>
    <cellStyle name="Comma 4 4 3 6" xfId="2410" xr:uid="{00000000-0005-0000-0000-00000C0A0000}"/>
    <cellStyle name="Comma 4 4 3 6 2" xfId="6696" xr:uid="{00000000-0005-0000-0000-00000D0A0000}"/>
    <cellStyle name="Comma 4 4 3 6 2 2" xfId="15125" xr:uid="{1DCD6987-2F93-4A29-B1F4-747F64565F0A}"/>
    <cellStyle name="Comma 4 4 3 6 3" xfId="10907" xr:uid="{4D9CCFA0-6C8C-4718-8CBF-F064976895F6}"/>
    <cellStyle name="Comma 4 4 3 7" xfId="2706" xr:uid="{00000000-0005-0000-0000-00000E0A0000}"/>
    <cellStyle name="Comma 4 4 3 8" xfId="2788" xr:uid="{00000000-0005-0000-0000-00000F0A0000}"/>
    <cellStyle name="Comma 4 4 3 8 2" xfId="7013" xr:uid="{00000000-0005-0000-0000-0000100A0000}"/>
    <cellStyle name="Comma 4 4 3 8 2 2" xfId="15442" xr:uid="{E5D1A425-6926-4DE2-B3F8-50D2C8B2071F}"/>
    <cellStyle name="Comma 4 4 3 8 3" xfId="11224" xr:uid="{3F951999-471D-4D23-888C-418B38FCCA3D}"/>
    <cellStyle name="Comma 4 4 3 9" xfId="4630" xr:uid="{00000000-0005-0000-0000-0000110A0000}"/>
    <cellStyle name="Comma 4 4 3 9 2" xfId="13059" xr:uid="{61BFA407-16AF-4BD1-A365-630190667528}"/>
    <cellStyle name="Comma 4 4 4" xfId="691" xr:uid="{00000000-0005-0000-0000-0000120A0000}"/>
    <cellStyle name="Comma 4 4 4 2" xfId="2962" xr:uid="{00000000-0005-0000-0000-0000130A0000}"/>
    <cellStyle name="Comma 4 4 4 2 2" xfId="7186" xr:uid="{00000000-0005-0000-0000-0000140A0000}"/>
    <cellStyle name="Comma 4 4 4 2 2 2" xfId="15615" xr:uid="{AECA776C-AE12-4A17-A1EB-3FF58A3AC9C0}"/>
    <cellStyle name="Comma 4 4 4 2 3" xfId="11397" xr:uid="{6EBF918D-B134-4848-9668-CE9896B76F67}"/>
    <cellStyle name="Comma 4 4 4 3" xfId="5041" xr:uid="{00000000-0005-0000-0000-0000150A0000}"/>
    <cellStyle name="Comma 4 4 4 3 2" xfId="13470" xr:uid="{A5ED68B5-B2F6-4B69-A3D2-7791EE8D0380}"/>
    <cellStyle name="Comma 4 4 4 4" xfId="9252" xr:uid="{01E5110B-2DA9-4345-B0C9-6D9B9B48F18D}"/>
    <cellStyle name="Comma 4 4 5" xfId="1144" xr:uid="{00000000-0005-0000-0000-0000160A0000}"/>
    <cellStyle name="Comma 4 4 5 2" xfId="3375" xr:uid="{00000000-0005-0000-0000-0000170A0000}"/>
    <cellStyle name="Comma 4 4 5 2 2" xfId="7599" xr:uid="{00000000-0005-0000-0000-0000180A0000}"/>
    <cellStyle name="Comma 4 4 5 2 2 2" xfId="16028" xr:uid="{9760F913-9220-4B36-8BF4-A116B75072F3}"/>
    <cellStyle name="Comma 4 4 5 2 3" xfId="11810" xr:uid="{EE980F47-78E4-4D93-BD79-74E975CC67B8}"/>
    <cellStyle name="Comma 4 4 5 3" xfId="5454" xr:uid="{00000000-0005-0000-0000-0000190A0000}"/>
    <cellStyle name="Comma 4 4 5 3 2" xfId="13883" xr:uid="{80A886B2-FB87-4A95-9279-F32771DBAE1D}"/>
    <cellStyle name="Comma 4 4 5 4" xfId="9665" xr:uid="{9A015EF2-FCE6-417A-8006-65EF78E9CD00}"/>
    <cellStyle name="Comma 4 4 6" xfId="1558" xr:uid="{00000000-0005-0000-0000-00001A0A0000}"/>
    <cellStyle name="Comma 4 4 6 2" xfId="3788" xr:uid="{00000000-0005-0000-0000-00001B0A0000}"/>
    <cellStyle name="Comma 4 4 6 2 2" xfId="8012" xr:uid="{00000000-0005-0000-0000-00001C0A0000}"/>
    <cellStyle name="Comma 4 4 6 2 2 2" xfId="16441" xr:uid="{BD536D74-339F-4C65-BB65-E25BBC43C015}"/>
    <cellStyle name="Comma 4 4 6 2 3" xfId="12223" xr:uid="{3096B3A7-DC68-4BCB-9516-4D2FCA1C012A}"/>
    <cellStyle name="Comma 4 4 6 3" xfId="5867" xr:uid="{00000000-0005-0000-0000-00001D0A0000}"/>
    <cellStyle name="Comma 4 4 6 3 2" xfId="14296" xr:uid="{6B1849EC-E088-4B33-BD69-17A054FFB2C0}"/>
    <cellStyle name="Comma 4 4 6 4" xfId="10078" xr:uid="{9A370A51-AD86-4716-8F72-4A9E168BEA32}"/>
    <cellStyle name="Comma 4 4 7" xfId="1972" xr:uid="{00000000-0005-0000-0000-00001E0A0000}"/>
    <cellStyle name="Comma 4 4 7 2" xfId="4201" xr:uid="{00000000-0005-0000-0000-00001F0A0000}"/>
    <cellStyle name="Comma 4 4 7 2 2" xfId="8425" xr:uid="{00000000-0005-0000-0000-0000200A0000}"/>
    <cellStyle name="Comma 4 4 7 2 2 2" xfId="16854" xr:uid="{94088239-03B5-4E27-87FF-EEE06EB79767}"/>
    <cellStyle name="Comma 4 4 7 2 3" xfId="12636" xr:uid="{2CB0A570-258A-49A9-BFBD-14131AABC549}"/>
    <cellStyle name="Comma 4 4 7 3" xfId="6280" xr:uid="{00000000-0005-0000-0000-0000210A0000}"/>
    <cellStyle name="Comma 4 4 7 3 2" xfId="14709" xr:uid="{1D758E56-367D-42DC-B310-0BB59F23BAFF}"/>
    <cellStyle name="Comma 4 4 7 4" xfId="10491" xr:uid="{7C680596-08DB-4B9A-89A7-9E3CFB4C559A}"/>
    <cellStyle name="Comma 4 4 8" xfId="2407" xr:uid="{00000000-0005-0000-0000-0000220A0000}"/>
    <cellStyle name="Comma 4 4 8 2" xfId="6693" xr:uid="{00000000-0005-0000-0000-0000230A0000}"/>
    <cellStyle name="Comma 4 4 8 2 2" xfId="15122" xr:uid="{99DAA7CB-D487-4D51-9D6B-6AC77E56D732}"/>
    <cellStyle name="Comma 4 4 8 3" xfId="10904" xr:uid="{AC2F7B04-5D9F-4BE8-84B1-72E6F106B2BB}"/>
    <cellStyle name="Comma 4 4 9" xfId="2703" xr:uid="{00000000-0005-0000-0000-0000240A0000}"/>
    <cellStyle name="Comma 4 5" xfId="157" xr:uid="{00000000-0005-0000-0000-0000250A0000}"/>
    <cellStyle name="Comma 4 5 10" xfId="4631" xr:uid="{00000000-0005-0000-0000-0000260A0000}"/>
    <cellStyle name="Comma 4 5 10 2" xfId="13060" xr:uid="{C4A86173-BA3D-408B-B448-17E17238302B}"/>
    <cellStyle name="Comma 4 5 11" xfId="8842" xr:uid="{09B949F3-40AD-409C-B094-D972D54BE6ED}"/>
    <cellStyle name="Comma 4 5 2" xfId="158" xr:uid="{00000000-0005-0000-0000-0000270A0000}"/>
    <cellStyle name="Comma 4 5 2 10" xfId="8843" xr:uid="{53FC96B7-DAC8-462A-A7E0-00E62541CEF7}"/>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6201940D-D527-4862-B5F2-FB5AB10B6FFB}"/>
    <cellStyle name="Comma 4 5 2 2 2 3" xfId="11402" xr:uid="{93179E6F-3DE2-4939-B494-92CB89C904C9}"/>
    <cellStyle name="Comma 4 5 2 2 3" xfId="5046" xr:uid="{00000000-0005-0000-0000-00002B0A0000}"/>
    <cellStyle name="Comma 4 5 2 2 3 2" xfId="13475" xr:uid="{1789877E-1C19-4F01-B4C2-78A367009145}"/>
    <cellStyle name="Comma 4 5 2 2 4" xfId="9257" xr:uid="{FAFE3D82-5CA2-4B90-911C-650BC3C3F558}"/>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6BEC4937-5C31-49D2-A39A-2B07C22A91A4}"/>
    <cellStyle name="Comma 4 5 2 3 2 3" xfId="11815" xr:uid="{F3A4BB96-CCCB-4D67-B73F-CAAD437CDF1C}"/>
    <cellStyle name="Comma 4 5 2 3 3" xfId="5459" xr:uid="{00000000-0005-0000-0000-00002F0A0000}"/>
    <cellStyle name="Comma 4 5 2 3 3 2" xfId="13888" xr:uid="{CB8ACD14-382B-4B15-B19A-2A8C2E1D4693}"/>
    <cellStyle name="Comma 4 5 2 3 4" xfId="9670" xr:uid="{BDBEC371-EBC3-42A2-B752-5C2E54521991}"/>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3F7804E0-DF24-4A16-BF05-79B0882EBA87}"/>
    <cellStyle name="Comma 4 5 2 4 2 3" xfId="12228" xr:uid="{3A11DC3F-1D22-40CB-B54B-F8A6828DEBDE}"/>
    <cellStyle name="Comma 4 5 2 4 3" xfId="5872" xr:uid="{00000000-0005-0000-0000-0000330A0000}"/>
    <cellStyle name="Comma 4 5 2 4 3 2" xfId="14301" xr:uid="{391B8476-510A-4B8B-9BA8-8F11F79F7551}"/>
    <cellStyle name="Comma 4 5 2 4 4" xfId="10083" xr:uid="{41016A5D-C595-4CAA-A05A-E17338FD43BE}"/>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0A81D3CF-790C-45AF-9C14-74E8561013DE}"/>
    <cellStyle name="Comma 4 5 2 5 2 3" xfId="12641" xr:uid="{F76288B6-E4D8-412E-97B7-E3B00B0C919D}"/>
    <cellStyle name="Comma 4 5 2 5 3" xfId="6285" xr:uid="{00000000-0005-0000-0000-0000370A0000}"/>
    <cellStyle name="Comma 4 5 2 5 3 2" xfId="14714" xr:uid="{84F323A3-E33C-4E55-9314-41C8D39FD4FF}"/>
    <cellStyle name="Comma 4 5 2 5 4" xfId="10496" xr:uid="{7384C49D-2088-48F2-B130-7D75341373FC}"/>
    <cellStyle name="Comma 4 5 2 6" xfId="2412" xr:uid="{00000000-0005-0000-0000-0000380A0000}"/>
    <cellStyle name="Comma 4 5 2 6 2" xfId="6698" xr:uid="{00000000-0005-0000-0000-0000390A0000}"/>
    <cellStyle name="Comma 4 5 2 6 2 2" xfId="15127" xr:uid="{3490CE0D-7083-4207-977A-B9A8D50CF864}"/>
    <cellStyle name="Comma 4 5 2 6 3" xfId="10909" xr:uid="{206C1F73-FF62-44A3-812C-E82F8FDE4606}"/>
    <cellStyle name="Comma 4 5 2 7" xfId="2708" xr:uid="{00000000-0005-0000-0000-00003A0A0000}"/>
    <cellStyle name="Comma 4 5 2 8" xfId="2790" xr:uid="{00000000-0005-0000-0000-00003B0A0000}"/>
    <cellStyle name="Comma 4 5 2 8 2" xfId="7015" xr:uid="{00000000-0005-0000-0000-00003C0A0000}"/>
    <cellStyle name="Comma 4 5 2 8 2 2" xfId="15444" xr:uid="{3D3A6810-E28C-4A4F-BD5C-3198E17FBADA}"/>
    <cellStyle name="Comma 4 5 2 8 3" xfId="11226" xr:uid="{9C15FFE3-E597-43A7-95F7-FA47C6DA5184}"/>
    <cellStyle name="Comma 4 5 2 9" xfId="4632" xr:uid="{00000000-0005-0000-0000-00003D0A0000}"/>
    <cellStyle name="Comma 4 5 2 9 2" xfId="13061" xr:uid="{7F4B086D-8F31-447E-91FF-B123D3708CEA}"/>
    <cellStyle name="Comma 4 5 3" xfId="695" xr:uid="{00000000-0005-0000-0000-00003E0A0000}"/>
    <cellStyle name="Comma 4 5 3 2" xfId="2966" xr:uid="{00000000-0005-0000-0000-00003F0A0000}"/>
    <cellStyle name="Comma 4 5 3 2 2" xfId="7190" xr:uid="{00000000-0005-0000-0000-0000400A0000}"/>
    <cellStyle name="Comma 4 5 3 2 2 2" xfId="15619" xr:uid="{AD162B6C-1A26-4E4E-973C-266D44E7B6F6}"/>
    <cellStyle name="Comma 4 5 3 2 3" xfId="11401" xr:uid="{6AA4194A-409D-4D1A-846A-6C8C624133F4}"/>
    <cellStyle name="Comma 4 5 3 3" xfId="5045" xr:uid="{00000000-0005-0000-0000-0000410A0000}"/>
    <cellStyle name="Comma 4 5 3 3 2" xfId="13474" xr:uid="{B6DD0900-99C8-478D-BC03-A97CD5AE7B92}"/>
    <cellStyle name="Comma 4 5 3 4" xfId="9256" xr:uid="{B72D94DE-4B1E-4174-B26F-6C80CADCF032}"/>
    <cellStyle name="Comma 4 5 4" xfId="1148" xr:uid="{00000000-0005-0000-0000-0000420A0000}"/>
    <cellStyle name="Comma 4 5 4 2" xfId="3379" xr:uid="{00000000-0005-0000-0000-0000430A0000}"/>
    <cellStyle name="Comma 4 5 4 2 2" xfId="7603" xr:uid="{00000000-0005-0000-0000-0000440A0000}"/>
    <cellStyle name="Comma 4 5 4 2 2 2" xfId="16032" xr:uid="{5B2AE96A-E882-454E-94AE-4EC253E4CEAE}"/>
    <cellStyle name="Comma 4 5 4 2 3" xfId="11814" xr:uid="{4EDDFFE4-5E66-4407-971D-CE4B2AE47E86}"/>
    <cellStyle name="Comma 4 5 4 3" xfId="5458" xr:uid="{00000000-0005-0000-0000-0000450A0000}"/>
    <cellStyle name="Comma 4 5 4 3 2" xfId="13887" xr:uid="{B9A9750A-1869-43CA-8EDB-74C1CA1B3F14}"/>
    <cellStyle name="Comma 4 5 4 4" xfId="9669" xr:uid="{17C05332-A3D7-4328-A93E-7D2A5B8F23EE}"/>
    <cellStyle name="Comma 4 5 5" xfId="1562" xr:uid="{00000000-0005-0000-0000-0000460A0000}"/>
    <cellStyle name="Comma 4 5 5 2" xfId="3792" xr:uid="{00000000-0005-0000-0000-0000470A0000}"/>
    <cellStyle name="Comma 4 5 5 2 2" xfId="8016" xr:uid="{00000000-0005-0000-0000-0000480A0000}"/>
    <cellStyle name="Comma 4 5 5 2 2 2" xfId="16445" xr:uid="{0D744584-8E7C-4F59-A22B-3E31780BEAD7}"/>
    <cellStyle name="Comma 4 5 5 2 3" xfId="12227" xr:uid="{BD30241E-8F01-4F76-B575-A378874957B4}"/>
    <cellStyle name="Comma 4 5 5 3" xfId="5871" xr:uid="{00000000-0005-0000-0000-0000490A0000}"/>
    <cellStyle name="Comma 4 5 5 3 2" xfId="14300" xr:uid="{5A85870A-3EB1-41E0-8EF2-BCCF5EA4CD29}"/>
    <cellStyle name="Comma 4 5 5 4" xfId="10082" xr:uid="{4F54AD09-0D92-4681-B546-4C9E4C4EC3AB}"/>
    <cellStyle name="Comma 4 5 6" xfId="1976" xr:uid="{00000000-0005-0000-0000-00004A0A0000}"/>
    <cellStyle name="Comma 4 5 6 2" xfId="4205" xr:uid="{00000000-0005-0000-0000-00004B0A0000}"/>
    <cellStyle name="Comma 4 5 6 2 2" xfId="8429" xr:uid="{00000000-0005-0000-0000-00004C0A0000}"/>
    <cellStyle name="Comma 4 5 6 2 2 2" xfId="16858" xr:uid="{54636B07-9ADD-49E2-9139-5AC021A385E7}"/>
    <cellStyle name="Comma 4 5 6 2 3" xfId="12640" xr:uid="{AE97F001-93D3-45E1-BC61-3C95BA2226AD}"/>
    <cellStyle name="Comma 4 5 6 3" xfId="6284" xr:uid="{00000000-0005-0000-0000-00004D0A0000}"/>
    <cellStyle name="Comma 4 5 6 3 2" xfId="14713" xr:uid="{C1AFEAE8-6448-4910-A99F-4464C23E3288}"/>
    <cellStyle name="Comma 4 5 6 4" xfId="10495" xr:uid="{988DA7CF-850D-4B51-AEB9-9C7C301B5144}"/>
    <cellStyle name="Comma 4 5 7" xfId="2411" xr:uid="{00000000-0005-0000-0000-00004E0A0000}"/>
    <cellStyle name="Comma 4 5 7 2" xfId="6697" xr:uid="{00000000-0005-0000-0000-00004F0A0000}"/>
    <cellStyle name="Comma 4 5 7 2 2" xfId="15126" xr:uid="{355879AB-4810-4B8D-9343-E25016FEE906}"/>
    <cellStyle name="Comma 4 5 7 3" xfId="10908" xr:uid="{F8B3F29B-BA75-41F3-A2D1-45806A270049}"/>
    <cellStyle name="Comma 4 5 8" xfId="2707" xr:uid="{00000000-0005-0000-0000-0000500A0000}"/>
    <cellStyle name="Comma 4 5 9" xfId="2789" xr:uid="{00000000-0005-0000-0000-0000510A0000}"/>
    <cellStyle name="Comma 4 5 9 2" xfId="7014" xr:uid="{00000000-0005-0000-0000-0000520A0000}"/>
    <cellStyle name="Comma 4 5 9 2 2" xfId="15443" xr:uid="{5173CF9D-9809-4C1B-BD12-9DD73BAED08E}"/>
    <cellStyle name="Comma 4 5 9 3" xfId="11225" xr:uid="{75994585-7D87-4328-9474-4C9BCE6227BE}"/>
    <cellStyle name="Comma 4 6" xfId="159" xr:uid="{00000000-0005-0000-0000-0000530A0000}"/>
    <cellStyle name="Comma 4 6 10" xfId="8844" xr:uid="{6A8F1ACF-7012-48B0-A493-7C56FEBB5805}"/>
    <cellStyle name="Comma 4 6 2" xfId="697" xr:uid="{00000000-0005-0000-0000-0000540A0000}"/>
    <cellStyle name="Comma 4 6 2 2" xfId="2968" xr:uid="{00000000-0005-0000-0000-0000550A0000}"/>
    <cellStyle name="Comma 4 6 2 2 2" xfId="7192" xr:uid="{00000000-0005-0000-0000-0000560A0000}"/>
    <cellStyle name="Comma 4 6 2 2 2 2" xfId="15621" xr:uid="{6CA36BA0-A8CB-48A9-B70A-A6C052F9306C}"/>
    <cellStyle name="Comma 4 6 2 2 3" xfId="11403" xr:uid="{A424A4A5-51A3-48E5-95F9-4DA18F6B329A}"/>
    <cellStyle name="Comma 4 6 2 3" xfId="5047" xr:uid="{00000000-0005-0000-0000-0000570A0000}"/>
    <cellStyle name="Comma 4 6 2 3 2" xfId="13476" xr:uid="{DFCB3826-C58C-4A22-80E0-24E4300BA530}"/>
    <cellStyle name="Comma 4 6 2 4" xfId="9258" xr:uid="{D42071CF-5D1D-468F-AD8C-F354E8BF6543}"/>
    <cellStyle name="Comma 4 6 3" xfId="1150" xr:uid="{00000000-0005-0000-0000-0000580A0000}"/>
    <cellStyle name="Comma 4 6 3 2" xfId="3381" xr:uid="{00000000-0005-0000-0000-0000590A0000}"/>
    <cellStyle name="Comma 4 6 3 2 2" xfId="7605" xr:uid="{00000000-0005-0000-0000-00005A0A0000}"/>
    <cellStyle name="Comma 4 6 3 2 2 2" xfId="16034" xr:uid="{C80EF471-A3C2-40C0-9F8E-B0817F2B9E60}"/>
    <cellStyle name="Comma 4 6 3 2 3" xfId="11816" xr:uid="{6687B715-C42F-4ADB-98A2-FA9CE3A7FE11}"/>
    <cellStyle name="Comma 4 6 3 3" xfId="5460" xr:uid="{00000000-0005-0000-0000-00005B0A0000}"/>
    <cellStyle name="Comma 4 6 3 3 2" xfId="13889" xr:uid="{B1B49EFF-D9EA-44AD-8BFD-17B0324DCBD7}"/>
    <cellStyle name="Comma 4 6 3 4" xfId="9671" xr:uid="{9F3FEB29-5475-4DE6-9033-F96609FE43F7}"/>
    <cellStyle name="Comma 4 6 4" xfId="1564" xr:uid="{00000000-0005-0000-0000-00005C0A0000}"/>
    <cellStyle name="Comma 4 6 4 2" xfId="3794" xr:uid="{00000000-0005-0000-0000-00005D0A0000}"/>
    <cellStyle name="Comma 4 6 4 2 2" xfId="8018" xr:uid="{00000000-0005-0000-0000-00005E0A0000}"/>
    <cellStyle name="Comma 4 6 4 2 2 2" xfId="16447" xr:uid="{9FCD9F43-42DD-49D7-9629-7D47F6731759}"/>
    <cellStyle name="Comma 4 6 4 2 3" xfId="12229" xr:uid="{D81CF4BD-3266-4B05-ABA6-87E1B1BD9EA4}"/>
    <cellStyle name="Comma 4 6 4 3" xfId="5873" xr:uid="{00000000-0005-0000-0000-00005F0A0000}"/>
    <cellStyle name="Comma 4 6 4 3 2" xfId="14302" xr:uid="{A93BA2B9-397A-4FF9-918F-DEB71EDEEB6B}"/>
    <cellStyle name="Comma 4 6 4 4" xfId="10084" xr:uid="{D03288D8-6E08-4AEE-A0FB-BAE903F31D18}"/>
    <cellStyle name="Comma 4 6 5" xfId="1978" xr:uid="{00000000-0005-0000-0000-0000600A0000}"/>
    <cellStyle name="Comma 4 6 5 2" xfId="4207" xr:uid="{00000000-0005-0000-0000-0000610A0000}"/>
    <cellStyle name="Comma 4 6 5 2 2" xfId="8431" xr:uid="{00000000-0005-0000-0000-0000620A0000}"/>
    <cellStyle name="Comma 4 6 5 2 2 2" xfId="16860" xr:uid="{8EFAE377-F683-46E1-B34E-01C85A894B4F}"/>
    <cellStyle name="Comma 4 6 5 2 3" xfId="12642" xr:uid="{B4120DAB-0581-45F9-AFB9-4E53CD3F726B}"/>
    <cellStyle name="Comma 4 6 5 3" xfId="6286" xr:uid="{00000000-0005-0000-0000-0000630A0000}"/>
    <cellStyle name="Comma 4 6 5 3 2" xfId="14715" xr:uid="{BE49A3A3-C2C6-43ED-888A-D555A069FA4F}"/>
    <cellStyle name="Comma 4 6 5 4" xfId="10497" xr:uid="{3AC3A386-BC6E-4EC0-9673-D05EDCB906AC}"/>
    <cellStyle name="Comma 4 6 6" xfId="2413" xr:uid="{00000000-0005-0000-0000-0000640A0000}"/>
    <cellStyle name="Comma 4 6 6 2" xfId="6699" xr:uid="{00000000-0005-0000-0000-0000650A0000}"/>
    <cellStyle name="Comma 4 6 6 2 2" xfId="15128" xr:uid="{084F5EDB-26BC-4488-9963-BF50D3D743A1}"/>
    <cellStyle name="Comma 4 6 6 3" xfId="10910" xr:uid="{55823E3E-B554-40BD-BC39-0866FD0F8C19}"/>
    <cellStyle name="Comma 4 6 7" xfId="2709" xr:uid="{00000000-0005-0000-0000-0000660A0000}"/>
    <cellStyle name="Comma 4 6 8" xfId="2791" xr:uid="{00000000-0005-0000-0000-0000670A0000}"/>
    <cellStyle name="Comma 4 6 8 2" xfId="7016" xr:uid="{00000000-0005-0000-0000-0000680A0000}"/>
    <cellStyle name="Comma 4 6 8 2 2" xfId="15445" xr:uid="{90B96BCD-AEC2-4C9D-A69A-04010AC19C85}"/>
    <cellStyle name="Comma 4 6 8 3" xfId="11227" xr:uid="{82489CCB-7F6C-407E-8723-8CB906F69A8A}"/>
    <cellStyle name="Comma 4 6 9" xfId="4633" xr:uid="{00000000-0005-0000-0000-0000690A0000}"/>
    <cellStyle name="Comma 4 6 9 2" xfId="13062" xr:uid="{A0533EF3-FF4F-4C40-8A14-055F95C53D05}"/>
    <cellStyle name="Comma 4 7" xfId="160" xr:uid="{00000000-0005-0000-0000-00006A0A0000}"/>
    <cellStyle name="Comma 4 7 10" xfId="8845" xr:uid="{729B497C-03BD-4ED3-818D-51A91B2B1EE0}"/>
    <cellStyle name="Comma 4 7 2" xfId="698" xr:uid="{00000000-0005-0000-0000-00006B0A0000}"/>
    <cellStyle name="Comma 4 7 2 2" xfId="2969" xr:uid="{00000000-0005-0000-0000-00006C0A0000}"/>
    <cellStyle name="Comma 4 7 2 2 2" xfId="7193" xr:uid="{00000000-0005-0000-0000-00006D0A0000}"/>
    <cellStyle name="Comma 4 7 2 2 2 2" xfId="15622" xr:uid="{21435A15-92D2-4C86-94BD-931EA389953E}"/>
    <cellStyle name="Comma 4 7 2 2 3" xfId="11404" xr:uid="{C15201F7-7B48-4ACD-875A-F120AE47F078}"/>
    <cellStyle name="Comma 4 7 2 3" xfId="5048" xr:uid="{00000000-0005-0000-0000-00006E0A0000}"/>
    <cellStyle name="Comma 4 7 2 3 2" xfId="13477" xr:uid="{9145A3CB-D218-498E-83E5-0C5270509309}"/>
    <cellStyle name="Comma 4 7 2 4" xfId="9259" xr:uid="{5A60FFFA-668A-433A-B861-FAB17BE02B33}"/>
    <cellStyle name="Comma 4 7 3" xfId="1151" xr:uid="{00000000-0005-0000-0000-00006F0A0000}"/>
    <cellStyle name="Comma 4 7 3 2" xfId="3382" xr:uid="{00000000-0005-0000-0000-0000700A0000}"/>
    <cellStyle name="Comma 4 7 3 2 2" xfId="7606" xr:uid="{00000000-0005-0000-0000-0000710A0000}"/>
    <cellStyle name="Comma 4 7 3 2 2 2" xfId="16035" xr:uid="{2A6E8850-9A8B-44A6-882D-210B3B120A7A}"/>
    <cellStyle name="Comma 4 7 3 2 3" xfId="11817" xr:uid="{FDA0933F-A125-420F-8368-88AD4704649A}"/>
    <cellStyle name="Comma 4 7 3 3" xfId="5461" xr:uid="{00000000-0005-0000-0000-0000720A0000}"/>
    <cellStyle name="Comma 4 7 3 3 2" xfId="13890" xr:uid="{611292CE-F959-4EF9-97AD-073B11CD1521}"/>
    <cellStyle name="Comma 4 7 3 4" xfId="9672" xr:uid="{4771DA99-A11D-4332-BF57-64CEF4E64D45}"/>
    <cellStyle name="Comma 4 7 4" xfId="1565" xr:uid="{00000000-0005-0000-0000-0000730A0000}"/>
    <cellStyle name="Comma 4 7 4 2" xfId="3795" xr:uid="{00000000-0005-0000-0000-0000740A0000}"/>
    <cellStyle name="Comma 4 7 4 2 2" xfId="8019" xr:uid="{00000000-0005-0000-0000-0000750A0000}"/>
    <cellStyle name="Comma 4 7 4 2 2 2" xfId="16448" xr:uid="{43853FB8-9117-4069-A909-A3182D15DD56}"/>
    <cellStyle name="Comma 4 7 4 2 3" xfId="12230" xr:uid="{1A6D31E4-D2CA-47A2-AA78-973B2B4F17C3}"/>
    <cellStyle name="Comma 4 7 4 3" xfId="5874" xr:uid="{00000000-0005-0000-0000-0000760A0000}"/>
    <cellStyle name="Comma 4 7 4 3 2" xfId="14303" xr:uid="{B65E47C4-6A99-4752-9DF7-5CC78804D75D}"/>
    <cellStyle name="Comma 4 7 4 4" xfId="10085" xr:uid="{4AF8A25D-4CDF-4E7D-8C68-8CFE4D033781}"/>
    <cellStyle name="Comma 4 7 5" xfId="1979" xr:uid="{00000000-0005-0000-0000-0000770A0000}"/>
    <cellStyle name="Comma 4 7 5 2" xfId="4208" xr:uid="{00000000-0005-0000-0000-0000780A0000}"/>
    <cellStyle name="Comma 4 7 5 2 2" xfId="8432" xr:uid="{00000000-0005-0000-0000-0000790A0000}"/>
    <cellStyle name="Comma 4 7 5 2 2 2" xfId="16861" xr:uid="{1FCDF416-EDC4-4390-9AB5-F59962A90D91}"/>
    <cellStyle name="Comma 4 7 5 2 3" xfId="12643" xr:uid="{5A396CBF-EE31-4C20-80DF-D00FDE92AD3A}"/>
    <cellStyle name="Comma 4 7 5 3" xfId="6287" xr:uid="{00000000-0005-0000-0000-00007A0A0000}"/>
    <cellStyle name="Comma 4 7 5 3 2" xfId="14716" xr:uid="{0BA433E8-75F8-4E88-BBB6-3AB222129E3C}"/>
    <cellStyle name="Comma 4 7 5 4" xfId="10498" xr:uid="{039682EE-6D61-4371-A1BA-9F02821808CC}"/>
    <cellStyle name="Comma 4 7 6" xfId="2414" xr:uid="{00000000-0005-0000-0000-00007B0A0000}"/>
    <cellStyle name="Comma 4 7 6 2" xfId="6700" xr:uid="{00000000-0005-0000-0000-00007C0A0000}"/>
    <cellStyle name="Comma 4 7 6 2 2" xfId="15129" xr:uid="{9673EACD-DDA7-4642-BCC4-BAB57DBD8082}"/>
    <cellStyle name="Comma 4 7 6 3" xfId="10911" xr:uid="{A5B3F63C-A158-4E3E-BAAD-A46C351EFE28}"/>
    <cellStyle name="Comma 4 7 7" xfId="2710" xr:uid="{00000000-0005-0000-0000-00007D0A0000}"/>
    <cellStyle name="Comma 4 7 8" xfId="2792" xr:uid="{00000000-0005-0000-0000-00007E0A0000}"/>
    <cellStyle name="Comma 4 7 8 2" xfId="7017" xr:uid="{00000000-0005-0000-0000-00007F0A0000}"/>
    <cellStyle name="Comma 4 7 8 2 2" xfId="15446" xr:uid="{D348B37A-ACEE-4608-A856-CEC46C14AE6C}"/>
    <cellStyle name="Comma 4 7 8 3" xfId="11228" xr:uid="{C0A51163-F71A-4037-A2BD-F7BE8D425A9C}"/>
    <cellStyle name="Comma 4 7 9" xfId="4634" xr:uid="{00000000-0005-0000-0000-0000800A0000}"/>
    <cellStyle name="Comma 4 7 9 2" xfId="13063" xr:uid="{51402014-E224-45E3-8720-2D6BA7A44AC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97682D83-12A5-4C11-BC54-8C03B30186E1}"/>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D59F4563-0F6D-4DA2-BF60-A4B8B4784AD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513246B0-DD8F-4C70-8A9B-362BD972A77F}"/>
    <cellStyle name="Currency 3 2 2 10 3" xfId="11229" xr:uid="{E3A1D01E-EA6A-4CAB-BDE5-1131C2360CD3}"/>
    <cellStyle name="Currency 3 2 2 11" xfId="4635" xr:uid="{00000000-0005-0000-0000-0000A50A0000}"/>
    <cellStyle name="Currency 3 2 2 11 2" xfId="13064" xr:uid="{A7C8A9A6-1493-4B06-BB3D-744DF9A38A81}"/>
    <cellStyle name="Currency 3 2 2 12" xfId="8846" xr:uid="{05258223-6C89-44A0-A760-9ECF17F22E66}"/>
    <cellStyle name="Currency 3 2 2 2" xfId="179" xr:uid="{00000000-0005-0000-0000-0000A60A0000}"/>
    <cellStyle name="Currency 3 2 2 2 10" xfId="4636" xr:uid="{00000000-0005-0000-0000-0000A70A0000}"/>
    <cellStyle name="Currency 3 2 2 2 10 2" xfId="13065" xr:uid="{26E3E98F-36AE-4DAD-AB57-7D6DF9CC276E}"/>
    <cellStyle name="Currency 3 2 2 2 11" xfId="8847" xr:uid="{68A0836A-FB71-409B-B3B0-C7F98A6BA644}"/>
    <cellStyle name="Currency 3 2 2 2 2" xfId="180" xr:uid="{00000000-0005-0000-0000-0000A80A0000}"/>
    <cellStyle name="Currency 3 2 2 2 2 10" xfId="8848" xr:uid="{57D23F38-86B4-4629-9A16-DEA039FF3A6E}"/>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87441EDB-37F8-4BE8-AA54-A38CCB761A9D}"/>
    <cellStyle name="Currency 3 2 2 2 2 2 2 3" xfId="11407" xr:uid="{6630A939-F359-4376-9557-6083A7D37314}"/>
    <cellStyle name="Currency 3 2 2 2 2 2 3" xfId="5051" xr:uid="{00000000-0005-0000-0000-0000AC0A0000}"/>
    <cellStyle name="Currency 3 2 2 2 2 2 3 2" xfId="13480" xr:uid="{F3F6EE2D-3656-4856-8A68-AF2D1159ACC6}"/>
    <cellStyle name="Currency 3 2 2 2 2 2 4" xfId="9262" xr:uid="{03C1D278-4A89-4126-8690-C90D552E18E5}"/>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11BD5792-2273-4D7C-808D-3F388EBC8493}"/>
    <cellStyle name="Currency 3 2 2 2 2 3 2 3" xfId="11820" xr:uid="{53A4BF6F-CDF2-49AF-A8BF-4766EB7F1A00}"/>
    <cellStyle name="Currency 3 2 2 2 2 3 3" xfId="5464" xr:uid="{00000000-0005-0000-0000-0000B00A0000}"/>
    <cellStyle name="Currency 3 2 2 2 2 3 3 2" xfId="13893" xr:uid="{8B5D8233-EFC8-4A94-BF1F-A176FCDF768E}"/>
    <cellStyle name="Currency 3 2 2 2 2 3 4" xfId="9675" xr:uid="{BB644CF0-BBB6-499F-81B1-B7169B4D53ED}"/>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E726CD0B-5947-47ED-957D-8E687CEFAE00}"/>
    <cellStyle name="Currency 3 2 2 2 2 4 2 3" xfId="12233" xr:uid="{54EB309F-ACEF-4CCE-BFDF-CA98994E5800}"/>
    <cellStyle name="Currency 3 2 2 2 2 4 3" xfId="5877" xr:uid="{00000000-0005-0000-0000-0000B40A0000}"/>
    <cellStyle name="Currency 3 2 2 2 2 4 3 2" xfId="14306" xr:uid="{73AE7CF0-19AE-4BB0-AF68-B0755CD7F42A}"/>
    <cellStyle name="Currency 3 2 2 2 2 4 4" xfId="10088" xr:uid="{04E2549D-6237-41E1-B640-75A77FD9A55E}"/>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A8464299-E2EE-46E8-826D-65CB46E1E1F4}"/>
    <cellStyle name="Currency 3 2 2 2 2 5 2 3" xfId="12646" xr:uid="{E048CBBB-2562-41F9-9463-5E2233E1AF50}"/>
    <cellStyle name="Currency 3 2 2 2 2 5 3" xfId="6290" xr:uid="{00000000-0005-0000-0000-0000B80A0000}"/>
    <cellStyle name="Currency 3 2 2 2 2 5 3 2" xfId="14719" xr:uid="{03A7CA23-2D3B-4B95-9DBC-A659ED25F214}"/>
    <cellStyle name="Currency 3 2 2 2 2 5 4" xfId="10501" xr:uid="{85B0272B-6BCF-45A2-81BD-F60926B32360}"/>
    <cellStyle name="Currency 3 2 2 2 2 6" xfId="2417" xr:uid="{00000000-0005-0000-0000-0000B90A0000}"/>
    <cellStyle name="Currency 3 2 2 2 2 6 2" xfId="6703" xr:uid="{00000000-0005-0000-0000-0000BA0A0000}"/>
    <cellStyle name="Currency 3 2 2 2 2 6 2 2" xfId="15132" xr:uid="{946EDE51-D7AA-42B7-8A99-7EA34B8AB3A0}"/>
    <cellStyle name="Currency 3 2 2 2 2 6 3" xfId="10914" xr:uid="{83456650-14AB-4439-831A-EE646ECE10D5}"/>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83537B7C-A89D-4E79-80DE-8ADC9C707CC1}"/>
    <cellStyle name="Currency 3 2 2 2 2 8 3" xfId="11231" xr:uid="{6673D24D-D88F-49E1-9EC4-5BDD959076DB}"/>
    <cellStyle name="Currency 3 2 2 2 2 9" xfId="4637" xr:uid="{00000000-0005-0000-0000-0000BE0A0000}"/>
    <cellStyle name="Currency 3 2 2 2 2 9 2" xfId="13066" xr:uid="{B0BB98FC-AEFF-41CA-8DC4-43F35F474A37}"/>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A68321CA-ED66-44A9-930C-9E118967ADF3}"/>
    <cellStyle name="Currency 3 2 2 2 3 2 3" xfId="11406" xr:uid="{AE445BF9-7EE9-4FA7-B298-E71C3FF4F43D}"/>
    <cellStyle name="Currency 3 2 2 2 3 3" xfId="5050" xr:uid="{00000000-0005-0000-0000-0000C20A0000}"/>
    <cellStyle name="Currency 3 2 2 2 3 3 2" xfId="13479" xr:uid="{FCD38213-EA74-486D-9509-FA9A91380F8C}"/>
    <cellStyle name="Currency 3 2 2 2 3 4" xfId="9261" xr:uid="{3C588D1B-2B68-4B78-9754-83667827926C}"/>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6A517848-A6CC-4316-B40F-0743F8B85FBB}"/>
    <cellStyle name="Currency 3 2 2 2 4 2 3" xfId="11819" xr:uid="{3A9C4A4E-1AB3-42FB-AA96-80004AD96288}"/>
    <cellStyle name="Currency 3 2 2 2 4 3" xfId="5463" xr:uid="{00000000-0005-0000-0000-0000C60A0000}"/>
    <cellStyle name="Currency 3 2 2 2 4 3 2" xfId="13892" xr:uid="{C42AD5F1-79ED-447B-A162-CD55599F6134}"/>
    <cellStyle name="Currency 3 2 2 2 4 4" xfId="9674" xr:uid="{7CA20471-53AF-44BF-A9F0-F7677593BE25}"/>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FB1F9742-4521-40EA-82EC-FDAF4669B61D}"/>
    <cellStyle name="Currency 3 2 2 2 5 2 3" xfId="12232" xr:uid="{20CF5D58-E12F-4FA7-B600-2F4FDAF39872}"/>
    <cellStyle name="Currency 3 2 2 2 5 3" xfId="5876" xr:uid="{00000000-0005-0000-0000-0000CA0A0000}"/>
    <cellStyle name="Currency 3 2 2 2 5 3 2" xfId="14305" xr:uid="{12301E73-CC7F-4791-B214-3B03274FA606}"/>
    <cellStyle name="Currency 3 2 2 2 5 4" xfId="10087" xr:uid="{2EAFDE28-9966-47AD-99EA-0A5474381D46}"/>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DC7C1A1B-35E5-404D-B689-ADBD18374F59}"/>
    <cellStyle name="Currency 3 2 2 2 6 2 3" xfId="12645" xr:uid="{64970D3F-1006-4276-8FB9-FAA7738AB2A3}"/>
    <cellStyle name="Currency 3 2 2 2 6 3" xfId="6289" xr:uid="{00000000-0005-0000-0000-0000CE0A0000}"/>
    <cellStyle name="Currency 3 2 2 2 6 3 2" xfId="14718" xr:uid="{E1256C73-8588-4FBB-A2BE-EC25D123709C}"/>
    <cellStyle name="Currency 3 2 2 2 6 4" xfId="10500" xr:uid="{E3ACEB7C-8691-4C2C-AFDA-CE2B2245D0A1}"/>
    <cellStyle name="Currency 3 2 2 2 7" xfId="2416" xr:uid="{00000000-0005-0000-0000-0000CF0A0000}"/>
    <cellStyle name="Currency 3 2 2 2 7 2" xfId="6702" xr:uid="{00000000-0005-0000-0000-0000D00A0000}"/>
    <cellStyle name="Currency 3 2 2 2 7 2 2" xfId="15131" xr:uid="{4EF3ABC5-DAD0-4AE7-9323-155797960B62}"/>
    <cellStyle name="Currency 3 2 2 2 7 3" xfId="10913" xr:uid="{6A1B9916-4DB9-42B6-A6B8-07B069EFC28A}"/>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0EF736A2-6FC1-4A16-BAFC-5A72EFF603BE}"/>
    <cellStyle name="Currency 3 2 2 2 9 3" xfId="11230" xr:uid="{EDF8D8E7-CE16-4A12-8E9C-B3D2E80F62C0}"/>
    <cellStyle name="Currency 3 2 2 3" xfId="181" xr:uid="{00000000-0005-0000-0000-0000D40A0000}"/>
    <cellStyle name="Currency 3 2 2 3 10" xfId="8849" xr:uid="{9DBE2F4C-22D7-4D4F-834F-296F8002BF5B}"/>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1301609C-70AF-4E0C-AB89-FF42E2477E32}"/>
    <cellStyle name="Currency 3 2 2 3 2 2 3" xfId="11408" xr:uid="{C2814E12-406E-4ADD-98EC-0626E968E0D9}"/>
    <cellStyle name="Currency 3 2 2 3 2 3" xfId="5052" xr:uid="{00000000-0005-0000-0000-0000D80A0000}"/>
    <cellStyle name="Currency 3 2 2 3 2 3 2" xfId="13481" xr:uid="{1A812319-22BB-4815-A400-69BBDE06D88E}"/>
    <cellStyle name="Currency 3 2 2 3 2 4" xfId="9263" xr:uid="{F6ECF66B-637C-4A01-AC51-6CF820A21985}"/>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B6413CB7-4539-4FA2-A395-B506F2186BB9}"/>
    <cellStyle name="Currency 3 2 2 3 3 2 3" xfId="11821" xr:uid="{E27CEC40-CDC8-485C-87F0-A3CD4740772E}"/>
    <cellStyle name="Currency 3 2 2 3 3 3" xfId="5465" xr:uid="{00000000-0005-0000-0000-0000DC0A0000}"/>
    <cellStyle name="Currency 3 2 2 3 3 3 2" xfId="13894" xr:uid="{0454F6FD-63F2-4E4F-8E0F-838F2A4A7D2E}"/>
    <cellStyle name="Currency 3 2 2 3 3 4" xfId="9676" xr:uid="{E1147D59-0A0E-4BC6-B620-81023B3E34A4}"/>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94700031-271D-4B38-BE3D-2544FC0E7C98}"/>
    <cellStyle name="Currency 3 2 2 3 4 2 3" xfId="12234" xr:uid="{30E31209-2612-4013-BA17-16E1AA571429}"/>
    <cellStyle name="Currency 3 2 2 3 4 3" xfId="5878" xr:uid="{00000000-0005-0000-0000-0000E00A0000}"/>
    <cellStyle name="Currency 3 2 2 3 4 3 2" xfId="14307" xr:uid="{5B1E8F03-4B64-499E-8815-90ADA1BA98CE}"/>
    <cellStyle name="Currency 3 2 2 3 4 4" xfId="10089" xr:uid="{43A111A5-5C4B-4614-86DD-59B7C9869327}"/>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99FF2691-6D95-4009-92B0-CFEAEFCFFE3A}"/>
    <cellStyle name="Currency 3 2 2 3 5 2 3" xfId="12647" xr:uid="{54ABED75-7E99-4294-8BCC-8AEF31E7D7B4}"/>
    <cellStyle name="Currency 3 2 2 3 5 3" xfId="6291" xr:uid="{00000000-0005-0000-0000-0000E40A0000}"/>
    <cellStyle name="Currency 3 2 2 3 5 3 2" xfId="14720" xr:uid="{53B665BB-6604-4D10-BE19-9AA640AC3FDE}"/>
    <cellStyle name="Currency 3 2 2 3 5 4" xfId="10502" xr:uid="{76769FAF-F91A-483E-A87C-08D5D6723BC3}"/>
    <cellStyle name="Currency 3 2 2 3 6" xfId="2418" xr:uid="{00000000-0005-0000-0000-0000E50A0000}"/>
    <cellStyle name="Currency 3 2 2 3 6 2" xfId="6704" xr:uid="{00000000-0005-0000-0000-0000E60A0000}"/>
    <cellStyle name="Currency 3 2 2 3 6 2 2" xfId="15133" xr:uid="{16B32123-6BB7-4467-9625-B712B891E915}"/>
    <cellStyle name="Currency 3 2 2 3 6 3" xfId="10915" xr:uid="{DE9BEE8D-00C5-488B-862A-640D989050EB}"/>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22892CD4-C697-4C9B-A68F-BC14F056B4E0}"/>
    <cellStyle name="Currency 3 2 2 3 8 3" xfId="11232" xr:uid="{F4BF1C9A-4871-4CAB-A89C-C1A3D21DF83B}"/>
    <cellStyle name="Currency 3 2 2 3 9" xfId="4638" xr:uid="{00000000-0005-0000-0000-0000EA0A0000}"/>
    <cellStyle name="Currency 3 2 2 3 9 2" xfId="13067" xr:uid="{4B91C23A-C4A4-43E3-8D54-F5C20A6CCC3C}"/>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EFFBB098-349D-43CF-BBC0-59A691F2CDF1}"/>
    <cellStyle name="Currency 3 2 2 4 2 3" xfId="11405" xr:uid="{98AE8108-8F8A-42F4-BDBA-FB5E64EA2BEC}"/>
    <cellStyle name="Currency 3 2 2 4 3" xfId="5049" xr:uid="{00000000-0005-0000-0000-0000EE0A0000}"/>
    <cellStyle name="Currency 3 2 2 4 3 2" xfId="13478" xr:uid="{6BF7FA9E-7F2B-41AE-9FF8-9494AB32F942}"/>
    <cellStyle name="Currency 3 2 2 4 4" xfId="9260" xr:uid="{EBEF68B5-01FD-4BDD-8C61-A99623EF3706}"/>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993AD7F2-2009-48AC-81C6-36D9FA93DDE1}"/>
    <cellStyle name="Currency 3 2 2 5 2 3" xfId="11818" xr:uid="{E7A857C8-4178-49C0-B305-55D42DD552CB}"/>
    <cellStyle name="Currency 3 2 2 5 3" xfId="5462" xr:uid="{00000000-0005-0000-0000-0000F20A0000}"/>
    <cellStyle name="Currency 3 2 2 5 3 2" xfId="13891" xr:uid="{0C413A9A-7D7F-4BC5-A79C-FB17647F67E0}"/>
    <cellStyle name="Currency 3 2 2 5 4" xfId="9673" xr:uid="{0193E715-7A50-40CC-ADAE-592933135AED}"/>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F90700A1-E186-409D-8BE4-8DA786D1E928}"/>
    <cellStyle name="Currency 3 2 2 6 2 3" xfId="12231" xr:uid="{3CBC67FC-BB68-44D6-B4E1-9DFF3B0D4CBB}"/>
    <cellStyle name="Currency 3 2 2 6 3" xfId="5875" xr:uid="{00000000-0005-0000-0000-0000F60A0000}"/>
    <cellStyle name="Currency 3 2 2 6 3 2" xfId="14304" xr:uid="{983383DC-524A-4B5A-8049-4C2D884715C9}"/>
    <cellStyle name="Currency 3 2 2 6 4" xfId="10086" xr:uid="{A6274E14-1EC5-4C7B-936D-9820DE806F0F}"/>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BBB8D0A1-4718-4156-80F9-E434E24DB51F}"/>
    <cellStyle name="Currency 3 2 2 7 2 3" xfId="12644" xr:uid="{B2A05B35-67F8-4A8D-849B-EC81B6361500}"/>
    <cellStyle name="Currency 3 2 2 7 3" xfId="6288" xr:uid="{00000000-0005-0000-0000-0000FA0A0000}"/>
    <cellStyle name="Currency 3 2 2 7 3 2" xfId="14717" xr:uid="{BE334C26-3C81-4F1D-8FE4-43D64D563537}"/>
    <cellStyle name="Currency 3 2 2 7 4" xfId="10499" xr:uid="{C7A66291-527D-4515-B5AD-B14D9064D53E}"/>
    <cellStyle name="Currency 3 2 2 8" xfId="2415" xr:uid="{00000000-0005-0000-0000-0000FB0A0000}"/>
    <cellStyle name="Currency 3 2 2 8 2" xfId="6701" xr:uid="{00000000-0005-0000-0000-0000FC0A0000}"/>
    <cellStyle name="Currency 3 2 2 8 2 2" xfId="15130" xr:uid="{3A34B25F-6E74-4359-A86F-CD9E4E3982E0}"/>
    <cellStyle name="Currency 3 2 2 8 3" xfId="10912" xr:uid="{9EEE8E58-8249-4A97-85EF-E2CE3F1938D9}"/>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F79AED8F-7D3A-4D3A-B2BD-CEE1CB6498D0}"/>
    <cellStyle name="Currency 3 2 3 11" xfId="8850" xr:uid="{F4B1E649-4F2F-4334-A4EE-DB28F6A27A56}"/>
    <cellStyle name="Currency 3 2 3 2" xfId="183" xr:uid="{00000000-0005-0000-0000-0000000B0000}"/>
    <cellStyle name="Currency 3 2 3 2 10" xfId="8851" xr:uid="{3B0A27F0-9B2D-4E40-8DA2-113304AE4A11}"/>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3356DB39-9A26-47FD-9B1F-5500BBC60922}"/>
    <cellStyle name="Currency 3 2 3 2 2 2 3" xfId="11410" xr:uid="{B374AAEF-67A3-4F20-8E02-7A1AF384FCD7}"/>
    <cellStyle name="Currency 3 2 3 2 2 3" xfId="5054" xr:uid="{00000000-0005-0000-0000-0000040B0000}"/>
    <cellStyle name="Currency 3 2 3 2 2 3 2" xfId="13483" xr:uid="{C0FCA544-A051-4051-B60C-F633C8DAE3AA}"/>
    <cellStyle name="Currency 3 2 3 2 2 4" xfId="9265" xr:uid="{A44EBF78-DFD1-45F6-A67B-915ECDD07FEF}"/>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56F324BE-64F2-4EC2-A373-9933D9AB34DA}"/>
    <cellStyle name="Currency 3 2 3 2 3 2 3" xfId="11823" xr:uid="{9740F04C-8601-4A83-A24A-E8BE9E5E9C9C}"/>
    <cellStyle name="Currency 3 2 3 2 3 3" xfId="5467" xr:uid="{00000000-0005-0000-0000-0000080B0000}"/>
    <cellStyle name="Currency 3 2 3 2 3 3 2" xfId="13896" xr:uid="{D702C13F-DB6F-4836-A324-8330B876E1D7}"/>
    <cellStyle name="Currency 3 2 3 2 3 4" xfId="9678" xr:uid="{367D5C1B-D105-411D-BB38-E63C05354FF7}"/>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5A754F3E-9BAE-4356-BCF0-232D9827B9F0}"/>
    <cellStyle name="Currency 3 2 3 2 4 2 3" xfId="12236" xr:uid="{46E4369C-8D9D-4D70-8475-40FA0E850DE5}"/>
    <cellStyle name="Currency 3 2 3 2 4 3" xfId="5880" xr:uid="{00000000-0005-0000-0000-00000C0B0000}"/>
    <cellStyle name="Currency 3 2 3 2 4 3 2" xfId="14309" xr:uid="{07BCB8A7-6A85-4926-A296-B92A0EF81F4D}"/>
    <cellStyle name="Currency 3 2 3 2 4 4" xfId="10091" xr:uid="{A682A077-7366-456A-8A71-DC3C8192962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A0C5E7C9-A5FD-4533-840F-3B2C37E10742}"/>
    <cellStyle name="Currency 3 2 3 2 5 2 3" xfId="12649" xr:uid="{8F011772-2591-48BB-8F6D-907F98F4F513}"/>
    <cellStyle name="Currency 3 2 3 2 5 3" xfId="6293" xr:uid="{00000000-0005-0000-0000-0000100B0000}"/>
    <cellStyle name="Currency 3 2 3 2 5 3 2" xfId="14722" xr:uid="{42A9FBE9-3293-44CA-88C6-6EFC6E9E5EC2}"/>
    <cellStyle name="Currency 3 2 3 2 5 4" xfId="10504" xr:uid="{76DAB289-6623-4B8F-827F-A296F40EEB89}"/>
    <cellStyle name="Currency 3 2 3 2 6" xfId="2420" xr:uid="{00000000-0005-0000-0000-0000110B0000}"/>
    <cellStyle name="Currency 3 2 3 2 6 2" xfId="6706" xr:uid="{00000000-0005-0000-0000-0000120B0000}"/>
    <cellStyle name="Currency 3 2 3 2 6 2 2" xfId="15135" xr:uid="{2D4EA869-1A7F-4988-A018-8809C74A4F8E}"/>
    <cellStyle name="Currency 3 2 3 2 6 3" xfId="10917" xr:uid="{AF9E5A56-2CB2-4D70-8A93-B782CC5CF15A}"/>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5AA84614-DA02-498F-B5A7-37434191FE92}"/>
    <cellStyle name="Currency 3 2 3 2 8 3" xfId="11234" xr:uid="{8EF3A51B-E5A6-49DA-BBC7-F5437CBF2E26}"/>
    <cellStyle name="Currency 3 2 3 2 9" xfId="4640" xr:uid="{00000000-0005-0000-0000-0000160B0000}"/>
    <cellStyle name="Currency 3 2 3 2 9 2" xfId="13069" xr:uid="{CD8EA658-E67A-4BAB-AAAD-5067D7A2ECB5}"/>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AD33DDD3-3BDA-4D92-9D2A-957478A5A438}"/>
    <cellStyle name="Currency 3 2 3 3 2 3" xfId="11409" xr:uid="{F6BA8201-009E-4184-86DB-0D1EC81C6F85}"/>
    <cellStyle name="Currency 3 2 3 3 3" xfId="5053" xr:uid="{00000000-0005-0000-0000-00001A0B0000}"/>
    <cellStyle name="Currency 3 2 3 3 3 2" xfId="13482" xr:uid="{C998E46B-DE3F-4916-8166-110AFCC00320}"/>
    <cellStyle name="Currency 3 2 3 3 4" xfId="9264" xr:uid="{1CB20221-45C2-472F-8117-2B2B1B73FC23}"/>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84A4346D-EA8E-49DE-928B-CDDE03AA799E}"/>
    <cellStyle name="Currency 3 2 3 4 2 3" xfId="11822" xr:uid="{3BDAEE69-E004-4C77-B3A5-F844A2D119DC}"/>
    <cellStyle name="Currency 3 2 3 4 3" xfId="5466" xr:uid="{00000000-0005-0000-0000-00001E0B0000}"/>
    <cellStyle name="Currency 3 2 3 4 3 2" xfId="13895" xr:uid="{B9A9090F-9F23-4B9B-A348-A0F23FFA81A0}"/>
    <cellStyle name="Currency 3 2 3 4 4" xfId="9677" xr:uid="{789ABF68-A275-4DE9-B0B9-F7DB870F7AA9}"/>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C8E216B7-6892-4302-A9FA-EB16DC62D081}"/>
    <cellStyle name="Currency 3 2 3 5 2 3" xfId="12235" xr:uid="{11C6C94E-0940-4AF5-929C-75C49C94BB53}"/>
    <cellStyle name="Currency 3 2 3 5 3" xfId="5879" xr:uid="{00000000-0005-0000-0000-0000220B0000}"/>
    <cellStyle name="Currency 3 2 3 5 3 2" xfId="14308" xr:uid="{8495D8E2-A67A-4F4A-BE41-8FDB94E4B5BD}"/>
    <cellStyle name="Currency 3 2 3 5 4" xfId="10090" xr:uid="{FB8A9CFB-94EF-4BAB-A63B-3AE29B4822C4}"/>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A2F23D83-702E-463C-8A6A-D40194250A23}"/>
    <cellStyle name="Currency 3 2 3 6 2 3" xfId="12648" xr:uid="{4D4E42A7-B940-4964-BDE3-9BA9C821A923}"/>
    <cellStyle name="Currency 3 2 3 6 3" xfId="6292" xr:uid="{00000000-0005-0000-0000-0000260B0000}"/>
    <cellStyle name="Currency 3 2 3 6 3 2" xfId="14721" xr:uid="{32604CB2-EF65-4393-AE7E-0378640A8058}"/>
    <cellStyle name="Currency 3 2 3 6 4" xfId="10503" xr:uid="{39188A5E-23A0-44E3-AD52-2F45B6B54903}"/>
    <cellStyle name="Currency 3 2 3 7" xfId="2419" xr:uid="{00000000-0005-0000-0000-0000270B0000}"/>
    <cellStyle name="Currency 3 2 3 7 2" xfId="6705" xr:uid="{00000000-0005-0000-0000-0000280B0000}"/>
    <cellStyle name="Currency 3 2 3 7 2 2" xfId="15134" xr:uid="{87DC0FBE-5344-4CF3-977B-A44458E9D53D}"/>
    <cellStyle name="Currency 3 2 3 7 3" xfId="10916" xr:uid="{4A799263-21A9-45C8-B3C1-1BF851B66B84}"/>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2CC526BD-7C49-47D2-B4ED-54E9FA97D162}"/>
    <cellStyle name="Currency 3 2 3 9 3" xfId="11233" xr:uid="{8D84EB1D-6DD4-4E03-A988-FA3F790FF1E6}"/>
    <cellStyle name="Currency 3 2 4" xfId="184" xr:uid="{00000000-0005-0000-0000-00002C0B0000}"/>
    <cellStyle name="Currency 3 2 4 10" xfId="8852" xr:uid="{6B67EAD7-0B56-4A19-B55B-EC3207DD2E1F}"/>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851884B6-092B-45A8-A7B0-B57C925BF1C7}"/>
    <cellStyle name="Currency 3 2 4 2 2 3" xfId="11411" xr:uid="{A4C8CD80-F831-4462-9035-836AEE7D4AA9}"/>
    <cellStyle name="Currency 3 2 4 2 3" xfId="5055" xr:uid="{00000000-0005-0000-0000-0000300B0000}"/>
    <cellStyle name="Currency 3 2 4 2 3 2" xfId="13484" xr:uid="{609B1DEE-26DD-48B2-93C0-2B5812066B5C}"/>
    <cellStyle name="Currency 3 2 4 2 4" xfId="9266" xr:uid="{DEEAB223-B3ED-422A-9DB3-FC5B25BAA69F}"/>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1287742D-FF81-435B-8D8D-46F632EE81CB}"/>
    <cellStyle name="Currency 3 2 4 3 2 3" xfId="11824" xr:uid="{FD60A0BD-AAF3-4498-9397-EA825C7D7B20}"/>
    <cellStyle name="Currency 3 2 4 3 3" xfId="5468" xr:uid="{00000000-0005-0000-0000-0000340B0000}"/>
    <cellStyle name="Currency 3 2 4 3 3 2" xfId="13897" xr:uid="{13DD23C0-B285-4C0C-A723-32E3A8965E68}"/>
    <cellStyle name="Currency 3 2 4 3 4" xfId="9679" xr:uid="{3E31B3F8-CCC1-416A-87EF-7F460175F579}"/>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F123D96F-037D-468F-8FDC-CA99CB076E7B}"/>
    <cellStyle name="Currency 3 2 4 4 2 3" xfId="12237" xr:uid="{8B15BCBC-DDD7-4EAD-8793-5A91E35F851B}"/>
    <cellStyle name="Currency 3 2 4 4 3" xfId="5881" xr:uid="{00000000-0005-0000-0000-0000380B0000}"/>
    <cellStyle name="Currency 3 2 4 4 3 2" xfId="14310" xr:uid="{7D1C4CA1-F436-4B0C-B837-26BB2401692A}"/>
    <cellStyle name="Currency 3 2 4 4 4" xfId="10092" xr:uid="{F8537691-A609-479F-9BAF-BC6922282A86}"/>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CAC60793-2084-4FDA-97D9-5A4316A280D4}"/>
    <cellStyle name="Currency 3 2 4 5 2 3" xfId="12650" xr:uid="{C59707F2-5728-4DB7-8D8C-D31B04E3A0E1}"/>
    <cellStyle name="Currency 3 2 4 5 3" xfId="6294" xr:uid="{00000000-0005-0000-0000-00003C0B0000}"/>
    <cellStyle name="Currency 3 2 4 5 3 2" xfId="14723" xr:uid="{985A2A9A-44D4-4A97-A4CA-86026960DE63}"/>
    <cellStyle name="Currency 3 2 4 5 4" xfId="10505" xr:uid="{AFD0BB39-A37C-4F4F-9192-24DBB82E6EC1}"/>
    <cellStyle name="Currency 3 2 4 6" xfId="2421" xr:uid="{00000000-0005-0000-0000-00003D0B0000}"/>
    <cellStyle name="Currency 3 2 4 6 2" xfId="6707" xr:uid="{00000000-0005-0000-0000-00003E0B0000}"/>
    <cellStyle name="Currency 3 2 4 6 2 2" xfId="15136" xr:uid="{7932DF9E-D4F3-4DFE-81E3-73AB39B4EEE8}"/>
    <cellStyle name="Currency 3 2 4 6 3" xfId="10918" xr:uid="{5F5F4C88-7775-4B89-B9C0-41BCD37B5C84}"/>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1386AFBF-406D-452B-AA3E-DBD2C8690738}"/>
    <cellStyle name="Currency 3 2 4 8 3" xfId="11235" xr:uid="{03269844-5F86-41C2-8E85-000DC6420401}"/>
    <cellStyle name="Currency 3 2 4 9" xfId="4641" xr:uid="{00000000-0005-0000-0000-0000420B0000}"/>
    <cellStyle name="Currency 3 2 4 9 2" xfId="13070" xr:uid="{070B9E72-6A38-445C-A97F-57AF79CCC3D0}"/>
    <cellStyle name="Currency 3 2 5" xfId="185" xr:uid="{00000000-0005-0000-0000-0000430B0000}"/>
    <cellStyle name="Currency 3 2 5 10" xfId="8853" xr:uid="{41DE204C-B953-4697-8207-9157B9118CEA}"/>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7373D44A-006C-4D58-BF23-157F7F0049E9}"/>
    <cellStyle name="Currency 3 2 5 2 2 3" xfId="11412" xr:uid="{AF107A6E-917E-412C-BCB7-7FAAF6C7F6ED}"/>
    <cellStyle name="Currency 3 2 5 2 3" xfId="5056" xr:uid="{00000000-0005-0000-0000-0000470B0000}"/>
    <cellStyle name="Currency 3 2 5 2 3 2" xfId="13485" xr:uid="{0D782D23-59A4-47E1-AFF4-9A911A65E2E4}"/>
    <cellStyle name="Currency 3 2 5 2 4" xfId="9267" xr:uid="{30C8A14C-7743-48B7-A762-CCDF931272A5}"/>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1DF9C9B6-1047-4F43-90B9-D0655E30BFA5}"/>
    <cellStyle name="Currency 3 2 5 3 2 3" xfId="11825" xr:uid="{2607572F-C39A-4A9C-96E5-22D4E62B2E29}"/>
    <cellStyle name="Currency 3 2 5 3 3" xfId="5469" xr:uid="{00000000-0005-0000-0000-00004B0B0000}"/>
    <cellStyle name="Currency 3 2 5 3 3 2" xfId="13898" xr:uid="{75812D79-2D65-47E6-BDCB-1B220B371226}"/>
    <cellStyle name="Currency 3 2 5 3 4" xfId="9680" xr:uid="{B4A14F3A-4868-46CD-8B08-5EABB8B34588}"/>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A738F010-9D39-4807-909D-C7FBFB8B4284}"/>
    <cellStyle name="Currency 3 2 5 4 2 3" xfId="12238" xr:uid="{B51E0941-48F0-4FD1-A880-6744BC21E0F1}"/>
    <cellStyle name="Currency 3 2 5 4 3" xfId="5882" xr:uid="{00000000-0005-0000-0000-00004F0B0000}"/>
    <cellStyle name="Currency 3 2 5 4 3 2" xfId="14311" xr:uid="{5742FADB-FB7D-4FB5-B19C-31D69FA7D299}"/>
    <cellStyle name="Currency 3 2 5 4 4" xfId="10093" xr:uid="{2A606E38-B6DB-45AA-BC1D-EB7E466336D8}"/>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9ABA8234-87E0-403B-A65F-E0B3FFDEAA19}"/>
    <cellStyle name="Currency 3 2 5 5 2 3" xfId="12651" xr:uid="{0F692292-3A7D-49FC-B55E-5F44008541C2}"/>
    <cellStyle name="Currency 3 2 5 5 3" xfId="6295" xr:uid="{00000000-0005-0000-0000-0000530B0000}"/>
    <cellStyle name="Currency 3 2 5 5 3 2" xfId="14724" xr:uid="{EDB4EC05-9741-4805-A183-ED293E0CE482}"/>
    <cellStyle name="Currency 3 2 5 5 4" xfId="10506" xr:uid="{44A0E755-F36D-42C7-A0B3-97107BAA9A87}"/>
    <cellStyle name="Currency 3 2 5 6" xfId="2422" xr:uid="{00000000-0005-0000-0000-0000540B0000}"/>
    <cellStyle name="Currency 3 2 5 6 2" xfId="6708" xr:uid="{00000000-0005-0000-0000-0000550B0000}"/>
    <cellStyle name="Currency 3 2 5 6 2 2" xfId="15137" xr:uid="{F85E859C-1310-477A-8FE7-A2C7DC4309E2}"/>
    <cellStyle name="Currency 3 2 5 6 3" xfId="10919" xr:uid="{8DD021A5-57AC-4F12-8A31-399D616E977F}"/>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88EB500C-65A2-4E9C-95BE-0F4F85FAD174}"/>
    <cellStyle name="Currency 3 2 5 8 3" xfId="11236" xr:uid="{C7222FA8-9422-47AB-878D-222098DB3E93}"/>
    <cellStyle name="Currency 3 2 5 9" xfId="4642" xr:uid="{00000000-0005-0000-0000-0000590B0000}"/>
    <cellStyle name="Currency 3 2 5 9 2" xfId="13071" xr:uid="{AF964DD7-65E4-4BA6-A244-53D3E59CD01E}"/>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51EBE440-ACE9-41B6-918E-086826D46D80}"/>
    <cellStyle name="Currency 5 2 2 2 10 3" xfId="11237" xr:uid="{FFD31EF3-067F-445B-9709-0AF6CE3A421D}"/>
    <cellStyle name="Currency 5 2 2 2 11" xfId="4643" xr:uid="{00000000-0005-0000-0000-00006C0B0000}"/>
    <cellStyle name="Currency 5 2 2 2 11 2" xfId="13072" xr:uid="{5E0A4580-60CE-41B4-8FFC-DB29DC0E229F}"/>
    <cellStyle name="Currency 5 2 2 2 12" xfId="8854" xr:uid="{2734D137-2C5C-4030-B70C-4064AF8284D2}"/>
    <cellStyle name="Currency 5 2 2 2 2" xfId="197" xr:uid="{00000000-0005-0000-0000-00006D0B0000}"/>
    <cellStyle name="Currency 5 2 2 2 2 10" xfId="4644" xr:uid="{00000000-0005-0000-0000-00006E0B0000}"/>
    <cellStyle name="Currency 5 2 2 2 2 10 2" xfId="13073" xr:uid="{DB567FB9-B94E-42DB-A030-4B5499533118}"/>
    <cellStyle name="Currency 5 2 2 2 2 11" xfId="8855" xr:uid="{1BFD20F3-5CD0-4EAB-875A-F98858892F2B}"/>
    <cellStyle name="Currency 5 2 2 2 2 2" xfId="198" xr:uid="{00000000-0005-0000-0000-00006F0B0000}"/>
    <cellStyle name="Currency 5 2 2 2 2 2 10" xfId="8856" xr:uid="{1795A36E-5FD8-44F9-9519-D5FDB701A209}"/>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810E3A02-4C21-49A4-93B5-0788DE7596A7}"/>
    <cellStyle name="Currency 5 2 2 2 2 2 2 2 3" xfId="11415" xr:uid="{F5A0E636-AB57-4BD9-88A4-8B307128CDC5}"/>
    <cellStyle name="Currency 5 2 2 2 2 2 2 3" xfId="5059" xr:uid="{00000000-0005-0000-0000-0000730B0000}"/>
    <cellStyle name="Currency 5 2 2 2 2 2 2 3 2" xfId="13488" xr:uid="{BED5BF2D-B96B-4A54-8937-1119788AACD8}"/>
    <cellStyle name="Currency 5 2 2 2 2 2 2 4" xfId="9270" xr:uid="{0BF2C346-F7C9-4E14-ADDF-8A98889C63CF}"/>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937567F3-C8E7-4867-99E4-332035AA6E37}"/>
    <cellStyle name="Currency 5 2 2 2 2 2 3 2 3" xfId="11828" xr:uid="{4AB36AF2-D614-4DE6-A2A5-2490B46BAB61}"/>
    <cellStyle name="Currency 5 2 2 2 2 2 3 3" xfId="5472" xr:uid="{00000000-0005-0000-0000-0000770B0000}"/>
    <cellStyle name="Currency 5 2 2 2 2 2 3 3 2" xfId="13901" xr:uid="{375EC937-96E4-4907-873C-3E8597520435}"/>
    <cellStyle name="Currency 5 2 2 2 2 2 3 4" xfId="9683" xr:uid="{5D8914F7-E0BC-4F7F-B37F-15A0A5E3A0CF}"/>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1EAF04C1-7966-4167-81A4-A276EC0EE61B}"/>
    <cellStyle name="Currency 5 2 2 2 2 2 4 2 3" xfId="12241" xr:uid="{AC39676F-5990-4ACA-BB35-B6AC3311FFB1}"/>
    <cellStyle name="Currency 5 2 2 2 2 2 4 3" xfId="5885" xr:uid="{00000000-0005-0000-0000-00007B0B0000}"/>
    <cellStyle name="Currency 5 2 2 2 2 2 4 3 2" xfId="14314" xr:uid="{38436BCC-5079-4D46-9601-29E3DA735B5F}"/>
    <cellStyle name="Currency 5 2 2 2 2 2 4 4" xfId="10096" xr:uid="{3C0320C5-63B8-4F8E-BD59-6A118047E16F}"/>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059BCABA-3B0E-4F6D-8AC0-16B9F8320224}"/>
    <cellStyle name="Currency 5 2 2 2 2 2 5 2 3" xfId="12654" xr:uid="{330B2F01-E1F9-404B-9841-99AE27BEF4EA}"/>
    <cellStyle name="Currency 5 2 2 2 2 2 5 3" xfId="6298" xr:uid="{00000000-0005-0000-0000-00007F0B0000}"/>
    <cellStyle name="Currency 5 2 2 2 2 2 5 3 2" xfId="14727" xr:uid="{69545E67-43AD-4499-837E-865970BA930B}"/>
    <cellStyle name="Currency 5 2 2 2 2 2 5 4" xfId="10509" xr:uid="{8153F736-A730-4D31-B230-CF14218F8CB5}"/>
    <cellStyle name="Currency 5 2 2 2 2 2 6" xfId="2425" xr:uid="{00000000-0005-0000-0000-0000800B0000}"/>
    <cellStyle name="Currency 5 2 2 2 2 2 6 2" xfId="6711" xr:uid="{00000000-0005-0000-0000-0000810B0000}"/>
    <cellStyle name="Currency 5 2 2 2 2 2 6 2 2" xfId="15140" xr:uid="{1A40DF96-1099-4E22-B988-2A397DEE2105}"/>
    <cellStyle name="Currency 5 2 2 2 2 2 6 3" xfId="10922" xr:uid="{182EF575-AFD5-4B64-9C24-0AD3CF7B54BD}"/>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7C599B0D-C9A7-4B73-9F8A-71DAB7AB4B2C}"/>
    <cellStyle name="Currency 5 2 2 2 2 2 8 3" xfId="11239" xr:uid="{613262AC-8923-4270-9519-F3ABD8A85512}"/>
    <cellStyle name="Currency 5 2 2 2 2 2 9" xfId="4645" xr:uid="{00000000-0005-0000-0000-0000850B0000}"/>
    <cellStyle name="Currency 5 2 2 2 2 2 9 2" xfId="13074" xr:uid="{B9EC4966-74F6-4D51-B86F-F1D2A0FFE7D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A9958EC2-9A08-487F-A677-4568997B5F92}"/>
    <cellStyle name="Currency 5 2 2 2 2 3 2 3" xfId="11414" xr:uid="{8E7F595C-45CD-4DAB-A849-6C89C93BA3FA}"/>
    <cellStyle name="Currency 5 2 2 2 2 3 3" xfId="5058" xr:uid="{00000000-0005-0000-0000-0000890B0000}"/>
    <cellStyle name="Currency 5 2 2 2 2 3 3 2" xfId="13487" xr:uid="{0DA7CC4B-9B41-4D31-B96A-7CC1E26C4DF4}"/>
    <cellStyle name="Currency 5 2 2 2 2 3 4" xfId="9269" xr:uid="{25C47F6F-88C9-4953-B7EF-E5E53139D41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74BCC17C-6C2F-4F71-B713-BAC5B00A5C00}"/>
    <cellStyle name="Currency 5 2 2 2 2 4 2 3" xfId="11827" xr:uid="{8994923E-77CE-43D7-82B9-EB12C96E67CC}"/>
    <cellStyle name="Currency 5 2 2 2 2 4 3" xfId="5471" xr:uid="{00000000-0005-0000-0000-00008D0B0000}"/>
    <cellStyle name="Currency 5 2 2 2 2 4 3 2" xfId="13900" xr:uid="{000E4F2F-F7AB-4C78-ABD6-21E21F58D56F}"/>
    <cellStyle name="Currency 5 2 2 2 2 4 4" xfId="9682" xr:uid="{45C107FB-CC03-4BC6-B083-DF35D3384D45}"/>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36E08347-DC54-4836-8D26-19EE3D53629B}"/>
    <cellStyle name="Currency 5 2 2 2 2 5 2 3" xfId="12240" xr:uid="{4F55AABD-74D2-451B-842D-75311D29201B}"/>
    <cellStyle name="Currency 5 2 2 2 2 5 3" xfId="5884" xr:uid="{00000000-0005-0000-0000-0000910B0000}"/>
    <cellStyle name="Currency 5 2 2 2 2 5 3 2" xfId="14313" xr:uid="{E3A0D438-7F67-4C47-AFC2-14CC2318C3D0}"/>
    <cellStyle name="Currency 5 2 2 2 2 5 4" xfId="10095" xr:uid="{BAD4BC56-6E96-4B1E-892B-4515BF2A9945}"/>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E51DDB15-2A9C-4681-8930-B7FF5C6BD1E3}"/>
    <cellStyle name="Currency 5 2 2 2 2 6 2 3" xfId="12653" xr:uid="{1D230967-32C2-4AAF-8DCD-E52881BFB239}"/>
    <cellStyle name="Currency 5 2 2 2 2 6 3" xfId="6297" xr:uid="{00000000-0005-0000-0000-0000950B0000}"/>
    <cellStyle name="Currency 5 2 2 2 2 6 3 2" xfId="14726" xr:uid="{93132CFD-3D9D-46D9-A934-896CD1620EF8}"/>
    <cellStyle name="Currency 5 2 2 2 2 6 4" xfId="10508" xr:uid="{4FCCDE71-DAD4-407C-9108-D509B1A16033}"/>
    <cellStyle name="Currency 5 2 2 2 2 7" xfId="2424" xr:uid="{00000000-0005-0000-0000-0000960B0000}"/>
    <cellStyle name="Currency 5 2 2 2 2 7 2" xfId="6710" xr:uid="{00000000-0005-0000-0000-0000970B0000}"/>
    <cellStyle name="Currency 5 2 2 2 2 7 2 2" xfId="15139" xr:uid="{D614DBC6-DD71-43D9-A3A9-AC9AA9812C5E}"/>
    <cellStyle name="Currency 5 2 2 2 2 7 3" xfId="10921" xr:uid="{8C696B77-7FA5-4CED-8631-27EFC00910E8}"/>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2B5C4BC7-912E-4DF8-B7ED-80A835D29A6F}"/>
    <cellStyle name="Currency 5 2 2 2 2 9 3" xfId="11238" xr:uid="{E554D398-2C58-4B53-8F3F-D8BDCF543773}"/>
    <cellStyle name="Currency 5 2 2 2 3" xfId="199" xr:uid="{00000000-0005-0000-0000-00009B0B0000}"/>
    <cellStyle name="Currency 5 2 2 2 3 10" xfId="8857" xr:uid="{34715801-4E62-474E-99AD-C2CD090721F5}"/>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34EAC992-9BB5-4FAE-AE8E-9143D65FEFA3}"/>
    <cellStyle name="Currency 5 2 2 2 3 2 2 3" xfId="11416" xr:uid="{113A07BB-BDB1-468E-A178-FD29DE9C2FED}"/>
    <cellStyle name="Currency 5 2 2 2 3 2 3" xfId="5060" xr:uid="{00000000-0005-0000-0000-00009F0B0000}"/>
    <cellStyle name="Currency 5 2 2 2 3 2 3 2" xfId="13489" xr:uid="{43C2E3C1-AF77-498D-9961-302D7B9EB50B}"/>
    <cellStyle name="Currency 5 2 2 2 3 2 4" xfId="9271" xr:uid="{31D01908-7088-41B5-9EAF-5384614CECC9}"/>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B311161F-05FB-46AA-848E-A7CE3CBC83AB}"/>
    <cellStyle name="Currency 5 2 2 2 3 3 2 3" xfId="11829" xr:uid="{CC84E468-56C5-489B-A1FB-18ED1E673580}"/>
    <cellStyle name="Currency 5 2 2 2 3 3 3" xfId="5473" xr:uid="{00000000-0005-0000-0000-0000A30B0000}"/>
    <cellStyle name="Currency 5 2 2 2 3 3 3 2" xfId="13902" xr:uid="{D67C4D09-D8F1-48CD-A845-0FDA627BCD1D}"/>
    <cellStyle name="Currency 5 2 2 2 3 3 4" xfId="9684" xr:uid="{AEF7633C-A293-4195-A46C-C6DF998F8B97}"/>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C777F769-0927-4732-9C16-29145C29D895}"/>
    <cellStyle name="Currency 5 2 2 2 3 4 2 3" xfId="12242" xr:uid="{DA72BB99-36F2-4C1E-8408-86F69C9BAC12}"/>
    <cellStyle name="Currency 5 2 2 2 3 4 3" xfId="5886" xr:uid="{00000000-0005-0000-0000-0000A70B0000}"/>
    <cellStyle name="Currency 5 2 2 2 3 4 3 2" xfId="14315" xr:uid="{CC6D162F-CB90-4881-8AFB-F275B59706D5}"/>
    <cellStyle name="Currency 5 2 2 2 3 4 4" xfId="10097" xr:uid="{885DEF36-96BB-42FC-9930-EA0B410A9DCD}"/>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8BB975D4-3FDB-476D-8CF0-0D7E08AC9B14}"/>
    <cellStyle name="Currency 5 2 2 2 3 5 2 3" xfId="12655" xr:uid="{97F35A8F-FDD2-49B0-BE55-6F0A5D0AC785}"/>
    <cellStyle name="Currency 5 2 2 2 3 5 3" xfId="6299" xr:uid="{00000000-0005-0000-0000-0000AB0B0000}"/>
    <cellStyle name="Currency 5 2 2 2 3 5 3 2" xfId="14728" xr:uid="{1B5E992D-7CEC-4A88-A68D-1DB5BF86E185}"/>
    <cellStyle name="Currency 5 2 2 2 3 5 4" xfId="10510" xr:uid="{C92A5238-BBEF-4D65-AA84-E4C470451E11}"/>
    <cellStyle name="Currency 5 2 2 2 3 6" xfId="2426" xr:uid="{00000000-0005-0000-0000-0000AC0B0000}"/>
    <cellStyle name="Currency 5 2 2 2 3 6 2" xfId="6712" xr:uid="{00000000-0005-0000-0000-0000AD0B0000}"/>
    <cellStyle name="Currency 5 2 2 2 3 6 2 2" xfId="15141" xr:uid="{CC5368C5-0355-4367-9E1B-DEB3F5F0D273}"/>
    <cellStyle name="Currency 5 2 2 2 3 6 3" xfId="10923" xr:uid="{66AD610B-3417-4DAF-BE93-FFACC542777F}"/>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50597878-0ACF-49C5-9CC8-63E2DC3C1406}"/>
    <cellStyle name="Currency 5 2 2 2 3 8 3" xfId="11240" xr:uid="{45767E30-DA46-4F59-85E8-8E198AD9E722}"/>
    <cellStyle name="Currency 5 2 2 2 3 9" xfId="4646" xr:uid="{00000000-0005-0000-0000-0000B10B0000}"/>
    <cellStyle name="Currency 5 2 2 2 3 9 2" xfId="13075" xr:uid="{6B23E9A7-8062-4A4B-B60F-4DB024F046E2}"/>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F1AED15A-B86D-4B1B-AAA7-7D3E75CCF9DE}"/>
    <cellStyle name="Currency 5 2 2 2 4 2 3" xfId="11413" xr:uid="{2B0DB340-FF8D-43C5-9CA8-3E1EAB31BB8E}"/>
    <cellStyle name="Currency 5 2 2 2 4 3" xfId="5057" xr:uid="{00000000-0005-0000-0000-0000B50B0000}"/>
    <cellStyle name="Currency 5 2 2 2 4 3 2" xfId="13486" xr:uid="{A9611542-E149-42F9-B548-C2B97159C561}"/>
    <cellStyle name="Currency 5 2 2 2 4 4" xfId="9268" xr:uid="{D2EA92C1-8129-4D87-A548-1A9FD6A0E2E3}"/>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910F33FA-797A-4691-8C05-4D428F3E869A}"/>
    <cellStyle name="Currency 5 2 2 2 5 2 3" xfId="11826" xr:uid="{C315264F-3167-4B15-8B93-03E6C06BE6FE}"/>
    <cellStyle name="Currency 5 2 2 2 5 3" xfId="5470" xr:uid="{00000000-0005-0000-0000-0000B90B0000}"/>
    <cellStyle name="Currency 5 2 2 2 5 3 2" xfId="13899" xr:uid="{BF3EA321-2A61-4965-A977-5BCEA69F2E6E}"/>
    <cellStyle name="Currency 5 2 2 2 5 4" xfId="9681" xr:uid="{9D4078E2-8A86-4ABC-B2BF-95213E22591C}"/>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225E973C-3B7F-4597-9693-D215A3CF4145}"/>
    <cellStyle name="Currency 5 2 2 2 6 2 3" xfId="12239" xr:uid="{593C6CE1-4FC2-4A5A-AEF2-231A9D02C710}"/>
    <cellStyle name="Currency 5 2 2 2 6 3" xfId="5883" xr:uid="{00000000-0005-0000-0000-0000BD0B0000}"/>
    <cellStyle name="Currency 5 2 2 2 6 3 2" xfId="14312" xr:uid="{3BE5EC2E-D491-4A2C-9219-FBD0788218D5}"/>
    <cellStyle name="Currency 5 2 2 2 6 4" xfId="10094" xr:uid="{11547CAC-06F1-4F10-B1C3-CA84419E9CAF}"/>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2871926F-6C23-4660-9024-D13AAB44165F}"/>
    <cellStyle name="Currency 5 2 2 2 7 2 3" xfId="12652" xr:uid="{B52D6EC8-0712-43E1-BE00-7D6C71D700B6}"/>
    <cellStyle name="Currency 5 2 2 2 7 3" xfId="6296" xr:uid="{00000000-0005-0000-0000-0000C10B0000}"/>
    <cellStyle name="Currency 5 2 2 2 7 3 2" xfId="14725" xr:uid="{8E1EE365-EF7A-4F00-9E28-7932EEEDBA57}"/>
    <cellStyle name="Currency 5 2 2 2 7 4" xfId="10507" xr:uid="{AE19700E-AE63-4B1C-AFBC-4F0FC9C4C36D}"/>
    <cellStyle name="Currency 5 2 2 2 8" xfId="2423" xr:uid="{00000000-0005-0000-0000-0000C20B0000}"/>
    <cellStyle name="Currency 5 2 2 2 8 2" xfId="6709" xr:uid="{00000000-0005-0000-0000-0000C30B0000}"/>
    <cellStyle name="Currency 5 2 2 2 8 2 2" xfId="15138" xr:uid="{BA0F0C35-F35D-481A-A9A3-055B36937F9E}"/>
    <cellStyle name="Currency 5 2 2 2 8 3" xfId="10920" xr:uid="{01F0AA8F-8F42-4F52-839B-EA5ADCABF009}"/>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5986EEFA-8DD9-415C-87D6-9C782D4E571E}"/>
    <cellStyle name="Currency 5 2 2 3 11" xfId="8858" xr:uid="{B5960FD3-F8B5-4652-B27B-D7907B025C59}"/>
    <cellStyle name="Currency 5 2 2 3 2" xfId="201" xr:uid="{00000000-0005-0000-0000-0000C70B0000}"/>
    <cellStyle name="Currency 5 2 2 3 2 10" xfId="8859" xr:uid="{FDB7FE85-2077-4E0A-BE67-E85EBD76537C}"/>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5F669396-B65B-4046-905F-2F987E540F8A}"/>
    <cellStyle name="Currency 5 2 2 3 2 2 2 3" xfId="11418" xr:uid="{EE2B6143-3E04-4CEE-BDEA-748373BFDB0A}"/>
    <cellStyle name="Currency 5 2 2 3 2 2 3" xfId="5062" xr:uid="{00000000-0005-0000-0000-0000CB0B0000}"/>
    <cellStyle name="Currency 5 2 2 3 2 2 3 2" xfId="13491" xr:uid="{D081DED5-523E-46A5-B726-A715D2C73A51}"/>
    <cellStyle name="Currency 5 2 2 3 2 2 4" xfId="9273" xr:uid="{BB603962-ED32-47B3-BA07-26FD67D38F1B}"/>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599FD0A0-DA5E-43DE-A516-613FB728DA5E}"/>
    <cellStyle name="Currency 5 2 2 3 2 3 2 3" xfId="11831" xr:uid="{04008069-1EA0-48BB-B213-B6B5B18D2DE1}"/>
    <cellStyle name="Currency 5 2 2 3 2 3 3" xfId="5475" xr:uid="{00000000-0005-0000-0000-0000CF0B0000}"/>
    <cellStyle name="Currency 5 2 2 3 2 3 3 2" xfId="13904" xr:uid="{583B040E-04A7-4661-ADB7-CF8922526D5D}"/>
    <cellStyle name="Currency 5 2 2 3 2 3 4" xfId="9686" xr:uid="{76B8CC76-99D0-45A0-A7B2-AC46A18913D7}"/>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F52F0C56-E150-4F15-98D2-0606C0B3274B}"/>
    <cellStyle name="Currency 5 2 2 3 2 4 2 3" xfId="12244" xr:uid="{9ADCE0E4-C253-44DE-9082-6D0DED8B70FE}"/>
    <cellStyle name="Currency 5 2 2 3 2 4 3" xfId="5888" xr:uid="{00000000-0005-0000-0000-0000D30B0000}"/>
    <cellStyle name="Currency 5 2 2 3 2 4 3 2" xfId="14317" xr:uid="{8681A0BD-E561-4884-9355-04C410902C6F}"/>
    <cellStyle name="Currency 5 2 2 3 2 4 4" xfId="10099" xr:uid="{85EA7926-B5F2-4868-847F-07B74FB63A72}"/>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AD432BFF-49F0-45BB-A436-C6E28D8AD181}"/>
    <cellStyle name="Currency 5 2 2 3 2 5 2 3" xfId="12657" xr:uid="{0169653B-9BF5-4D43-AA45-4CC89EA5755B}"/>
    <cellStyle name="Currency 5 2 2 3 2 5 3" xfId="6301" xr:uid="{00000000-0005-0000-0000-0000D70B0000}"/>
    <cellStyle name="Currency 5 2 2 3 2 5 3 2" xfId="14730" xr:uid="{A0A97884-D063-487B-B618-EA63D6225266}"/>
    <cellStyle name="Currency 5 2 2 3 2 5 4" xfId="10512" xr:uid="{BA56CDB3-8CEC-415D-9756-856AE05AF4F1}"/>
    <cellStyle name="Currency 5 2 2 3 2 6" xfId="2428" xr:uid="{00000000-0005-0000-0000-0000D80B0000}"/>
    <cellStyle name="Currency 5 2 2 3 2 6 2" xfId="6714" xr:uid="{00000000-0005-0000-0000-0000D90B0000}"/>
    <cellStyle name="Currency 5 2 2 3 2 6 2 2" xfId="15143" xr:uid="{FFFD67EC-1932-4AE9-A11D-B71B98174C6D}"/>
    <cellStyle name="Currency 5 2 2 3 2 6 3" xfId="10925" xr:uid="{3B04556B-09BA-49D8-BCAA-A5A37B77EF0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FF8E9995-0CF9-42B6-9889-3C85EBA80C83}"/>
    <cellStyle name="Currency 5 2 2 3 2 8 3" xfId="11242" xr:uid="{113DC045-BA30-4255-93E1-CD2382004978}"/>
    <cellStyle name="Currency 5 2 2 3 2 9" xfId="4648" xr:uid="{00000000-0005-0000-0000-0000DD0B0000}"/>
    <cellStyle name="Currency 5 2 2 3 2 9 2" xfId="13077" xr:uid="{44B4B0B6-6829-4BF3-9731-42699D82A8FD}"/>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DF24531E-92E1-43C0-BC5B-37DF885D30E8}"/>
    <cellStyle name="Currency 5 2 2 3 3 2 3" xfId="11417" xr:uid="{0B0A6385-4992-496C-95D0-69EA46273D25}"/>
    <cellStyle name="Currency 5 2 2 3 3 3" xfId="5061" xr:uid="{00000000-0005-0000-0000-0000E10B0000}"/>
    <cellStyle name="Currency 5 2 2 3 3 3 2" xfId="13490" xr:uid="{9659543E-DB7E-43E0-9870-0902FC2B55F9}"/>
    <cellStyle name="Currency 5 2 2 3 3 4" xfId="9272" xr:uid="{98BEF9F0-F2D9-41C8-8C43-809F1C8D35AD}"/>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68743A7C-07AE-45A5-A869-D4A1C6AADF60}"/>
    <cellStyle name="Currency 5 2 2 3 4 2 3" xfId="11830" xr:uid="{4DE0E0CD-C18C-489E-82E2-3DB521551390}"/>
    <cellStyle name="Currency 5 2 2 3 4 3" xfId="5474" xr:uid="{00000000-0005-0000-0000-0000E50B0000}"/>
    <cellStyle name="Currency 5 2 2 3 4 3 2" xfId="13903" xr:uid="{2C13F473-0CD1-41D7-B8F6-65DC40223396}"/>
    <cellStyle name="Currency 5 2 2 3 4 4" xfId="9685" xr:uid="{24031165-56D9-44DC-A45C-52BBF837660E}"/>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AF965538-0E3A-48B2-8B13-A83D6260DE30}"/>
    <cellStyle name="Currency 5 2 2 3 5 2 3" xfId="12243" xr:uid="{03E2883C-DBB1-46AA-AA58-852932D159DB}"/>
    <cellStyle name="Currency 5 2 2 3 5 3" xfId="5887" xr:uid="{00000000-0005-0000-0000-0000E90B0000}"/>
    <cellStyle name="Currency 5 2 2 3 5 3 2" xfId="14316" xr:uid="{8404ED0F-E895-4E48-8BD9-9E2CFB773807}"/>
    <cellStyle name="Currency 5 2 2 3 5 4" xfId="10098" xr:uid="{3650DBDB-94A9-46B6-B105-43962A90C0D6}"/>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F94BB348-E11E-48FE-906D-6528968C9322}"/>
    <cellStyle name="Currency 5 2 2 3 6 2 3" xfId="12656" xr:uid="{8A7AFFC7-C27F-48E0-B949-1A93916EC784}"/>
    <cellStyle name="Currency 5 2 2 3 6 3" xfId="6300" xr:uid="{00000000-0005-0000-0000-0000ED0B0000}"/>
    <cellStyle name="Currency 5 2 2 3 6 3 2" xfId="14729" xr:uid="{5776F822-30E3-4103-B540-950F54C2F9D6}"/>
    <cellStyle name="Currency 5 2 2 3 6 4" xfId="10511" xr:uid="{8963FE1D-160D-43DA-8CAD-91A38EB0ADE3}"/>
    <cellStyle name="Currency 5 2 2 3 7" xfId="2427" xr:uid="{00000000-0005-0000-0000-0000EE0B0000}"/>
    <cellStyle name="Currency 5 2 2 3 7 2" xfId="6713" xr:uid="{00000000-0005-0000-0000-0000EF0B0000}"/>
    <cellStyle name="Currency 5 2 2 3 7 2 2" xfId="15142" xr:uid="{E791C0C5-E923-407B-910D-AEA4BCAF0DF5}"/>
    <cellStyle name="Currency 5 2 2 3 7 3" xfId="10924" xr:uid="{B790EF70-F8BF-4B34-B06B-798C28008B69}"/>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D18E0FA9-0BC2-44C8-B233-22BAAE8B1AC2}"/>
    <cellStyle name="Currency 5 2 2 3 9 3" xfId="11241" xr:uid="{92B19D8F-8A74-49B4-B88D-D5CECB7C36CA}"/>
    <cellStyle name="Currency 5 2 2 4" xfId="202" xr:uid="{00000000-0005-0000-0000-0000F30B0000}"/>
    <cellStyle name="Currency 5 2 2 4 10" xfId="8860" xr:uid="{2D53E21C-8DE5-46AC-A5D5-2F3C388CBA1E}"/>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6CF2ABC-68BD-4CDF-971E-0985669E7BBD}"/>
    <cellStyle name="Currency 5 2 2 4 2 2 3" xfId="11419" xr:uid="{AF6DE144-254E-4864-8DD3-EC99D5861DBB}"/>
    <cellStyle name="Currency 5 2 2 4 2 3" xfId="5063" xr:uid="{00000000-0005-0000-0000-0000F70B0000}"/>
    <cellStyle name="Currency 5 2 2 4 2 3 2" xfId="13492" xr:uid="{F439B2E7-2B2E-4E46-9CED-E24CDADC692B}"/>
    <cellStyle name="Currency 5 2 2 4 2 4" xfId="9274" xr:uid="{1D792E16-08AB-4AC5-A815-51E52E6E2582}"/>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4C95BA92-E2D7-4F13-884D-1FA79BBE71E9}"/>
    <cellStyle name="Currency 5 2 2 4 3 2 3" xfId="11832" xr:uid="{87ACFA15-D64F-4FB2-A27A-E6441FDB5781}"/>
    <cellStyle name="Currency 5 2 2 4 3 3" xfId="5476" xr:uid="{00000000-0005-0000-0000-0000FB0B0000}"/>
    <cellStyle name="Currency 5 2 2 4 3 3 2" xfId="13905" xr:uid="{A75BCF0F-5AFE-4026-A1F7-1FDB345AB270}"/>
    <cellStyle name="Currency 5 2 2 4 3 4" xfId="9687" xr:uid="{5A690412-AA36-45B6-9135-919AE0966BAE}"/>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129E79E4-E10A-4F7A-97AC-35B35C2B728D}"/>
    <cellStyle name="Currency 5 2 2 4 4 2 3" xfId="12245" xr:uid="{837C48CD-4E07-400D-A1F1-BC63467B9D7F}"/>
    <cellStyle name="Currency 5 2 2 4 4 3" xfId="5889" xr:uid="{00000000-0005-0000-0000-0000FF0B0000}"/>
    <cellStyle name="Currency 5 2 2 4 4 3 2" xfId="14318" xr:uid="{7807387F-7EF7-4CA2-9BD6-BDA89E892347}"/>
    <cellStyle name="Currency 5 2 2 4 4 4" xfId="10100" xr:uid="{936D4824-ED9E-4880-B166-AFEB12D78312}"/>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8AD94DEB-BE1B-4E03-8A4C-03BAB9227B9E}"/>
    <cellStyle name="Currency 5 2 2 4 5 2 3" xfId="12658" xr:uid="{96C92FF3-5F51-420D-955D-8F4CD8ED9367}"/>
    <cellStyle name="Currency 5 2 2 4 5 3" xfId="6302" xr:uid="{00000000-0005-0000-0000-0000030C0000}"/>
    <cellStyle name="Currency 5 2 2 4 5 3 2" xfId="14731" xr:uid="{F8003DB6-397F-4610-A7CF-5C794BAEA58D}"/>
    <cellStyle name="Currency 5 2 2 4 5 4" xfId="10513" xr:uid="{B9FE7198-75A1-40B8-9298-418ED5FAFBC8}"/>
    <cellStyle name="Currency 5 2 2 4 6" xfId="2429" xr:uid="{00000000-0005-0000-0000-0000040C0000}"/>
    <cellStyle name="Currency 5 2 2 4 6 2" xfId="6715" xr:uid="{00000000-0005-0000-0000-0000050C0000}"/>
    <cellStyle name="Currency 5 2 2 4 6 2 2" xfId="15144" xr:uid="{24C6821A-D0C2-456C-8FB3-189468125468}"/>
    <cellStyle name="Currency 5 2 2 4 6 3" xfId="10926" xr:uid="{C27C64E0-400C-4D49-AB49-3D03686335B4}"/>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AED66BF6-45A2-4777-80BE-146702D5134C}"/>
    <cellStyle name="Currency 5 2 2 4 8 3" xfId="11243" xr:uid="{358FFD01-C93E-4038-9746-0E3F493707E3}"/>
    <cellStyle name="Currency 5 2 2 4 9" xfId="4649" xr:uid="{00000000-0005-0000-0000-0000090C0000}"/>
    <cellStyle name="Currency 5 2 2 4 9 2" xfId="13078" xr:uid="{67F5B588-0D7D-4DD5-93C0-EE929B904E32}"/>
    <cellStyle name="Currency 5 2 2 5" xfId="203" xr:uid="{00000000-0005-0000-0000-00000A0C0000}"/>
    <cellStyle name="Currency 5 2 2 5 10" xfId="8861" xr:uid="{40A0E5AE-26ED-4A1F-99DB-1FCED965A04D}"/>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64467484-A91A-4695-B84B-437C129A8144}"/>
    <cellStyle name="Currency 5 2 2 5 2 2 3" xfId="11420" xr:uid="{810FF87E-CE04-4E34-82E2-0C5C8F168F72}"/>
    <cellStyle name="Currency 5 2 2 5 2 3" xfId="5064" xr:uid="{00000000-0005-0000-0000-00000E0C0000}"/>
    <cellStyle name="Currency 5 2 2 5 2 3 2" xfId="13493" xr:uid="{6EBEC887-BAAD-4D73-A9AB-81E32C223F4B}"/>
    <cellStyle name="Currency 5 2 2 5 2 4" xfId="9275" xr:uid="{F7650103-ED99-4CEF-9D24-538CAF8450DB}"/>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D3DC779D-34E6-4F38-BC08-2B9A03637CE4}"/>
    <cellStyle name="Currency 5 2 2 5 3 2 3" xfId="11833" xr:uid="{505C6285-57E6-422C-9DE6-2114C3052104}"/>
    <cellStyle name="Currency 5 2 2 5 3 3" xfId="5477" xr:uid="{00000000-0005-0000-0000-0000120C0000}"/>
    <cellStyle name="Currency 5 2 2 5 3 3 2" xfId="13906" xr:uid="{D53E47A5-6A9E-4CD0-8851-96AAB99E89C6}"/>
    <cellStyle name="Currency 5 2 2 5 3 4" xfId="9688" xr:uid="{5088673F-43C2-41F2-9F22-96B959353378}"/>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754D0C95-5EC2-4FC8-A040-A0CA4FD18B14}"/>
    <cellStyle name="Currency 5 2 2 5 4 2 3" xfId="12246" xr:uid="{C8F70B19-6F55-4D08-9F73-78B0325CA474}"/>
    <cellStyle name="Currency 5 2 2 5 4 3" xfId="5890" xr:uid="{00000000-0005-0000-0000-0000160C0000}"/>
    <cellStyle name="Currency 5 2 2 5 4 3 2" xfId="14319" xr:uid="{1FE927EE-3CDD-4398-9A01-FA20E542692D}"/>
    <cellStyle name="Currency 5 2 2 5 4 4" xfId="10101" xr:uid="{777CF4FD-E4D0-4859-913C-8EBF58CE53EC}"/>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00A587F2-2C89-42F4-ABC5-4C0ED60CD0E6}"/>
    <cellStyle name="Currency 5 2 2 5 5 2 3" xfId="12659" xr:uid="{2690E12E-DC56-41DE-9B55-0BEF00199A84}"/>
    <cellStyle name="Currency 5 2 2 5 5 3" xfId="6303" xr:uid="{00000000-0005-0000-0000-00001A0C0000}"/>
    <cellStyle name="Currency 5 2 2 5 5 3 2" xfId="14732" xr:uid="{2397BEF4-8F5B-4734-B54D-209EC92A8549}"/>
    <cellStyle name="Currency 5 2 2 5 5 4" xfId="10514" xr:uid="{7728ACB4-F23E-46F7-8D89-40B78B63E9B9}"/>
    <cellStyle name="Currency 5 2 2 5 6" xfId="2430" xr:uid="{00000000-0005-0000-0000-00001B0C0000}"/>
    <cellStyle name="Currency 5 2 2 5 6 2" xfId="6716" xr:uid="{00000000-0005-0000-0000-00001C0C0000}"/>
    <cellStyle name="Currency 5 2 2 5 6 2 2" xfId="15145" xr:uid="{0B1B15FC-BF1F-4031-BE88-3B432C349210}"/>
    <cellStyle name="Currency 5 2 2 5 6 3" xfId="10927" xr:uid="{8DF043D1-D08E-4974-9AB6-B2744825A8BE}"/>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E5BB5261-43D9-4E74-A74E-EDE71C512752}"/>
    <cellStyle name="Currency 5 2 2 5 8 3" xfId="11244" xr:uid="{25F2618C-6EF8-4BC2-838A-8636603E6CED}"/>
    <cellStyle name="Currency 5 2 2 5 9" xfId="4650" xr:uid="{00000000-0005-0000-0000-0000200C0000}"/>
    <cellStyle name="Currency 5 2 2 5 9 2" xfId="13079" xr:uid="{DFCF1227-8D73-4D23-8348-283458F632A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7BF54E8F-AB50-44A3-8463-B3780855B871}"/>
    <cellStyle name="Currency 5 2 4 11" xfId="8862" xr:uid="{2BB4AD42-35AD-489D-A7ED-0B5541506100}"/>
    <cellStyle name="Currency 5 2 4 2" xfId="206" xr:uid="{00000000-0005-0000-0000-0000250C0000}"/>
    <cellStyle name="Currency 5 2 4 2 10" xfId="8863" xr:uid="{DF9A0374-E4D2-4C28-B11D-C583996360DF}"/>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0CB3883D-A4E1-40B7-9AFD-EAEED117EFC8}"/>
    <cellStyle name="Currency 5 2 4 2 2 2 3" xfId="11422" xr:uid="{DEF3E12D-9A6A-4275-A616-9F49F48C96C4}"/>
    <cellStyle name="Currency 5 2 4 2 2 3" xfId="5066" xr:uid="{00000000-0005-0000-0000-0000290C0000}"/>
    <cellStyle name="Currency 5 2 4 2 2 3 2" xfId="13495" xr:uid="{41BCFBB5-7BA7-4B4D-83BD-D9D96159D486}"/>
    <cellStyle name="Currency 5 2 4 2 2 4" xfId="9277" xr:uid="{5762FA83-1D2B-4815-973B-6C1814FDBED7}"/>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77F3C89F-FCF9-44F8-B761-27AC347D809D}"/>
    <cellStyle name="Currency 5 2 4 2 3 2 3" xfId="11835" xr:uid="{03F18232-AB50-4AAF-94F3-E53B73FC5758}"/>
    <cellStyle name="Currency 5 2 4 2 3 3" xfId="5479" xr:uid="{00000000-0005-0000-0000-00002D0C0000}"/>
    <cellStyle name="Currency 5 2 4 2 3 3 2" xfId="13908" xr:uid="{624F2173-AC36-4EAE-8573-07D8A8A9BE9F}"/>
    <cellStyle name="Currency 5 2 4 2 3 4" xfId="9690" xr:uid="{2A6E6E22-669C-4235-87E8-92DEB7644D5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900B97F9-A2EB-4A2A-90F5-0D54B66D59FC}"/>
    <cellStyle name="Currency 5 2 4 2 4 2 3" xfId="12248" xr:uid="{FD6F2648-059B-41F9-BBC9-D286068E09AF}"/>
    <cellStyle name="Currency 5 2 4 2 4 3" xfId="5892" xr:uid="{00000000-0005-0000-0000-0000310C0000}"/>
    <cellStyle name="Currency 5 2 4 2 4 3 2" xfId="14321" xr:uid="{03A959A9-E55B-4EC6-9823-4C552741B92E}"/>
    <cellStyle name="Currency 5 2 4 2 4 4" xfId="10103" xr:uid="{79439042-BBA5-49D3-BF7C-E8669F803F85}"/>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A289BA64-2350-4AAF-B330-5E4E7CD2788C}"/>
    <cellStyle name="Currency 5 2 4 2 5 2 3" xfId="12661" xr:uid="{09E4A0E5-1CF3-4252-B554-29D96C5CADD3}"/>
    <cellStyle name="Currency 5 2 4 2 5 3" xfId="6305" xr:uid="{00000000-0005-0000-0000-0000350C0000}"/>
    <cellStyle name="Currency 5 2 4 2 5 3 2" xfId="14734" xr:uid="{4516C9A4-F287-45C6-A2AD-8F359286EECE}"/>
    <cellStyle name="Currency 5 2 4 2 5 4" xfId="10516" xr:uid="{E45895BD-BA4E-4F2F-94EC-2A6FC11E7DDE}"/>
    <cellStyle name="Currency 5 2 4 2 6" xfId="2432" xr:uid="{00000000-0005-0000-0000-0000360C0000}"/>
    <cellStyle name="Currency 5 2 4 2 6 2" xfId="6718" xr:uid="{00000000-0005-0000-0000-0000370C0000}"/>
    <cellStyle name="Currency 5 2 4 2 6 2 2" xfId="15147" xr:uid="{2892D755-2797-4D2D-A548-B06F40798E20}"/>
    <cellStyle name="Currency 5 2 4 2 6 3" xfId="10929" xr:uid="{B8F8283F-A887-4C8C-9DE8-77D7F6FE5AE2}"/>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C2A0FAA3-8FF8-441F-BAA2-0189AEB67E2C}"/>
    <cellStyle name="Currency 5 2 4 2 8 3" xfId="11246" xr:uid="{493D73E8-6EA7-482E-AC0D-54CB78ED0D4E}"/>
    <cellStyle name="Currency 5 2 4 2 9" xfId="4652" xr:uid="{00000000-0005-0000-0000-00003B0C0000}"/>
    <cellStyle name="Currency 5 2 4 2 9 2" xfId="13081" xr:uid="{D88B7157-02E8-4A4C-88AF-3FE013C9E11A}"/>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FF676148-A38B-4BA7-8B4D-B9959F6BE844}"/>
    <cellStyle name="Currency 5 2 4 3 2 3" xfId="11421" xr:uid="{921B207C-48BE-4EB9-965B-3AA79FFDE2BE}"/>
    <cellStyle name="Currency 5 2 4 3 3" xfId="5065" xr:uid="{00000000-0005-0000-0000-00003F0C0000}"/>
    <cellStyle name="Currency 5 2 4 3 3 2" xfId="13494" xr:uid="{22EA4853-DC42-4364-BD04-80349287F0C5}"/>
    <cellStyle name="Currency 5 2 4 3 4" xfId="9276" xr:uid="{499FE6AA-ADDD-460A-A82B-C532FBB458FB}"/>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09BA59CF-1C26-41A1-92FC-D43D72542BFE}"/>
    <cellStyle name="Currency 5 2 4 4 2 3" xfId="11834" xr:uid="{4F52F570-CC43-41F7-910C-220F19F9F99C}"/>
    <cellStyle name="Currency 5 2 4 4 3" xfId="5478" xr:uid="{00000000-0005-0000-0000-0000430C0000}"/>
    <cellStyle name="Currency 5 2 4 4 3 2" xfId="13907" xr:uid="{3690DD7E-415F-4D95-850E-D648CCF6E55B}"/>
    <cellStyle name="Currency 5 2 4 4 4" xfId="9689" xr:uid="{6832409E-A060-4198-BF5E-D483CE036F40}"/>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E4A5C5D2-66A5-424A-A13C-9CE8375022C8}"/>
    <cellStyle name="Currency 5 2 4 5 2 3" xfId="12247" xr:uid="{2E0D452A-A704-4A26-8E67-EB2211AEA628}"/>
    <cellStyle name="Currency 5 2 4 5 3" xfId="5891" xr:uid="{00000000-0005-0000-0000-0000470C0000}"/>
    <cellStyle name="Currency 5 2 4 5 3 2" xfId="14320" xr:uid="{C1C6D5B2-B914-4847-93E3-75F919040884}"/>
    <cellStyle name="Currency 5 2 4 5 4" xfId="10102" xr:uid="{27D420B0-792E-4241-81FB-D9B8FE263065}"/>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DBA67439-7C66-4FDC-B9F8-910E953A2C00}"/>
    <cellStyle name="Currency 5 2 4 6 2 3" xfId="12660" xr:uid="{E4631C8E-E2E5-4041-8A0F-9A234A7A4C82}"/>
    <cellStyle name="Currency 5 2 4 6 3" xfId="6304" xr:uid="{00000000-0005-0000-0000-00004B0C0000}"/>
    <cellStyle name="Currency 5 2 4 6 3 2" xfId="14733" xr:uid="{80ED8D91-E167-4017-A8FE-ED4E8AEB0FB6}"/>
    <cellStyle name="Currency 5 2 4 6 4" xfId="10515" xr:uid="{6253E0F6-786F-409A-B45D-1F80BA23C14F}"/>
    <cellStyle name="Currency 5 2 4 7" xfId="2431" xr:uid="{00000000-0005-0000-0000-00004C0C0000}"/>
    <cellStyle name="Currency 5 2 4 7 2" xfId="6717" xr:uid="{00000000-0005-0000-0000-00004D0C0000}"/>
    <cellStyle name="Currency 5 2 4 7 2 2" xfId="15146" xr:uid="{9C87BB4A-58FF-4DE8-8AB0-FED44257067E}"/>
    <cellStyle name="Currency 5 2 4 7 3" xfId="10928" xr:uid="{82782D06-B998-49A8-B84D-0995A2F61B23}"/>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AA55387E-82F4-4F50-BCF9-0A45942A15B5}"/>
    <cellStyle name="Currency 5 2 4 9 3" xfId="11245" xr:uid="{4817EC07-59D3-4875-AED4-DB206DAEB975}"/>
    <cellStyle name="Currency 5 2 5" xfId="207" xr:uid="{00000000-0005-0000-0000-0000510C0000}"/>
    <cellStyle name="Currency 5 2 5 10" xfId="8864" xr:uid="{7F379D23-FC12-4D08-8F03-50CD9DEA0B5B}"/>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B3A85D8E-F37B-4772-A997-A8BF93A7F3FE}"/>
    <cellStyle name="Currency 5 2 5 2 2 3" xfId="11423" xr:uid="{50AE2CA3-9DF6-4195-A66B-1F28F07BF619}"/>
    <cellStyle name="Currency 5 2 5 2 3" xfId="5067" xr:uid="{00000000-0005-0000-0000-0000550C0000}"/>
    <cellStyle name="Currency 5 2 5 2 3 2" xfId="13496" xr:uid="{68C06D23-3987-4490-B53A-ABC8C9AA7A2E}"/>
    <cellStyle name="Currency 5 2 5 2 4" xfId="9278" xr:uid="{BF59CCA7-70CE-43B4-9C03-A54A205EE19F}"/>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2D0618DC-A1D8-4CD3-A381-E00FAA585AFE}"/>
    <cellStyle name="Currency 5 2 5 3 2 3" xfId="11836" xr:uid="{46BE961F-138E-441C-9076-CD80E868AA65}"/>
    <cellStyle name="Currency 5 2 5 3 3" xfId="5480" xr:uid="{00000000-0005-0000-0000-0000590C0000}"/>
    <cellStyle name="Currency 5 2 5 3 3 2" xfId="13909" xr:uid="{BFE58FE3-FAAE-4371-87EE-DC1F0D92443A}"/>
    <cellStyle name="Currency 5 2 5 3 4" xfId="9691" xr:uid="{4EF96E27-51E6-4B15-A364-91FE9A43F0F4}"/>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B47F11A2-585F-49FE-A421-965339E326E1}"/>
    <cellStyle name="Currency 5 2 5 4 2 3" xfId="12249" xr:uid="{92B16F13-DDED-439B-8BA9-A7FAAD4B922E}"/>
    <cellStyle name="Currency 5 2 5 4 3" xfId="5893" xr:uid="{00000000-0005-0000-0000-00005D0C0000}"/>
    <cellStyle name="Currency 5 2 5 4 3 2" xfId="14322" xr:uid="{AFF7DC9F-892B-484F-B082-8AB2A2A62203}"/>
    <cellStyle name="Currency 5 2 5 4 4" xfId="10104" xr:uid="{DD428AFC-78D9-4B19-92AF-4FFBCDDFE655}"/>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810E4FCB-2712-4E4D-8BB9-DB327145D869}"/>
    <cellStyle name="Currency 5 2 5 5 2 3" xfId="12662" xr:uid="{D0194A48-467B-447F-AE7A-9B669550EB84}"/>
    <cellStyle name="Currency 5 2 5 5 3" xfId="6306" xr:uid="{00000000-0005-0000-0000-0000610C0000}"/>
    <cellStyle name="Currency 5 2 5 5 3 2" xfId="14735" xr:uid="{C4A4C8F9-7780-4C5A-AB68-741FC30D5821}"/>
    <cellStyle name="Currency 5 2 5 5 4" xfId="10517" xr:uid="{8829085D-3C5C-4425-9C52-1DD212FECBE0}"/>
    <cellStyle name="Currency 5 2 5 6" xfId="2433" xr:uid="{00000000-0005-0000-0000-0000620C0000}"/>
    <cellStyle name="Currency 5 2 5 6 2" xfId="6719" xr:uid="{00000000-0005-0000-0000-0000630C0000}"/>
    <cellStyle name="Currency 5 2 5 6 2 2" xfId="15148" xr:uid="{E27EB70B-7F59-4F0E-B4A6-A02307C38CDA}"/>
    <cellStyle name="Currency 5 2 5 6 3" xfId="10930" xr:uid="{4866193A-8272-4451-BB70-799B199F640F}"/>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9B3F6FB8-F68D-4198-B99D-85452C93CAA4}"/>
    <cellStyle name="Currency 5 2 5 8 3" xfId="11247" xr:uid="{175ECA2E-A699-4FDA-9BE1-4F2356677F92}"/>
    <cellStyle name="Currency 5 2 5 9" xfId="4653" xr:uid="{00000000-0005-0000-0000-0000670C0000}"/>
    <cellStyle name="Currency 5 2 5 9 2" xfId="13082" xr:uid="{18F06F22-C60C-404F-B838-81F6E8FA7403}"/>
    <cellStyle name="Currency 5 2 6" xfId="208" xr:uid="{00000000-0005-0000-0000-0000680C0000}"/>
    <cellStyle name="Currency 5 2 6 10" xfId="8865" xr:uid="{8B3A44D1-7B9F-49B6-B4C1-70A897FF2E2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011ADB1A-8A94-454E-B898-A848D063972E}"/>
    <cellStyle name="Currency 5 2 6 2 2 3" xfId="11424" xr:uid="{9EE3DB5A-EEC7-4308-805A-9A2F46BF8262}"/>
    <cellStyle name="Currency 5 2 6 2 3" xfId="5068" xr:uid="{00000000-0005-0000-0000-00006C0C0000}"/>
    <cellStyle name="Currency 5 2 6 2 3 2" xfId="13497" xr:uid="{58EA6F84-5546-4858-AEB6-853122F1D961}"/>
    <cellStyle name="Currency 5 2 6 2 4" xfId="9279" xr:uid="{9A5C0DE7-7D6E-42E5-AE55-AFA7C1C51CAE}"/>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87BC6592-84C9-49FA-9F6A-DA7D8BE646B9}"/>
    <cellStyle name="Currency 5 2 6 3 2 3" xfId="11837" xr:uid="{C2E7C67E-E4EB-4A35-8512-6B5DAFFB1A77}"/>
    <cellStyle name="Currency 5 2 6 3 3" xfId="5481" xr:uid="{00000000-0005-0000-0000-0000700C0000}"/>
    <cellStyle name="Currency 5 2 6 3 3 2" xfId="13910" xr:uid="{D8359DBE-1B06-4366-A9EE-7844320394C1}"/>
    <cellStyle name="Currency 5 2 6 3 4" xfId="9692" xr:uid="{5829085E-D271-4306-9F51-47872289352A}"/>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8869554A-8750-4F6F-BFB4-8628F783454E}"/>
    <cellStyle name="Currency 5 2 6 4 2 3" xfId="12250" xr:uid="{12B67855-5859-483B-8CC7-6C44E0B2EE51}"/>
    <cellStyle name="Currency 5 2 6 4 3" xfId="5894" xr:uid="{00000000-0005-0000-0000-0000740C0000}"/>
    <cellStyle name="Currency 5 2 6 4 3 2" xfId="14323" xr:uid="{B2A85A59-915E-45A6-902B-040A67FCDC07}"/>
    <cellStyle name="Currency 5 2 6 4 4" xfId="10105" xr:uid="{1788040A-2EA4-4B28-9FC5-F6FA1A8C3052}"/>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6BC18240-EB00-4D60-AA55-B98118F97CDD}"/>
    <cellStyle name="Currency 5 2 6 5 2 3" xfId="12663" xr:uid="{546E4514-A9F5-4B26-AD3C-83E084B9DC75}"/>
    <cellStyle name="Currency 5 2 6 5 3" xfId="6307" xr:uid="{00000000-0005-0000-0000-0000780C0000}"/>
    <cellStyle name="Currency 5 2 6 5 3 2" xfId="14736" xr:uid="{D01DAE42-C659-4C3D-B6AB-CD72D394A294}"/>
    <cellStyle name="Currency 5 2 6 5 4" xfId="10518" xr:uid="{EE9D5F60-9A8B-4A55-B28A-FDFA64D740E9}"/>
    <cellStyle name="Currency 5 2 6 6" xfId="2434" xr:uid="{00000000-0005-0000-0000-0000790C0000}"/>
    <cellStyle name="Currency 5 2 6 6 2" xfId="6720" xr:uid="{00000000-0005-0000-0000-00007A0C0000}"/>
    <cellStyle name="Currency 5 2 6 6 2 2" xfId="15149" xr:uid="{DE7C9C69-C2CD-493D-9273-A529E1D2ECFB}"/>
    <cellStyle name="Currency 5 2 6 6 3" xfId="10931" xr:uid="{7F25D506-291A-4504-BDC4-2D18F783DEBC}"/>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B228BAAD-01E4-47BA-8C07-58D31F2D6C1D}"/>
    <cellStyle name="Currency 5 2 6 8 3" xfId="11248" xr:uid="{F647A232-C6B3-4735-90BB-DC7E8860B885}"/>
    <cellStyle name="Currency 5 2 6 9" xfId="4654" xr:uid="{00000000-0005-0000-0000-00007E0C0000}"/>
    <cellStyle name="Currency 5 2 6 9 2" xfId="13083" xr:uid="{FC54F65A-2040-468F-894D-A062E61B4A6F}"/>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53B21817-379D-41FB-A6EB-BC2DFEA5A54F}"/>
    <cellStyle name="Currency 5 3 2 10 3" xfId="11249" xr:uid="{C29B36CF-B7C0-45F3-9811-24C832A81D14}"/>
    <cellStyle name="Currency 5 3 2 11" xfId="4655" xr:uid="{00000000-0005-0000-0000-0000840C0000}"/>
    <cellStyle name="Currency 5 3 2 11 2" xfId="13084" xr:uid="{A6AEBBD1-22F1-46E1-99A1-5657C708E753}"/>
    <cellStyle name="Currency 5 3 2 12" xfId="8866" xr:uid="{3A9AF171-8C85-41EC-B6CF-0FA8D5F5A7DF}"/>
    <cellStyle name="Currency 5 3 2 2" xfId="211" xr:uid="{00000000-0005-0000-0000-0000850C0000}"/>
    <cellStyle name="Currency 5 3 2 2 10" xfId="4656" xr:uid="{00000000-0005-0000-0000-0000860C0000}"/>
    <cellStyle name="Currency 5 3 2 2 10 2" xfId="13085" xr:uid="{01973C25-5D56-4DAB-8CF8-E06EFA7754C7}"/>
    <cellStyle name="Currency 5 3 2 2 11" xfId="8867" xr:uid="{D50817A4-7E8D-4F6B-BB66-613F855B3AA8}"/>
    <cellStyle name="Currency 5 3 2 2 2" xfId="212" xr:uid="{00000000-0005-0000-0000-0000870C0000}"/>
    <cellStyle name="Currency 5 3 2 2 2 10" xfId="8868" xr:uid="{1BDB5A96-B16D-41E4-8EC5-AA1F90940059}"/>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A98E7666-7501-4356-A571-DAFD4A20D7DB}"/>
    <cellStyle name="Currency 5 3 2 2 2 2 2 3" xfId="11427" xr:uid="{0E3BC270-47E7-4D93-BBA6-1DCD090B52E2}"/>
    <cellStyle name="Currency 5 3 2 2 2 2 3" xfId="5071" xr:uid="{00000000-0005-0000-0000-00008B0C0000}"/>
    <cellStyle name="Currency 5 3 2 2 2 2 3 2" xfId="13500" xr:uid="{A2A236A9-1A7A-4A27-A350-5AF2284E5729}"/>
    <cellStyle name="Currency 5 3 2 2 2 2 4" xfId="9282" xr:uid="{3B966B11-F6EC-405B-89D1-5B07A8684EFB}"/>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7B19AA1B-388E-42EE-8738-FF77A93FF127}"/>
    <cellStyle name="Currency 5 3 2 2 2 3 2 3" xfId="11840" xr:uid="{66466475-52ED-461C-8243-DB2B59CC2068}"/>
    <cellStyle name="Currency 5 3 2 2 2 3 3" xfId="5484" xr:uid="{00000000-0005-0000-0000-00008F0C0000}"/>
    <cellStyle name="Currency 5 3 2 2 2 3 3 2" xfId="13913" xr:uid="{D100EF1E-A978-46D8-A49E-13BD2290BCCD}"/>
    <cellStyle name="Currency 5 3 2 2 2 3 4" xfId="9695" xr:uid="{8672B46A-CDA7-43BB-BAAD-03FEA095BE34}"/>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FC63BA9E-8B4E-4BE7-B5F5-1EBF0870671E}"/>
    <cellStyle name="Currency 5 3 2 2 2 4 2 3" xfId="12253" xr:uid="{98AD98D2-04A5-445E-B5A6-67845A477A2C}"/>
    <cellStyle name="Currency 5 3 2 2 2 4 3" xfId="5897" xr:uid="{00000000-0005-0000-0000-0000930C0000}"/>
    <cellStyle name="Currency 5 3 2 2 2 4 3 2" xfId="14326" xr:uid="{BD1D4657-88C2-4428-B5CC-22ED3355B05A}"/>
    <cellStyle name="Currency 5 3 2 2 2 4 4" xfId="10108" xr:uid="{250CD90C-36D0-4501-8FE1-C58A20FB3C3E}"/>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AAA3A16F-16C5-40EE-A342-43586E506FBA}"/>
    <cellStyle name="Currency 5 3 2 2 2 5 2 3" xfId="12666" xr:uid="{6D523557-307D-407F-8216-BB988141C904}"/>
    <cellStyle name="Currency 5 3 2 2 2 5 3" xfId="6310" xr:uid="{00000000-0005-0000-0000-0000970C0000}"/>
    <cellStyle name="Currency 5 3 2 2 2 5 3 2" xfId="14739" xr:uid="{7388490E-BA5D-4679-BADD-F3D0757E992B}"/>
    <cellStyle name="Currency 5 3 2 2 2 5 4" xfId="10521" xr:uid="{D02CE003-3591-45C0-BFDB-91187BCAEF7B}"/>
    <cellStyle name="Currency 5 3 2 2 2 6" xfId="2437" xr:uid="{00000000-0005-0000-0000-0000980C0000}"/>
    <cellStyle name="Currency 5 3 2 2 2 6 2" xfId="6723" xr:uid="{00000000-0005-0000-0000-0000990C0000}"/>
    <cellStyle name="Currency 5 3 2 2 2 6 2 2" xfId="15152" xr:uid="{67AEC116-8133-46E8-AA67-402C1E45EA69}"/>
    <cellStyle name="Currency 5 3 2 2 2 6 3" xfId="10934" xr:uid="{330F5664-0DA8-4C8A-9C95-17246F8D6347}"/>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E30F2B11-2FC0-469B-9C01-851D4D463FBB}"/>
    <cellStyle name="Currency 5 3 2 2 2 8 3" xfId="11251" xr:uid="{CD8F23F3-4AE4-40BC-AD1D-648930DD74A6}"/>
    <cellStyle name="Currency 5 3 2 2 2 9" xfId="4657" xr:uid="{00000000-0005-0000-0000-00009D0C0000}"/>
    <cellStyle name="Currency 5 3 2 2 2 9 2" xfId="13086" xr:uid="{562AD00A-24C6-4A2F-9386-556E7AD5C0B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327EF445-30D1-48FB-A54B-A17C631359BB}"/>
    <cellStyle name="Currency 5 3 2 2 3 2 3" xfId="11426" xr:uid="{395A2850-44E8-4701-94A8-76DEAA269829}"/>
    <cellStyle name="Currency 5 3 2 2 3 3" xfId="5070" xr:uid="{00000000-0005-0000-0000-0000A10C0000}"/>
    <cellStyle name="Currency 5 3 2 2 3 3 2" xfId="13499" xr:uid="{2F2BD59C-7328-465C-9A7A-54539408E17C}"/>
    <cellStyle name="Currency 5 3 2 2 3 4" xfId="9281" xr:uid="{4637EB26-ACE3-456B-90B0-7B85C29E5951}"/>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7C9B87B5-4E75-498A-8F4D-E058746CE857}"/>
    <cellStyle name="Currency 5 3 2 2 4 2 3" xfId="11839" xr:uid="{804FA90F-43C2-4508-B59D-240B10244824}"/>
    <cellStyle name="Currency 5 3 2 2 4 3" xfId="5483" xr:uid="{00000000-0005-0000-0000-0000A50C0000}"/>
    <cellStyle name="Currency 5 3 2 2 4 3 2" xfId="13912" xr:uid="{FF43CACA-B341-4378-A647-BC62C131F383}"/>
    <cellStyle name="Currency 5 3 2 2 4 4" xfId="9694" xr:uid="{084D7448-1630-47E0-AA14-6BBE91803E0F}"/>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7F5A5595-1714-4D1A-A8AE-1A3574071B99}"/>
    <cellStyle name="Currency 5 3 2 2 5 2 3" xfId="12252" xr:uid="{2C9AA67B-2EA7-4EE6-9200-558CD41D03D6}"/>
    <cellStyle name="Currency 5 3 2 2 5 3" xfId="5896" xr:uid="{00000000-0005-0000-0000-0000A90C0000}"/>
    <cellStyle name="Currency 5 3 2 2 5 3 2" xfId="14325" xr:uid="{57696A5C-9170-4EF2-A143-E6281913299A}"/>
    <cellStyle name="Currency 5 3 2 2 5 4" xfId="10107" xr:uid="{62C73E38-2184-4B64-8792-93C9EBC94047}"/>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7387EFF7-8ACF-466E-AF61-A19438D7AAA2}"/>
    <cellStyle name="Currency 5 3 2 2 6 2 3" xfId="12665" xr:uid="{6038225F-70F7-4706-AED7-52A6BAF292F8}"/>
    <cellStyle name="Currency 5 3 2 2 6 3" xfId="6309" xr:uid="{00000000-0005-0000-0000-0000AD0C0000}"/>
    <cellStyle name="Currency 5 3 2 2 6 3 2" xfId="14738" xr:uid="{5D4D7E65-1A81-4A8D-8E49-1E554F9987A8}"/>
    <cellStyle name="Currency 5 3 2 2 6 4" xfId="10520" xr:uid="{7D7D56A5-1CD6-490B-A259-5E71CFE5FA98}"/>
    <cellStyle name="Currency 5 3 2 2 7" xfId="2436" xr:uid="{00000000-0005-0000-0000-0000AE0C0000}"/>
    <cellStyle name="Currency 5 3 2 2 7 2" xfId="6722" xr:uid="{00000000-0005-0000-0000-0000AF0C0000}"/>
    <cellStyle name="Currency 5 3 2 2 7 2 2" xfId="15151" xr:uid="{EC4FB37C-7E47-4701-9484-E4A76F4240E6}"/>
    <cellStyle name="Currency 5 3 2 2 7 3" xfId="10933" xr:uid="{D20ACBE9-8909-483F-8770-94EA825D4A2C}"/>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83DB6FD9-9A3D-4D55-B396-DFA7571DDB79}"/>
    <cellStyle name="Currency 5 3 2 2 9 3" xfId="11250" xr:uid="{D6E11020-722A-47EB-B105-46A38E50BA20}"/>
    <cellStyle name="Currency 5 3 2 3" xfId="213" xr:uid="{00000000-0005-0000-0000-0000B30C0000}"/>
    <cellStyle name="Currency 5 3 2 3 10" xfId="8869" xr:uid="{FF13644C-B2B7-41C7-A4AA-A44882CBFD65}"/>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69410B1C-F316-4B4E-8E77-E3DA8468FE79}"/>
    <cellStyle name="Currency 5 3 2 3 2 2 3" xfId="11428" xr:uid="{C7E98CBE-033F-4D88-8F2B-7FAD614C143F}"/>
    <cellStyle name="Currency 5 3 2 3 2 3" xfId="5072" xr:uid="{00000000-0005-0000-0000-0000B70C0000}"/>
    <cellStyle name="Currency 5 3 2 3 2 3 2" xfId="13501" xr:uid="{265238D6-C77E-4320-AC26-3F824CE60569}"/>
    <cellStyle name="Currency 5 3 2 3 2 4" xfId="9283" xr:uid="{0B1D21B2-89D6-4FDD-8699-9FECB1D9A4DB}"/>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9A96CE21-D920-4A1F-92AE-15578F340C93}"/>
    <cellStyle name="Currency 5 3 2 3 3 2 3" xfId="11841" xr:uid="{899338CA-B135-4BEC-850D-A2D456F02E8D}"/>
    <cellStyle name="Currency 5 3 2 3 3 3" xfId="5485" xr:uid="{00000000-0005-0000-0000-0000BB0C0000}"/>
    <cellStyle name="Currency 5 3 2 3 3 3 2" xfId="13914" xr:uid="{5057771E-FE90-40BE-9A86-910C7CF067A0}"/>
    <cellStyle name="Currency 5 3 2 3 3 4" xfId="9696" xr:uid="{FA701BDB-115F-40BB-9A37-A3F1DE25569E}"/>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53A3A579-4B13-4912-80EB-DAC46EC8F6CD}"/>
    <cellStyle name="Currency 5 3 2 3 4 2 3" xfId="12254" xr:uid="{B2CA82B3-5A49-4B8B-AA4D-A71C05845BF9}"/>
    <cellStyle name="Currency 5 3 2 3 4 3" xfId="5898" xr:uid="{00000000-0005-0000-0000-0000BF0C0000}"/>
    <cellStyle name="Currency 5 3 2 3 4 3 2" xfId="14327" xr:uid="{030272E3-BF36-46E7-928C-CF8D400CBBC9}"/>
    <cellStyle name="Currency 5 3 2 3 4 4" xfId="10109" xr:uid="{22B6F89F-0341-46AB-A70B-799D5ACA6765}"/>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1B921252-3BF9-4B97-A063-BD9C4EFF3234}"/>
    <cellStyle name="Currency 5 3 2 3 5 2 3" xfId="12667" xr:uid="{C77EDA2C-CE75-4D97-94D9-438D7CEF5CF7}"/>
    <cellStyle name="Currency 5 3 2 3 5 3" xfId="6311" xr:uid="{00000000-0005-0000-0000-0000C30C0000}"/>
    <cellStyle name="Currency 5 3 2 3 5 3 2" xfId="14740" xr:uid="{4E5F2C95-A54C-4126-8112-0228C308490A}"/>
    <cellStyle name="Currency 5 3 2 3 5 4" xfId="10522" xr:uid="{4165653B-775E-45FC-AE24-740101EB8A5B}"/>
    <cellStyle name="Currency 5 3 2 3 6" xfId="2438" xr:uid="{00000000-0005-0000-0000-0000C40C0000}"/>
    <cellStyle name="Currency 5 3 2 3 6 2" xfId="6724" xr:uid="{00000000-0005-0000-0000-0000C50C0000}"/>
    <cellStyle name="Currency 5 3 2 3 6 2 2" xfId="15153" xr:uid="{3B9C910D-2A6B-40EE-B351-C8B8201ED901}"/>
    <cellStyle name="Currency 5 3 2 3 6 3" xfId="10935" xr:uid="{4C61B06B-1E7F-4393-A97D-A83173C8B5BB}"/>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4FACB2EC-96A9-4CAB-AA06-7E3EF7C2E28A}"/>
    <cellStyle name="Currency 5 3 2 3 8 3" xfId="11252" xr:uid="{970DCA6B-E721-4C2A-AF55-F94CB334DF8B}"/>
    <cellStyle name="Currency 5 3 2 3 9" xfId="4658" xr:uid="{00000000-0005-0000-0000-0000C90C0000}"/>
    <cellStyle name="Currency 5 3 2 3 9 2" xfId="13087" xr:uid="{B22FB75F-48B6-4D3E-A921-8E67F3D28859}"/>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D6A047D1-210F-4382-80C2-2BCF5D9EB394}"/>
    <cellStyle name="Currency 5 3 2 4 2 3" xfId="11425" xr:uid="{E33B3CF7-014A-4E27-9A8E-7812944E1517}"/>
    <cellStyle name="Currency 5 3 2 4 3" xfId="5069" xr:uid="{00000000-0005-0000-0000-0000CD0C0000}"/>
    <cellStyle name="Currency 5 3 2 4 3 2" xfId="13498" xr:uid="{B5D35CBF-8FE9-463F-9FDB-56F067300F6B}"/>
    <cellStyle name="Currency 5 3 2 4 4" xfId="9280" xr:uid="{E082E661-66D2-495A-A23B-91DFFB3A676F}"/>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725FE886-661E-4C11-8FC0-218350ECC9AC}"/>
    <cellStyle name="Currency 5 3 2 5 2 3" xfId="11838" xr:uid="{33D6B089-AC50-46F0-A771-C0B93A4DE9F6}"/>
    <cellStyle name="Currency 5 3 2 5 3" xfId="5482" xr:uid="{00000000-0005-0000-0000-0000D10C0000}"/>
    <cellStyle name="Currency 5 3 2 5 3 2" xfId="13911" xr:uid="{6D07D77F-36E2-4CBD-8B47-9BD37D4ED906}"/>
    <cellStyle name="Currency 5 3 2 5 4" xfId="9693" xr:uid="{BDB7D50E-B547-493F-ACD4-7E577E6BE58F}"/>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EA376B46-C96F-40DE-B131-42478D70A2B3}"/>
    <cellStyle name="Currency 5 3 2 6 2 3" xfId="12251" xr:uid="{315564DE-938F-4B41-ACD8-6B7092615C64}"/>
    <cellStyle name="Currency 5 3 2 6 3" xfId="5895" xr:uid="{00000000-0005-0000-0000-0000D50C0000}"/>
    <cellStyle name="Currency 5 3 2 6 3 2" xfId="14324" xr:uid="{317E912C-1C64-4BCD-9B4C-1EB1B36811DF}"/>
    <cellStyle name="Currency 5 3 2 6 4" xfId="10106" xr:uid="{5B00948B-E462-4EBF-82B8-AB69B05592B9}"/>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774D875B-21F6-4926-B4A1-408004303792}"/>
    <cellStyle name="Currency 5 3 2 7 2 3" xfId="12664" xr:uid="{9228134F-A00D-4C71-A4A6-605BF3EF8AF4}"/>
    <cellStyle name="Currency 5 3 2 7 3" xfId="6308" xr:uid="{00000000-0005-0000-0000-0000D90C0000}"/>
    <cellStyle name="Currency 5 3 2 7 3 2" xfId="14737" xr:uid="{75E30AFC-B1DE-4DB4-9A59-63BD9C8ADAA6}"/>
    <cellStyle name="Currency 5 3 2 7 4" xfId="10519" xr:uid="{056A834C-8577-4887-B995-F5D39410D75F}"/>
    <cellStyle name="Currency 5 3 2 8" xfId="2435" xr:uid="{00000000-0005-0000-0000-0000DA0C0000}"/>
    <cellStyle name="Currency 5 3 2 8 2" xfId="6721" xr:uid="{00000000-0005-0000-0000-0000DB0C0000}"/>
    <cellStyle name="Currency 5 3 2 8 2 2" xfId="15150" xr:uid="{927BCC01-8A67-4BB5-909F-277E2277323D}"/>
    <cellStyle name="Currency 5 3 2 8 3" xfId="10932" xr:uid="{B6A4EE9C-8559-4231-B45A-7A3F5CB46552}"/>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5051FCD-82AE-4C62-9206-5041388184EB}"/>
    <cellStyle name="Currency 5 3 3 11" xfId="8870" xr:uid="{D14AFD3C-B330-46C9-93D1-C6A5EC9E1CFB}"/>
    <cellStyle name="Currency 5 3 3 2" xfId="215" xr:uid="{00000000-0005-0000-0000-0000DF0C0000}"/>
    <cellStyle name="Currency 5 3 3 2 10" xfId="8871" xr:uid="{7277107D-24DF-4FCF-B6C8-578BD4BA2126}"/>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19C6B0C5-ED1F-4D18-94E2-8802CBE07716}"/>
    <cellStyle name="Currency 5 3 3 2 2 2 3" xfId="11430" xr:uid="{26704544-2EDB-41E0-B0F3-FB5679118D72}"/>
    <cellStyle name="Currency 5 3 3 2 2 3" xfId="5074" xr:uid="{00000000-0005-0000-0000-0000E30C0000}"/>
    <cellStyle name="Currency 5 3 3 2 2 3 2" xfId="13503" xr:uid="{7BF39D18-0B6D-40A4-87F9-3A097FAA4F6C}"/>
    <cellStyle name="Currency 5 3 3 2 2 4" xfId="9285" xr:uid="{4AA8D2DA-6AD1-4427-A646-8F259160817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144DB825-CF42-4CCF-B387-439982AAD24C}"/>
    <cellStyle name="Currency 5 3 3 2 3 2 3" xfId="11843" xr:uid="{11E4153D-5D5F-4BC2-A304-444CD9470BDF}"/>
    <cellStyle name="Currency 5 3 3 2 3 3" xfId="5487" xr:uid="{00000000-0005-0000-0000-0000E70C0000}"/>
    <cellStyle name="Currency 5 3 3 2 3 3 2" xfId="13916" xr:uid="{2092BD21-3355-429F-8A53-169A1B1CD1A8}"/>
    <cellStyle name="Currency 5 3 3 2 3 4" xfId="9698" xr:uid="{0857580A-7149-4EA9-BECE-5ADDA8B4F3D8}"/>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3762AB7F-4CD9-4F34-A0C5-2524DE89E3A0}"/>
    <cellStyle name="Currency 5 3 3 2 4 2 3" xfId="12256" xr:uid="{6016EB55-47CF-4BD1-BEE0-1F2B1864F056}"/>
    <cellStyle name="Currency 5 3 3 2 4 3" xfId="5900" xr:uid="{00000000-0005-0000-0000-0000EB0C0000}"/>
    <cellStyle name="Currency 5 3 3 2 4 3 2" xfId="14329" xr:uid="{2062D7F1-9E22-411F-A888-08AE8ABDEC21}"/>
    <cellStyle name="Currency 5 3 3 2 4 4" xfId="10111" xr:uid="{E27DD4BD-69F1-4B9E-AFD3-C79F6E6576B9}"/>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5CCF9F21-82E7-4F74-B4CC-439DBF0E23CD}"/>
    <cellStyle name="Currency 5 3 3 2 5 2 3" xfId="12669" xr:uid="{5DE3CE37-7ED4-4DA7-A163-ACE8039653E7}"/>
    <cellStyle name="Currency 5 3 3 2 5 3" xfId="6313" xr:uid="{00000000-0005-0000-0000-0000EF0C0000}"/>
    <cellStyle name="Currency 5 3 3 2 5 3 2" xfId="14742" xr:uid="{713738B1-0D75-4628-B49D-848DF7445EEC}"/>
    <cellStyle name="Currency 5 3 3 2 5 4" xfId="10524" xr:uid="{F00E3BD9-9FE4-43CB-B83B-ACC4DAEE3073}"/>
    <cellStyle name="Currency 5 3 3 2 6" xfId="2440" xr:uid="{00000000-0005-0000-0000-0000F00C0000}"/>
    <cellStyle name="Currency 5 3 3 2 6 2" xfId="6726" xr:uid="{00000000-0005-0000-0000-0000F10C0000}"/>
    <cellStyle name="Currency 5 3 3 2 6 2 2" xfId="15155" xr:uid="{FFC669E0-59C2-4959-984A-D1643CF12829}"/>
    <cellStyle name="Currency 5 3 3 2 6 3" xfId="10937" xr:uid="{A12F27D7-99A3-4B69-AA69-770830234231}"/>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DB2D2CEB-1DA4-485F-93E2-6BFD89C1A00F}"/>
    <cellStyle name="Currency 5 3 3 2 8 3" xfId="11254" xr:uid="{72F774D3-CD25-4647-BAE2-452F5F7C8520}"/>
    <cellStyle name="Currency 5 3 3 2 9" xfId="4660" xr:uid="{00000000-0005-0000-0000-0000F50C0000}"/>
    <cellStyle name="Currency 5 3 3 2 9 2" xfId="13089" xr:uid="{6DA86576-426F-4D8F-A021-98B60B72F009}"/>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2EC761C0-BA15-404C-94A6-1AC389F65CC7}"/>
    <cellStyle name="Currency 5 3 3 3 2 3" xfId="11429" xr:uid="{D4E09099-6DA0-49F2-B3F6-6F23243CB219}"/>
    <cellStyle name="Currency 5 3 3 3 3" xfId="5073" xr:uid="{00000000-0005-0000-0000-0000F90C0000}"/>
    <cellStyle name="Currency 5 3 3 3 3 2" xfId="13502" xr:uid="{B14D1253-B501-486A-B429-DA33D12E40D0}"/>
    <cellStyle name="Currency 5 3 3 3 4" xfId="9284" xr:uid="{898ADFAD-EDC8-45A7-B058-EE28E0F83583}"/>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2B46E658-891C-420C-8E21-745D7F360CD5}"/>
    <cellStyle name="Currency 5 3 3 4 2 3" xfId="11842" xr:uid="{42AECC41-B2AF-4EC1-B747-72E0B121F53E}"/>
    <cellStyle name="Currency 5 3 3 4 3" xfId="5486" xr:uid="{00000000-0005-0000-0000-0000FD0C0000}"/>
    <cellStyle name="Currency 5 3 3 4 3 2" xfId="13915" xr:uid="{E3F6EEAB-7D5C-4618-8AD6-5EE183152A9C}"/>
    <cellStyle name="Currency 5 3 3 4 4" xfId="9697" xr:uid="{6BE003EC-E39F-45DF-9002-9531DE50B31F}"/>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98DF8641-5C57-45F3-A95B-9BA7B77E143B}"/>
    <cellStyle name="Currency 5 3 3 5 2 3" xfId="12255" xr:uid="{16C356E2-866F-4385-B346-22D857F97DDF}"/>
    <cellStyle name="Currency 5 3 3 5 3" xfId="5899" xr:uid="{00000000-0005-0000-0000-0000010D0000}"/>
    <cellStyle name="Currency 5 3 3 5 3 2" xfId="14328" xr:uid="{040A4A11-DD29-4482-A3E1-5C0C2E3758C5}"/>
    <cellStyle name="Currency 5 3 3 5 4" xfId="10110" xr:uid="{00421016-2989-41D6-AE10-1F3E628100F6}"/>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4BF39BB9-F5AD-48FB-AFBE-1872EB764D27}"/>
    <cellStyle name="Currency 5 3 3 6 2 3" xfId="12668" xr:uid="{33DBA7C2-6ABD-4C36-8476-D902E27EDDB6}"/>
    <cellStyle name="Currency 5 3 3 6 3" xfId="6312" xr:uid="{00000000-0005-0000-0000-0000050D0000}"/>
    <cellStyle name="Currency 5 3 3 6 3 2" xfId="14741" xr:uid="{822BD9E9-53CA-485E-B2E4-49BC0F5BDD4E}"/>
    <cellStyle name="Currency 5 3 3 6 4" xfId="10523" xr:uid="{AAB6B254-BC9F-491D-BDF4-885B5D308CEC}"/>
    <cellStyle name="Currency 5 3 3 7" xfId="2439" xr:uid="{00000000-0005-0000-0000-0000060D0000}"/>
    <cellStyle name="Currency 5 3 3 7 2" xfId="6725" xr:uid="{00000000-0005-0000-0000-0000070D0000}"/>
    <cellStyle name="Currency 5 3 3 7 2 2" xfId="15154" xr:uid="{78C3197D-306A-4CC7-AC45-87D916E1F2E4}"/>
    <cellStyle name="Currency 5 3 3 7 3" xfId="10936" xr:uid="{E42E4D04-C0E0-4C59-999F-5D37A5F11F12}"/>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0FEDD861-B9A0-48E8-BAB6-56FFF8EEA74E}"/>
    <cellStyle name="Currency 5 3 3 9 3" xfId="11253" xr:uid="{6679A27D-B3E3-43E7-AA68-D441F7881B8B}"/>
    <cellStyle name="Currency 5 3 4" xfId="216" xr:uid="{00000000-0005-0000-0000-00000B0D0000}"/>
    <cellStyle name="Currency 5 3 4 10" xfId="8872" xr:uid="{9BDBF21E-107D-4E59-BA50-B01082009B5F}"/>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A2019FF4-7D82-47A3-A31C-FB3EECEA2556}"/>
    <cellStyle name="Currency 5 3 4 2 2 3" xfId="11431" xr:uid="{D485382A-95F6-4E30-9E0D-773505773EF5}"/>
    <cellStyle name="Currency 5 3 4 2 3" xfId="5075" xr:uid="{00000000-0005-0000-0000-00000F0D0000}"/>
    <cellStyle name="Currency 5 3 4 2 3 2" xfId="13504" xr:uid="{4C72AE45-04A6-4919-B281-35E5863EF4BD}"/>
    <cellStyle name="Currency 5 3 4 2 4" xfId="9286" xr:uid="{04735B24-FFF4-4E21-95DB-2BCA20D19AE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709522DC-B521-4B85-B8F7-2D726A18C77F}"/>
    <cellStyle name="Currency 5 3 4 3 2 3" xfId="11844" xr:uid="{F660C5F0-BEA2-42B6-8E7D-14A5F6DEB2C7}"/>
    <cellStyle name="Currency 5 3 4 3 3" xfId="5488" xr:uid="{00000000-0005-0000-0000-0000130D0000}"/>
    <cellStyle name="Currency 5 3 4 3 3 2" xfId="13917" xr:uid="{FBAA074E-E522-4865-8412-13A5E3E0B655}"/>
    <cellStyle name="Currency 5 3 4 3 4" xfId="9699" xr:uid="{DDB2D152-7A94-43C1-BC98-9610B28EC6C5}"/>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BD71A010-0032-4D52-86BD-9DB625B44E9A}"/>
    <cellStyle name="Currency 5 3 4 4 2 3" xfId="12257" xr:uid="{544D8F98-D6FB-4FCF-8C7F-756C2A3FBD09}"/>
    <cellStyle name="Currency 5 3 4 4 3" xfId="5901" xr:uid="{00000000-0005-0000-0000-0000170D0000}"/>
    <cellStyle name="Currency 5 3 4 4 3 2" xfId="14330" xr:uid="{C043A4EA-4D60-480E-ADC7-9324AB0D23D1}"/>
    <cellStyle name="Currency 5 3 4 4 4" xfId="10112" xr:uid="{E3F80C7F-A330-4960-BBD5-1320A4188CBC}"/>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47E18254-E916-443C-8075-AE809695BBC7}"/>
    <cellStyle name="Currency 5 3 4 5 2 3" xfId="12670" xr:uid="{7DADCE77-F4EE-4CFF-B28D-9A3750C4BA9F}"/>
    <cellStyle name="Currency 5 3 4 5 3" xfId="6314" xr:uid="{00000000-0005-0000-0000-00001B0D0000}"/>
    <cellStyle name="Currency 5 3 4 5 3 2" xfId="14743" xr:uid="{F2EA8738-6D10-4DC9-8EE1-3234BA4FA69C}"/>
    <cellStyle name="Currency 5 3 4 5 4" xfId="10525" xr:uid="{E972D7C7-55A8-4056-878E-65A70D00E531}"/>
    <cellStyle name="Currency 5 3 4 6" xfId="2441" xr:uid="{00000000-0005-0000-0000-00001C0D0000}"/>
    <cellStyle name="Currency 5 3 4 6 2" xfId="6727" xr:uid="{00000000-0005-0000-0000-00001D0D0000}"/>
    <cellStyle name="Currency 5 3 4 6 2 2" xfId="15156" xr:uid="{F2BA1BC9-0FFF-4EC4-8C24-7F656A7E6DA9}"/>
    <cellStyle name="Currency 5 3 4 6 3" xfId="10938" xr:uid="{4A3EF345-EC32-4FC8-899D-D2D85F220C63}"/>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212C5C26-1E79-4D7B-A1C2-692B2C0A6C25}"/>
    <cellStyle name="Currency 5 3 4 8 3" xfId="11255" xr:uid="{27B45D66-4F24-4F81-B8EE-39B2BAA6560A}"/>
    <cellStyle name="Currency 5 3 4 9" xfId="4661" xr:uid="{00000000-0005-0000-0000-0000210D0000}"/>
    <cellStyle name="Currency 5 3 4 9 2" xfId="13090" xr:uid="{2A342822-EDA7-41FC-A514-5D91CEEC873C}"/>
    <cellStyle name="Currency 5 3 5" xfId="217" xr:uid="{00000000-0005-0000-0000-0000220D0000}"/>
    <cellStyle name="Currency 5 3 5 10" xfId="8873" xr:uid="{08A47F49-8B2A-4F92-8571-ED8E3F8065E4}"/>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75F4CF23-2D4D-422F-A08E-D7E938797B56}"/>
    <cellStyle name="Currency 5 3 5 2 2 3" xfId="11432" xr:uid="{0AE9B01B-E266-4488-91E3-B1D555E1DDF7}"/>
    <cellStyle name="Currency 5 3 5 2 3" xfId="5076" xr:uid="{00000000-0005-0000-0000-0000260D0000}"/>
    <cellStyle name="Currency 5 3 5 2 3 2" xfId="13505" xr:uid="{4DD5E7B1-619D-4DE0-8DEB-FA27FA54141C}"/>
    <cellStyle name="Currency 5 3 5 2 4" xfId="9287" xr:uid="{7FE73009-0FE3-4843-A6A4-6A5DE1E2A06D}"/>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BA53A587-F645-45A4-B756-AC0A2F97E50B}"/>
    <cellStyle name="Currency 5 3 5 3 2 3" xfId="11845" xr:uid="{1367CF88-62A6-48F8-BD8A-95DAD277320A}"/>
    <cellStyle name="Currency 5 3 5 3 3" xfId="5489" xr:uid="{00000000-0005-0000-0000-00002A0D0000}"/>
    <cellStyle name="Currency 5 3 5 3 3 2" xfId="13918" xr:uid="{2A700515-5B89-4963-8178-913B403AC35D}"/>
    <cellStyle name="Currency 5 3 5 3 4" xfId="9700" xr:uid="{B4CCAE6E-0E81-4942-BD40-25002CDBE609}"/>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DB4ED00D-811E-44E4-8A12-514CA7326B7D}"/>
    <cellStyle name="Currency 5 3 5 4 2 3" xfId="12258" xr:uid="{06329557-75DE-4547-A698-EA8BF901B6B4}"/>
    <cellStyle name="Currency 5 3 5 4 3" xfId="5902" xr:uid="{00000000-0005-0000-0000-00002E0D0000}"/>
    <cellStyle name="Currency 5 3 5 4 3 2" xfId="14331" xr:uid="{671850BC-C672-4198-BBDE-78B1693AAE3C}"/>
    <cellStyle name="Currency 5 3 5 4 4" xfId="10113" xr:uid="{698659D4-136D-4AC0-A0C1-3DCCAC14D719}"/>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19BBB729-78E3-42A8-B0A1-5A104AC54A33}"/>
    <cellStyle name="Currency 5 3 5 5 2 3" xfId="12671" xr:uid="{6B4DB07A-6789-4106-A225-AE7EC878855B}"/>
    <cellStyle name="Currency 5 3 5 5 3" xfId="6315" xr:uid="{00000000-0005-0000-0000-0000320D0000}"/>
    <cellStyle name="Currency 5 3 5 5 3 2" xfId="14744" xr:uid="{60B3A38F-3BCE-4129-801D-E9CDBAE1193A}"/>
    <cellStyle name="Currency 5 3 5 5 4" xfId="10526" xr:uid="{6C2975E6-0D08-412D-B1E4-949725CA5008}"/>
    <cellStyle name="Currency 5 3 5 6" xfId="2442" xr:uid="{00000000-0005-0000-0000-0000330D0000}"/>
    <cellStyle name="Currency 5 3 5 6 2" xfId="6728" xr:uid="{00000000-0005-0000-0000-0000340D0000}"/>
    <cellStyle name="Currency 5 3 5 6 2 2" xfId="15157" xr:uid="{8A35ACAB-685A-4109-9509-32608616D41F}"/>
    <cellStyle name="Currency 5 3 5 6 3" xfId="10939" xr:uid="{36405796-9B22-4A9A-BA7D-6AE5EC3D7C63}"/>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F5D98F29-DEFA-4ACE-B3D9-BBC8B809EBC4}"/>
    <cellStyle name="Currency 5 3 5 8 3" xfId="11256" xr:uid="{B51FE35E-BEB5-4A55-B9BC-35435DAEA0D1}"/>
    <cellStyle name="Currency 5 3 5 9" xfId="4662" xr:uid="{00000000-0005-0000-0000-0000380D0000}"/>
    <cellStyle name="Currency 5 3 5 9 2" xfId="13091" xr:uid="{8C618176-4A0B-418F-B7D5-630C609B8943}"/>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A70E8F42-2376-44A4-8728-B6DA54F3182E}"/>
    <cellStyle name="Currency 5 5 11" xfId="8874" xr:uid="{B69F613A-F49A-423E-A926-458A2B08B80E}"/>
    <cellStyle name="Currency 5 5 2" xfId="220" xr:uid="{00000000-0005-0000-0000-00003D0D0000}"/>
    <cellStyle name="Currency 5 5 2 10" xfId="8875" xr:uid="{BB064C60-59C7-4E4E-8455-9787C938EA57}"/>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D96A653D-7FC3-4755-A417-BD6F7146DDEF}"/>
    <cellStyle name="Currency 5 5 2 2 2 3" xfId="11434" xr:uid="{7AE832FC-5317-4BF6-9B8B-DAD2EE9E98F3}"/>
    <cellStyle name="Currency 5 5 2 2 3" xfId="5078" xr:uid="{00000000-0005-0000-0000-0000410D0000}"/>
    <cellStyle name="Currency 5 5 2 2 3 2" xfId="13507" xr:uid="{7B6F573A-EAAF-4B79-B4AD-863D80AFE5BD}"/>
    <cellStyle name="Currency 5 5 2 2 4" xfId="9289" xr:uid="{C274E54C-D3E3-401C-AF1B-007FF76ACCAB}"/>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E85D92AF-6164-49E7-8F87-49C3697A5667}"/>
    <cellStyle name="Currency 5 5 2 3 2 3" xfId="11847" xr:uid="{016FCC6C-1B61-4FA2-8F79-B8136205C4B8}"/>
    <cellStyle name="Currency 5 5 2 3 3" xfId="5491" xr:uid="{00000000-0005-0000-0000-0000450D0000}"/>
    <cellStyle name="Currency 5 5 2 3 3 2" xfId="13920" xr:uid="{7C1608DE-7C47-42EE-B460-60321EB2371F}"/>
    <cellStyle name="Currency 5 5 2 3 4" xfId="9702" xr:uid="{F14187F2-F294-4B16-8EEB-BA0D0572432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18232734-0EEA-4DC4-8E33-7D9D85DD7BB5}"/>
    <cellStyle name="Currency 5 5 2 4 2 3" xfId="12260" xr:uid="{8355F31B-B05E-4B0C-B18C-FDB3640F9AE3}"/>
    <cellStyle name="Currency 5 5 2 4 3" xfId="5904" xr:uid="{00000000-0005-0000-0000-0000490D0000}"/>
    <cellStyle name="Currency 5 5 2 4 3 2" xfId="14333" xr:uid="{91A616C9-345A-48A9-9139-44B553B8BF6F}"/>
    <cellStyle name="Currency 5 5 2 4 4" xfId="10115" xr:uid="{A301E87D-F322-4979-8860-5E238CDD726B}"/>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423E7F42-B845-4F6D-8E21-D68C806B92F2}"/>
    <cellStyle name="Currency 5 5 2 5 2 3" xfId="12673" xr:uid="{9C9A5B9E-3E18-416A-BCD3-5AE5EE431088}"/>
    <cellStyle name="Currency 5 5 2 5 3" xfId="6317" xr:uid="{00000000-0005-0000-0000-00004D0D0000}"/>
    <cellStyle name="Currency 5 5 2 5 3 2" xfId="14746" xr:uid="{660E90B1-5674-4459-AD0D-8B79AA984B57}"/>
    <cellStyle name="Currency 5 5 2 5 4" xfId="10528" xr:uid="{38EA0F73-5A78-4EEE-BB19-6E6C1007E67D}"/>
    <cellStyle name="Currency 5 5 2 6" xfId="2444" xr:uid="{00000000-0005-0000-0000-00004E0D0000}"/>
    <cellStyle name="Currency 5 5 2 6 2" xfId="6730" xr:uid="{00000000-0005-0000-0000-00004F0D0000}"/>
    <cellStyle name="Currency 5 5 2 6 2 2" xfId="15159" xr:uid="{D8EEF584-9A96-4E30-8443-1361CA8E58FC}"/>
    <cellStyle name="Currency 5 5 2 6 3" xfId="10941" xr:uid="{251FD4E4-1364-4D7E-9C08-C650761F92C0}"/>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F844088F-FB9C-4676-B8F4-929882ABF10E}"/>
    <cellStyle name="Currency 5 5 2 8 3" xfId="11258" xr:uid="{60079FEA-B2A1-44B6-A2C3-3D7A7CC940CE}"/>
    <cellStyle name="Currency 5 5 2 9" xfId="4664" xr:uid="{00000000-0005-0000-0000-0000530D0000}"/>
    <cellStyle name="Currency 5 5 2 9 2" xfId="13093" xr:uid="{FFC32DE2-58BA-49AA-8918-A5344BFD9538}"/>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6F3CBDB3-7515-42CA-A424-FE6336964AF4}"/>
    <cellStyle name="Currency 5 5 3 2 3" xfId="11433" xr:uid="{1491AA1A-DC77-4B56-8E69-FCB329577208}"/>
    <cellStyle name="Currency 5 5 3 3" xfId="5077" xr:uid="{00000000-0005-0000-0000-0000570D0000}"/>
    <cellStyle name="Currency 5 5 3 3 2" xfId="13506" xr:uid="{F1AF8C2F-C8E2-43DC-80CB-FB68C6E180E5}"/>
    <cellStyle name="Currency 5 5 3 4" xfId="9288" xr:uid="{384FA21B-907C-4CDE-B896-65B92F28D53D}"/>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C798A88E-67A1-4C0A-B43B-2CB5F12D089E}"/>
    <cellStyle name="Currency 5 5 4 2 3" xfId="11846" xr:uid="{F741FB95-7873-4CC3-9E86-AAC16A95F55A}"/>
    <cellStyle name="Currency 5 5 4 3" xfId="5490" xr:uid="{00000000-0005-0000-0000-00005B0D0000}"/>
    <cellStyle name="Currency 5 5 4 3 2" xfId="13919" xr:uid="{CA5785BB-3BBC-43D4-83D2-213117E4A8F9}"/>
    <cellStyle name="Currency 5 5 4 4" xfId="9701" xr:uid="{DE2C5A6D-A49D-4C3E-BD29-1ED34D7A5E86}"/>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31AC844F-CACC-4481-985C-CA3C75C3F152}"/>
    <cellStyle name="Currency 5 5 5 2 3" xfId="12259" xr:uid="{D476191E-7459-4CE4-A19E-4B3A61AF9796}"/>
    <cellStyle name="Currency 5 5 5 3" xfId="5903" xr:uid="{00000000-0005-0000-0000-00005F0D0000}"/>
    <cellStyle name="Currency 5 5 5 3 2" xfId="14332" xr:uid="{C5569328-08AE-41FC-929E-C86C25EA9C3E}"/>
    <cellStyle name="Currency 5 5 5 4" xfId="10114" xr:uid="{ED4E17E5-557B-436C-96A5-E24E5EDD770F}"/>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AF37E402-4F29-4424-9FEB-0D3D17BAB5FD}"/>
    <cellStyle name="Currency 5 5 6 2 3" xfId="12672" xr:uid="{67173322-6E05-4772-BFDF-F7ADB7021136}"/>
    <cellStyle name="Currency 5 5 6 3" xfId="6316" xr:uid="{00000000-0005-0000-0000-0000630D0000}"/>
    <cellStyle name="Currency 5 5 6 3 2" xfId="14745" xr:uid="{024DE9D4-E62C-4A6F-B067-EC89805A5640}"/>
    <cellStyle name="Currency 5 5 6 4" xfId="10527" xr:uid="{E5D35936-4C3B-4558-B02C-F203D724AA9E}"/>
    <cellStyle name="Currency 5 5 7" xfId="2443" xr:uid="{00000000-0005-0000-0000-0000640D0000}"/>
    <cellStyle name="Currency 5 5 7 2" xfId="6729" xr:uid="{00000000-0005-0000-0000-0000650D0000}"/>
    <cellStyle name="Currency 5 5 7 2 2" xfId="15158" xr:uid="{C908FC73-D68B-4EFC-80EC-5D469C8F32EB}"/>
    <cellStyle name="Currency 5 5 7 3" xfId="10940" xr:uid="{69656108-F274-4CFB-BA91-0058A512B386}"/>
    <cellStyle name="Currency 5 5 8" xfId="2740" xr:uid="{00000000-0005-0000-0000-0000660D0000}"/>
    <cellStyle name="Currency 5 5 9" xfId="2821" xr:uid="{00000000-0005-0000-0000-0000670D0000}"/>
    <cellStyle name="Currency 5 5 9 2" xfId="7046" xr:uid="{00000000-0005-0000-0000-0000680D0000}"/>
    <cellStyle name="Currency 5 5 9 2 2" xfId="15475" xr:uid="{9C312D98-4D56-461A-8647-337AB97F936E}"/>
    <cellStyle name="Currency 5 5 9 3" xfId="11257" xr:uid="{265A069F-DA3D-47E3-9FDE-34C80F550AAD}"/>
    <cellStyle name="Currency 5 6" xfId="221" xr:uid="{00000000-0005-0000-0000-0000690D0000}"/>
    <cellStyle name="Currency 5 6 10" xfId="8876" xr:uid="{8B80D038-EEBB-4BAA-B2DA-5BE7B59F4855}"/>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2182C606-DDF2-46BB-8151-C7E90DF7D07D}"/>
    <cellStyle name="Currency 5 6 2 2 3" xfId="11435" xr:uid="{72534A76-0D09-456C-952D-969F5CC6AE65}"/>
    <cellStyle name="Currency 5 6 2 3" xfId="5079" xr:uid="{00000000-0005-0000-0000-00006D0D0000}"/>
    <cellStyle name="Currency 5 6 2 3 2" xfId="13508" xr:uid="{61D974F9-1E55-4E25-BBCC-D6351D422A3D}"/>
    <cellStyle name="Currency 5 6 2 4" xfId="9290" xr:uid="{C7341D02-541B-41C7-9DF4-F164A7D0B0D6}"/>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46E93864-1A41-49EA-BF97-BBB3DEE6396E}"/>
    <cellStyle name="Currency 5 6 3 2 3" xfId="11848" xr:uid="{87813F3C-71A6-4346-A4AA-20B37C0046CD}"/>
    <cellStyle name="Currency 5 6 3 3" xfId="5492" xr:uid="{00000000-0005-0000-0000-0000710D0000}"/>
    <cellStyle name="Currency 5 6 3 3 2" xfId="13921" xr:uid="{A5DF197E-568A-489B-8624-18FA84D3F617}"/>
    <cellStyle name="Currency 5 6 3 4" xfId="9703" xr:uid="{A7ED6467-BE4F-4310-9CBC-ADF5D7170A91}"/>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31F8DE3E-729F-4D5C-B6DC-BFA2097EE9DD}"/>
    <cellStyle name="Currency 5 6 4 2 3" xfId="12261" xr:uid="{78F3FF29-AD2D-4C97-A1AF-3F1DFEDB8F24}"/>
    <cellStyle name="Currency 5 6 4 3" xfId="5905" xr:uid="{00000000-0005-0000-0000-0000750D0000}"/>
    <cellStyle name="Currency 5 6 4 3 2" xfId="14334" xr:uid="{BE37A252-B5CD-4E04-99B1-1702ED8181FE}"/>
    <cellStyle name="Currency 5 6 4 4" xfId="10116" xr:uid="{82FD1DB8-22FD-48E5-8051-A0D04F2A169C}"/>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CB8554B8-FB5E-44ED-8528-0B32B20406EE}"/>
    <cellStyle name="Currency 5 6 5 2 3" xfId="12674" xr:uid="{284D923E-0E02-4058-8E6A-93CC500BD77C}"/>
    <cellStyle name="Currency 5 6 5 3" xfId="6318" xr:uid="{00000000-0005-0000-0000-0000790D0000}"/>
    <cellStyle name="Currency 5 6 5 3 2" xfId="14747" xr:uid="{A1641E47-97A2-437D-97AD-CBB84B16AF3D}"/>
    <cellStyle name="Currency 5 6 5 4" xfId="10529" xr:uid="{6652EE24-99F2-4675-B96E-D8515D5DFCE6}"/>
    <cellStyle name="Currency 5 6 6" xfId="2445" xr:uid="{00000000-0005-0000-0000-00007A0D0000}"/>
    <cellStyle name="Currency 5 6 6 2" xfId="6731" xr:uid="{00000000-0005-0000-0000-00007B0D0000}"/>
    <cellStyle name="Currency 5 6 6 2 2" xfId="15160" xr:uid="{8D3D00E3-24CD-492A-9A31-5BDD47E5789F}"/>
    <cellStyle name="Currency 5 6 6 3" xfId="10942" xr:uid="{B3739677-4418-4968-A60B-B1AD38DA79BB}"/>
    <cellStyle name="Currency 5 6 7" xfId="2742" xr:uid="{00000000-0005-0000-0000-00007C0D0000}"/>
    <cellStyle name="Currency 5 6 8" xfId="2823" xr:uid="{00000000-0005-0000-0000-00007D0D0000}"/>
    <cellStyle name="Currency 5 6 8 2" xfId="7048" xr:uid="{00000000-0005-0000-0000-00007E0D0000}"/>
    <cellStyle name="Currency 5 6 8 2 2" xfId="15477" xr:uid="{F7185DC1-FB45-4C47-94A7-A555853F9CD1}"/>
    <cellStyle name="Currency 5 6 8 3" xfId="11259" xr:uid="{FDED0B0F-8D4F-4521-A936-C4EBEEFCFE5A}"/>
    <cellStyle name="Currency 5 6 9" xfId="4665" xr:uid="{00000000-0005-0000-0000-00007F0D0000}"/>
    <cellStyle name="Currency 5 6 9 2" xfId="13094" xr:uid="{CAFDFF8B-1676-40C5-A55A-CEBC4ED2BD47}"/>
    <cellStyle name="Currency 5 7" xfId="222" xr:uid="{00000000-0005-0000-0000-0000800D0000}"/>
    <cellStyle name="Currency 5 7 10" xfId="8877" xr:uid="{208A6F79-B7D0-45BD-A3D2-B1BDD2944137}"/>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48E2C93C-4BBF-4D74-ABBC-9CCE4480F2F8}"/>
    <cellStyle name="Currency 5 7 2 2 3" xfId="11436" xr:uid="{E8579926-B6D5-47B3-8682-7FDEFD5B3185}"/>
    <cellStyle name="Currency 5 7 2 3" xfId="5080" xr:uid="{00000000-0005-0000-0000-0000840D0000}"/>
    <cellStyle name="Currency 5 7 2 3 2" xfId="13509" xr:uid="{74E80761-F60B-4B6B-97FB-16C664D795BE}"/>
    <cellStyle name="Currency 5 7 2 4" xfId="9291" xr:uid="{F40A39CE-5E0A-4AFA-A9A5-0CDE53743577}"/>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3F00EE44-622C-442B-A4EF-4CB7D64E6278}"/>
    <cellStyle name="Currency 5 7 3 2 3" xfId="11849" xr:uid="{DFB068D1-6B35-4ADD-946B-6A00529E4CF4}"/>
    <cellStyle name="Currency 5 7 3 3" xfId="5493" xr:uid="{00000000-0005-0000-0000-0000880D0000}"/>
    <cellStyle name="Currency 5 7 3 3 2" xfId="13922" xr:uid="{E4E9CB11-975D-452F-9011-F715D7576D94}"/>
    <cellStyle name="Currency 5 7 3 4" xfId="9704" xr:uid="{2AEB2058-BECD-4CC6-94D7-CEDC455091E9}"/>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48B10C8-3DA1-49E2-B596-0CB80E16941A}"/>
    <cellStyle name="Currency 5 7 4 2 3" xfId="12262" xr:uid="{A4625424-2059-4F55-A792-9265AF7ACBC3}"/>
    <cellStyle name="Currency 5 7 4 3" xfId="5906" xr:uid="{00000000-0005-0000-0000-00008C0D0000}"/>
    <cellStyle name="Currency 5 7 4 3 2" xfId="14335" xr:uid="{37334308-1031-4156-9285-5794C229E5BA}"/>
    <cellStyle name="Currency 5 7 4 4" xfId="10117" xr:uid="{B9E46C24-03FD-44AD-BFB7-295095DFA12C}"/>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4D983DC5-4B14-45A6-AC09-5532814762C1}"/>
    <cellStyle name="Currency 5 7 5 2 3" xfId="12675" xr:uid="{723CF736-C434-4674-88C3-105312A46252}"/>
    <cellStyle name="Currency 5 7 5 3" xfId="6319" xr:uid="{00000000-0005-0000-0000-0000900D0000}"/>
    <cellStyle name="Currency 5 7 5 3 2" xfId="14748" xr:uid="{1E978C6B-9D8C-4990-9AFB-23885F7F4A5A}"/>
    <cellStyle name="Currency 5 7 5 4" xfId="10530" xr:uid="{BA56CB19-C909-4BA8-B0B4-CB3A23769805}"/>
    <cellStyle name="Currency 5 7 6" xfId="2446" xr:uid="{00000000-0005-0000-0000-0000910D0000}"/>
    <cellStyle name="Currency 5 7 6 2" xfId="6732" xr:uid="{00000000-0005-0000-0000-0000920D0000}"/>
    <cellStyle name="Currency 5 7 6 2 2" xfId="15161" xr:uid="{80136E4E-5E3C-4E56-A12D-D6DD29A3D3F3}"/>
    <cellStyle name="Currency 5 7 6 3" xfId="10943" xr:uid="{23FD8E9E-CEB2-4E1B-975D-433AB493FB91}"/>
    <cellStyle name="Currency 5 7 7" xfId="2743" xr:uid="{00000000-0005-0000-0000-0000930D0000}"/>
    <cellStyle name="Currency 5 7 8" xfId="2824" xr:uid="{00000000-0005-0000-0000-0000940D0000}"/>
    <cellStyle name="Currency 5 7 8 2" xfId="7049" xr:uid="{00000000-0005-0000-0000-0000950D0000}"/>
    <cellStyle name="Currency 5 7 8 2 2" xfId="15478" xr:uid="{D314B63F-F489-44A6-A252-994810BE7B12}"/>
    <cellStyle name="Currency 5 7 8 3" xfId="11260" xr:uid="{D11C5B95-C981-436C-9FAA-AAE0A51FFD05}"/>
    <cellStyle name="Currency 5 7 9" xfId="4666" xr:uid="{00000000-0005-0000-0000-0000960D0000}"/>
    <cellStyle name="Currency 5 7 9 2" xfId="13095" xr:uid="{9B1893A9-7527-4233-B4F6-0C7A1DF36583}"/>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34ED8347-0E66-4B72-8917-0E8EDD2B21D3}"/>
    <cellStyle name="Normal 12 10 3" xfId="10944" xr:uid="{134BE5FE-1446-4AAB-8C36-564CA34EF67A}"/>
    <cellStyle name="Normal 12 11" xfId="4667" xr:uid="{00000000-0005-0000-0000-0000CC0D0000}"/>
    <cellStyle name="Normal 12 11 2" xfId="13096" xr:uid="{269D5912-0089-4EAF-8A84-F2E6E27C8302}"/>
    <cellStyle name="Normal 12 12" xfId="8878" xr:uid="{300681AE-EC8E-4B40-BDE9-96F1F8F6CA46}"/>
    <cellStyle name="Normal 12 2" xfId="260" xr:uid="{00000000-0005-0000-0000-0000CD0D0000}"/>
    <cellStyle name="Normal 12 2 10" xfId="8879" xr:uid="{60C38183-AC2E-492D-934F-66FFD1AACB7D}"/>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AB3D1CBF-A424-4872-9881-F34C9E6D6B63}"/>
    <cellStyle name="Normal 12 2 2 2 2 2 3" xfId="11440" xr:uid="{2C5FD345-9E4E-4C8D-AD47-778F64E9110B}"/>
    <cellStyle name="Normal 12 2 2 2 2 3" xfId="5084" xr:uid="{00000000-0005-0000-0000-0000D30D0000}"/>
    <cellStyle name="Normal 12 2 2 2 2 3 2" xfId="13513" xr:uid="{710AA583-46F5-4FD5-9025-0D11B23A8F98}"/>
    <cellStyle name="Normal 12 2 2 2 2 4" xfId="9295" xr:uid="{E099C25E-74EF-4531-8A52-7C1DA27F764B}"/>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951DE048-AC69-409E-B87B-473151FEB260}"/>
    <cellStyle name="Normal 12 2 2 2 3 2 3" xfId="11853" xr:uid="{5474182C-2443-49EA-A55F-1E24FB9D779D}"/>
    <cellStyle name="Normal 12 2 2 2 3 3" xfId="5497" xr:uid="{00000000-0005-0000-0000-0000D70D0000}"/>
    <cellStyle name="Normal 12 2 2 2 3 3 2" xfId="13926" xr:uid="{4B276AE2-E538-46C1-8712-B25EFDF384BB}"/>
    <cellStyle name="Normal 12 2 2 2 3 4" xfId="9708" xr:uid="{331B8F2D-04D6-47B1-B52B-843B4C46B4A4}"/>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3A224C4E-D584-4F00-BFE1-6A2232337D6E}"/>
    <cellStyle name="Normal 12 2 2 2 4 2 3" xfId="12266" xr:uid="{E18DA547-2260-4256-B788-A683C43DA629}"/>
    <cellStyle name="Normal 12 2 2 2 4 3" xfId="5910" xr:uid="{00000000-0005-0000-0000-0000DB0D0000}"/>
    <cellStyle name="Normal 12 2 2 2 4 3 2" xfId="14339" xr:uid="{057A851C-B00C-47BE-991F-9DA6789DE413}"/>
    <cellStyle name="Normal 12 2 2 2 4 4" xfId="10121" xr:uid="{149B76F7-8606-41A9-9F5C-136860E0404E}"/>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904D7F9E-7CB5-4AB2-9B92-893303A10939}"/>
    <cellStyle name="Normal 12 2 2 2 5 2 3" xfId="12679" xr:uid="{C1CB9F35-E72F-4DFC-BDA3-8CDA00E04EF7}"/>
    <cellStyle name="Normal 12 2 2 2 5 3" xfId="6323" xr:uid="{00000000-0005-0000-0000-0000DF0D0000}"/>
    <cellStyle name="Normal 12 2 2 2 5 3 2" xfId="14752" xr:uid="{A4784424-FF88-45E5-B45C-C6B82C818B5F}"/>
    <cellStyle name="Normal 12 2 2 2 5 4" xfId="10534" xr:uid="{B2F20B75-5BA1-47A8-A208-D276CA775728}"/>
    <cellStyle name="Normal 12 2 2 2 6" xfId="2451" xr:uid="{00000000-0005-0000-0000-0000E00D0000}"/>
    <cellStyle name="Normal 12 2 2 2 6 2" xfId="6736" xr:uid="{00000000-0005-0000-0000-0000E10D0000}"/>
    <cellStyle name="Normal 12 2 2 2 6 2 2" xfId="15165" xr:uid="{C21C7289-1E99-44FC-B5A3-F44B4C2D7B2E}"/>
    <cellStyle name="Normal 12 2 2 2 6 3" xfId="10947" xr:uid="{32F41A16-1582-42A5-8A15-C46CEA9F3A13}"/>
    <cellStyle name="Normal 12 2 2 2 7" xfId="4670" xr:uid="{00000000-0005-0000-0000-0000E20D0000}"/>
    <cellStyle name="Normal 12 2 2 2 7 2" xfId="13099" xr:uid="{2A7B968F-C2F4-4084-82EA-2EF1294E08ED}"/>
    <cellStyle name="Normal 12 2 2 2 8" xfId="8881" xr:uid="{778AC816-8879-46BE-BFBD-857FE068463D}"/>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BAC9F301-90CE-4D17-BF93-51E7C9A3EE81}"/>
    <cellStyle name="Normal 12 2 2 3 2 3" xfId="11439" xr:uid="{708002E9-D1C8-4B03-B043-413404A3CAC4}"/>
    <cellStyle name="Normal 12 2 2 3 3" xfId="5083" xr:uid="{00000000-0005-0000-0000-0000E60D0000}"/>
    <cellStyle name="Normal 12 2 2 3 3 2" xfId="13512" xr:uid="{44FD28DE-CB8C-450C-874C-50C806EF39D5}"/>
    <cellStyle name="Normal 12 2 2 3 4" xfId="9294" xr:uid="{319E7027-69FD-439B-8EB4-CF21E2E023DF}"/>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67E1BB8C-129E-4AD3-878E-D51CE17D7890}"/>
    <cellStyle name="Normal 12 2 2 4 2 3" xfId="11852" xr:uid="{215BB75F-9E61-4948-9250-EFE5614E5F0F}"/>
    <cellStyle name="Normal 12 2 2 4 3" xfId="5496" xr:uid="{00000000-0005-0000-0000-0000EA0D0000}"/>
    <cellStyle name="Normal 12 2 2 4 3 2" xfId="13925" xr:uid="{1D6DD290-6DE4-4D84-B8CF-A951A2AE8D8B}"/>
    <cellStyle name="Normal 12 2 2 4 4" xfId="9707" xr:uid="{2938620E-8953-45AF-8481-0E0EB3E0528C}"/>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63938489-09F6-4547-AD7F-4408578845FA}"/>
    <cellStyle name="Normal 12 2 2 5 2 3" xfId="12265" xr:uid="{39882544-C9E7-466F-9ECE-A4AD29AFB27C}"/>
    <cellStyle name="Normal 12 2 2 5 3" xfId="5909" xr:uid="{00000000-0005-0000-0000-0000EE0D0000}"/>
    <cellStyle name="Normal 12 2 2 5 3 2" xfId="14338" xr:uid="{A515BD11-AFA8-42ED-AEE2-8B1EBA53C445}"/>
    <cellStyle name="Normal 12 2 2 5 4" xfId="10120" xr:uid="{15912D4F-129B-4052-B886-48F5C2AD3C7E}"/>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C29A0C0C-F06B-46BA-B485-4B2D7DD32ACF}"/>
    <cellStyle name="Normal 12 2 2 6 2 3" xfId="12678" xr:uid="{E02F99DA-3CA7-473A-A168-DC4A0295EDCA}"/>
    <cellStyle name="Normal 12 2 2 6 3" xfId="6322" xr:uid="{00000000-0005-0000-0000-0000F20D0000}"/>
    <cellStyle name="Normal 12 2 2 6 3 2" xfId="14751" xr:uid="{7E525B18-6763-4378-95AA-818288956738}"/>
    <cellStyle name="Normal 12 2 2 6 4" xfId="10533" xr:uid="{EF8218DE-67DB-4DCA-A44E-8306550FBA12}"/>
    <cellStyle name="Normal 12 2 2 7" xfId="2450" xr:uid="{00000000-0005-0000-0000-0000F30D0000}"/>
    <cellStyle name="Normal 12 2 2 7 2" xfId="6735" xr:uid="{00000000-0005-0000-0000-0000F40D0000}"/>
    <cellStyle name="Normal 12 2 2 7 2 2" xfId="15164" xr:uid="{92415918-F511-4315-B2FF-B75EAA94FD8E}"/>
    <cellStyle name="Normal 12 2 2 7 3" xfId="10946" xr:uid="{EBA06FB5-F14B-4041-9F32-A5675B1C2395}"/>
    <cellStyle name="Normal 12 2 2 8" xfId="4669" xr:uid="{00000000-0005-0000-0000-0000F50D0000}"/>
    <cellStyle name="Normal 12 2 2 8 2" xfId="13098" xr:uid="{B9336997-12ED-4567-AAF7-268CDB6A5ADC}"/>
    <cellStyle name="Normal 12 2 2 9" xfId="8880" xr:uid="{2A364794-DBB3-4807-83E3-3FC45614202D}"/>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9E9B9539-81B2-43EE-9488-28FA96E7D7B9}"/>
    <cellStyle name="Normal 12 2 3 2 2 3" xfId="11441" xr:uid="{E928837F-3A21-4914-A3BE-35123505E0A1}"/>
    <cellStyle name="Normal 12 2 3 2 3" xfId="5085" xr:uid="{00000000-0005-0000-0000-0000FA0D0000}"/>
    <cellStyle name="Normal 12 2 3 2 3 2" xfId="13514" xr:uid="{FCF02FF8-4371-4C65-82CF-87CCA379911D}"/>
    <cellStyle name="Normal 12 2 3 2 4" xfId="9296" xr:uid="{69FE1335-16CF-4A58-AD8A-D1141583CFC1}"/>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B234495D-AF2E-4E32-81BC-CABD91C6EC7E}"/>
    <cellStyle name="Normal 12 2 3 3 2 3" xfId="11854" xr:uid="{9BAE6DFB-9981-4990-A8B2-431820A82554}"/>
    <cellStyle name="Normal 12 2 3 3 3" xfId="5498" xr:uid="{00000000-0005-0000-0000-0000FE0D0000}"/>
    <cellStyle name="Normal 12 2 3 3 3 2" xfId="13927" xr:uid="{8C08FC9B-C899-4673-B8CD-9AD05DABC9E4}"/>
    <cellStyle name="Normal 12 2 3 3 4" xfId="9709" xr:uid="{FB05B013-2523-4A95-B12D-0D0BDF7FD7E6}"/>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22417561-28DB-4848-B4E4-0AB9DCB0E56F}"/>
    <cellStyle name="Normal 12 2 3 4 2 3" xfId="12267" xr:uid="{D5B90884-1A4B-4990-9988-AE0F9A373351}"/>
    <cellStyle name="Normal 12 2 3 4 3" xfId="5911" xr:uid="{00000000-0005-0000-0000-0000020E0000}"/>
    <cellStyle name="Normal 12 2 3 4 3 2" xfId="14340" xr:uid="{348986C3-A3B0-4190-A1F8-EF5E93AD9CD2}"/>
    <cellStyle name="Normal 12 2 3 4 4" xfId="10122" xr:uid="{4AA761C5-9173-4E10-9E4F-4C0DC6E023C6}"/>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25F877A3-5DF3-4C66-BEAE-3EAC367CEABB}"/>
    <cellStyle name="Normal 12 2 3 5 2 3" xfId="12680" xr:uid="{64A159D3-3354-4467-B49A-960701DF9BA5}"/>
    <cellStyle name="Normal 12 2 3 5 3" xfId="6324" xr:uid="{00000000-0005-0000-0000-0000060E0000}"/>
    <cellStyle name="Normal 12 2 3 5 3 2" xfId="14753" xr:uid="{48CAAFE3-D7B8-448B-B281-71F71059B4D5}"/>
    <cellStyle name="Normal 12 2 3 5 4" xfId="10535" xr:uid="{D132E09F-2E6B-4988-A95C-BEA8AFD2AE9E}"/>
    <cellStyle name="Normal 12 2 3 6" xfId="2452" xr:uid="{00000000-0005-0000-0000-0000070E0000}"/>
    <cellStyle name="Normal 12 2 3 6 2" xfId="6737" xr:uid="{00000000-0005-0000-0000-0000080E0000}"/>
    <cellStyle name="Normal 12 2 3 6 2 2" xfId="15166" xr:uid="{83D02A3C-34F3-4875-B7D5-E1029C9094B1}"/>
    <cellStyle name="Normal 12 2 3 6 3" xfId="10948" xr:uid="{ADBF7F4B-AACD-447F-A9D9-C0F1CF8C633B}"/>
    <cellStyle name="Normal 12 2 3 7" xfId="4671" xr:uid="{00000000-0005-0000-0000-0000090E0000}"/>
    <cellStyle name="Normal 12 2 3 7 2" xfId="13100" xr:uid="{C04F92D9-0883-4DB5-8832-2CE72D8671AA}"/>
    <cellStyle name="Normal 12 2 3 8" xfId="8882" xr:uid="{4E361399-FC3B-4097-ADD4-E13852D341FC}"/>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F6AE14AE-25B7-48EB-B9BA-104B1E53A962}"/>
    <cellStyle name="Normal 12 2 4 2 3" xfId="11438" xr:uid="{8544BB7A-5722-4C3E-BEA6-F9255886DBE3}"/>
    <cellStyle name="Normal 12 2 4 3" xfId="5082" xr:uid="{00000000-0005-0000-0000-00000D0E0000}"/>
    <cellStyle name="Normal 12 2 4 3 2" xfId="13511" xr:uid="{9211E297-DCF3-4990-AC72-B6B2FABD6E27}"/>
    <cellStyle name="Normal 12 2 4 4" xfId="9293" xr:uid="{5CA4BD4D-1BB8-4D4B-BACA-93282CC1596D}"/>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3B379127-9FEA-43D0-A43E-30FEAF36A709}"/>
    <cellStyle name="Normal 12 2 5 2 3" xfId="11851" xr:uid="{FD3743EF-0515-4B5E-A55D-DDDEA09DE715}"/>
    <cellStyle name="Normal 12 2 5 3" xfId="5495" xr:uid="{00000000-0005-0000-0000-0000110E0000}"/>
    <cellStyle name="Normal 12 2 5 3 2" xfId="13924" xr:uid="{5E59FCC1-E9F2-4905-A277-87B340BEB199}"/>
    <cellStyle name="Normal 12 2 5 4" xfId="9706" xr:uid="{54E373C9-A43F-4928-8C05-774D8D642684}"/>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16530077-B6D6-43E1-9980-21B256A9D7D6}"/>
    <cellStyle name="Normal 12 2 6 2 3" xfId="12264" xr:uid="{4044EE85-FF08-4295-887B-D765668AEC85}"/>
    <cellStyle name="Normal 12 2 6 3" xfId="5908" xr:uid="{00000000-0005-0000-0000-0000150E0000}"/>
    <cellStyle name="Normal 12 2 6 3 2" xfId="14337" xr:uid="{7250AFEC-B153-47E8-AA9E-4558199D4BB6}"/>
    <cellStyle name="Normal 12 2 6 4" xfId="10119" xr:uid="{9F46DB15-4A96-4487-A91F-87CED3181108}"/>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41A564A0-CA5D-413D-924E-C904CCC418C8}"/>
    <cellStyle name="Normal 12 2 7 2 3" xfId="12677" xr:uid="{3D6342E6-37B3-44CC-BFB8-EB0232E93537}"/>
    <cellStyle name="Normal 12 2 7 3" xfId="6321" xr:uid="{00000000-0005-0000-0000-0000190E0000}"/>
    <cellStyle name="Normal 12 2 7 3 2" xfId="14750" xr:uid="{8E68ACD9-1207-4F16-9CBD-F5E99BA8DE3C}"/>
    <cellStyle name="Normal 12 2 7 4" xfId="10532" xr:uid="{325564B6-0B52-4414-8B1B-3BBA0C7B4384}"/>
    <cellStyle name="Normal 12 2 8" xfId="2449" xr:uid="{00000000-0005-0000-0000-00001A0E0000}"/>
    <cellStyle name="Normal 12 2 8 2" xfId="6734" xr:uid="{00000000-0005-0000-0000-00001B0E0000}"/>
    <cellStyle name="Normal 12 2 8 2 2" xfId="15163" xr:uid="{CBC47178-4047-45C4-AA96-59E9EB80FD6A}"/>
    <cellStyle name="Normal 12 2 8 3" xfId="10945" xr:uid="{E243D811-5FCF-404E-AE43-0F20572FA3FD}"/>
    <cellStyle name="Normal 12 2 9" xfId="4668" xr:uid="{00000000-0005-0000-0000-00001C0E0000}"/>
    <cellStyle name="Normal 12 2 9 2" xfId="13097" xr:uid="{4B2CB4D9-786A-4FC8-BBBD-BA4EFEA4482E}"/>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3208EAFD-C6F4-4C93-BD49-11A3B2311E42}"/>
    <cellStyle name="Normal 12 3 2 2 2 3" xfId="11443" xr:uid="{C47F9B34-0F70-42EA-9CFA-29C06C5FEF77}"/>
    <cellStyle name="Normal 12 3 2 2 3" xfId="5087" xr:uid="{00000000-0005-0000-0000-0000220E0000}"/>
    <cellStyle name="Normal 12 3 2 2 3 2" xfId="13516" xr:uid="{5A581869-A860-4C00-87A4-58EAE82ECF69}"/>
    <cellStyle name="Normal 12 3 2 2 4" xfId="9298" xr:uid="{95E050AD-4C23-4E02-9E7E-9F5559E1E667}"/>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60F5E5B7-1D37-44CC-900A-2B9C33CC8D9A}"/>
    <cellStyle name="Normal 12 3 2 3 2 3" xfId="11856" xr:uid="{38E4CC2A-BCBB-4A6D-A5CA-0E21BA8BB692}"/>
    <cellStyle name="Normal 12 3 2 3 3" xfId="5500" xr:uid="{00000000-0005-0000-0000-0000260E0000}"/>
    <cellStyle name="Normal 12 3 2 3 3 2" xfId="13929" xr:uid="{177EB31A-1446-4A8B-A287-04D6D5DFD2FD}"/>
    <cellStyle name="Normal 12 3 2 3 4" xfId="9711" xr:uid="{6187A5C1-FAF5-49CD-826B-E8586CDDF489}"/>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C78F849D-A75D-423C-A26B-21E3288032F1}"/>
    <cellStyle name="Normal 12 3 2 4 2 3" xfId="12269" xr:uid="{E7FCDA24-99FD-4613-A77B-82A6FAAA3C93}"/>
    <cellStyle name="Normal 12 3 2 4 3" xfId="5913" xr:uid="{00000000-0005-0000-0000-00002A0E0000}"/>
    <cellStyle name="Normal 12 3 2 4 3 2" xfId="14342" xr:uid="{9881762B-A107-45C7-A8BE-FB8006D0B76F}"/>
    <cellStyle name="Normal 12 3 2 4 4" xfId="10124" xr:uid="{6651AD8F-7B1D-4716-AF06-C4607618E9BC}"/>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2C132522-E996-4873-A9A2-5B54B59BC8D0}"/>
    <cellStyle name="Normal 12 3 2 5 2 3" xfId="12682" xr:uid="{D89C29A7-33C6-4ED7-A0E4-3AF005EF5695}"/>
    <cellStyle name="Normal 12 3 2 5 3" xfId="6326" xr:uid="{00000000-0005-0000-0000-00002E0E0000}"/>
    <cellStyle name="Normal 12 3 2 5 3 2" xfId="14755" xr:uid="{C7E0FBEB-6416-471D-900E-70D3C41F7FF0}"/>
    <cellStyle name="Normal 12 3 2 5 4" xfId="10537" xr:uid="{62BC52C6-1F89-4D03-8C2F-131B6530E13D}"/>
    <cellStyle name="Normal 12 3 2 6" xfId="2454" xr:uid="{00000000-0005-0000-0000-00002F0E0000}"/>
    <cellStyle name="Normal 12 3 2 6 2" xfId="6739" xr:uid="{00000000-0005-0000-0000-0000300E0000}"/>
    <cellStyle name="Normal 12 3 2 6 2 2" xfId="15168" xr:uid="{555A4365-FEFF-433C-8363-DE5BDA4BB13D}"/>
    <cellStyle name="Normal 12 3 2 6 3" xfId="10950" xr:uid="{4F21E124-95AC-400B-96FF-ACBABCCCC2DA}"/>
    <cellStyle name="Normal 12 3 2 7" xfId="4673" xr:uid="{00000000-0005-0000-0000-0000310E0000}"/>
    <cellStyle name="Normal 12 3 2 7 2" xfId="13102" xr:uid="{9F03A7A9-90C7-431A-8FA9-4BD4AFD61713}"/>
    <cellStyle name="Normal 12 3 2 8" xfId="8884" xr:uid="{EED251CC-E0F9-40B7-8DD4-844E1CF8ABB6}"/>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89B8B01B-F56D-4FC0-B661-E960D0239C97}"/>
    <cellStyle name="Normal 12 3 3 2 3" xfId="11442" xr:uid="{CCD62E9E-F519-44F4-AB82-35B8304B7140}"/>
    <cellStyle name="Normal 12 3 3 3" xfId="5086" xr:uid="{00000000-0005-0000-0000-0000350E0000}"/>
    <cellStyle name="Normal 12 3 3 3 2" xfId="13515" xr:uid="{47316F55-E160-407D-93E3-B61C6A829458}"/>
    <cellStyle name="Normal 12 3 3 4" xfId="9297" xr:uid="{4ED08C68-456A-4F43-8019-A5389FE642EB}"/>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10E1F7F8-F433-4FCB-9B39-5BF37FA4476E}"/>
    <cellStyle name="Normal 12 3 4 2 3" xfId="11855" xr:uid="{8DFD18F9-1A30-499A-8C72-0E3C31388850}"/>
    <cellStyle name="Normal 12 3 4 3" xfId="5499" xr:uid="{00000000-0005-0000-0000-0000390E0000}"/>
    <cellStyle name="Normal 12 3 4 3 2" xfId="13928" xr:uid="{1A5198A8-0D0C-4523-B522-0F18683243D0}"/>
    <cellStyle name="Normal 12 3 4 4" xfId="9710" xr:uid="{D9F56A8F-E879-4F7D-9D38-51958C280904}"/>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40648544-9338-4444-B73C-9560A3969CC2}"/>
    <cellStyle name="Normal 12 3 5 2 3" xfId="12268" xr:uid="{56BECD11-19C5-499B-AC25-2C57FAA7DAE8}"/>
    <cellStyle name="Normal 12 3 5 3" xfId="5912" xr:uid="{00000000-0005-0000-0000-00003D0E0000}"/>
    <cellStyle name="Normal 12 3 5 3 2" xfId="14341" xr:uid="{B43DB4AC-CC1C-4FD9-AEC3-620DFC8C73A3}"/>
    <cellStyle name="Normal 12 3 5 4" xfId="10123" xr:uid="{1D3F1DC1-EEC1-4956-8B28-D24716B6A341}"/>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D4E5A07E-C530-44FB-8857-B1C1A7BD834C}"/>
    <cellStyle name="Normal 12 3 6 2 3" xfId="12681" xr:uid="{3C692458-6C91-43D8-816B-D692C97EC5B1}"/>
    <cellStyle name="Normal 12 3 6 3" xfId="6325" xr:uid="{00000000-0005-0000-0000-0000410E0000}"/>
    <cellStyle name="Normal 12 3 6 3 2" xfId="14754" xr:uid="{B33B86BF-76B6-4A2C-8284-1C8DA1372340}"/>
    <cellStyle name="Normal 12 3 6 4" xfId="10536" xr:uid="{A1F8013F-39C2-4FB8-AFD6-20B2E4368085}"/>
    <cellStyle name="Normal 12 3 7" xfId="2453" xr:uid="{00000000-0005-0000-0000-0000420E0000}"/>
    <cellStyle name="Normal 12 3 7 2" xfId="6738" xr:uid="{00000000-0005-0000-0000-0000430E0000}"/>
    <cellStyle name="Normal 12 3 7 2 2" xfId="15167" xr:uid="{ED0078E1-0A9A-4814-B0C9-EED066DC892D}"/>
    <cellStyle name="Normal 12 3 7 3" xfId="10949" xr:uid="{63EEC401-EC20-4894-81DA-DC85DD15C5D6}"/>
    <cellStyle name="Normal 12 3 8" xfId="4672" xr:uid="{00000000-0005-0000-0000-0000440E0000}"/>
    <cellStyle name="Normal 12 3 8 2" xfId="13101" xr:uid="{7CFB0BC5-6608-4AB8-94CA-B3FB163818A8}"/>
    <cellStyle name="Normal 12 3 9" xfId="8883" xr:uid="{24EB183A-2C2D-4CD1-829A-29A0359EEEC4}"/>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4B8993F4-7F54-4239-8DED-F6D4A1B462C1}"/>
    <cellStyle name="Normal 12 4 2 2 3" xfId="11444" xr:uid="{BAA1BD47-E910-45D1-AC20-2BCD4637B82E}"/>
    <cellStyle name="Normal 12 4 2 3" xfId="5088" xr:uid="{00000000-0005-0000-0000-0000490E0000}"/>
    <cellStyle name="Normal 12 4 2 3 2" xfId="13517" xr:uid="{4E88BCE5-5FA3-43D3-819A-D5C75BF72F12}"/>
    <cellStyle name="Normal 12 4 2 4" xfId="9299" xr:uid="{20F7A0DB-348A-400F-BFE0-D8C271F01E48}"/>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EAEEF6C8-04B5-43CD-8826-50D80F6BEC3D}"/>
    <cellStyle name="Normal 12 4 3 2 3" xfId="11857" xr:uid="{081DB03E-8239-4535-AF05-E170FE1AAA56}"/>
    <cellStyle name="Normal 12 4 3 3" xfId="5501" xr:uid="{00000000-0005-0000-0000-00004D0E0000}"/>
    <cellStyle name="Normal 12 4 3 3 2" xfId="13930" xr:uid="{6859D67C-610F-4731-A758-B954FBCC77D6}"/>
    <cellStyle name="Normal 12 4 3 4" xfId="9712" xr:uid="{61223268-F8F2-4970-9DB3-15397D5F5BEB}"/>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1A819B05-818A-4DAA-8CB1-71C817851B20}"/>
    <cellStyle name="Normal 12 4 4 2 3" xfId="12270" xr:uid="{E56C83C7-3F8A-4DEB-8F90-4DF78ECD5D31}"/>
    <cellStyle name="Normal 12 4 4 3" xfId="5914" xr:uid="{00000000-0005-0000-0000-0000510E0000}"/>
    <cellStyle name="Normal 12 4 4 3 2" xfId="14343" xr:uid="{325E14F1-28B6-4AA5-8141-42D1FFE83688}"/>
    <cellStyle name="Normal 12 4 4 4" xfId="10125" xr:uid="{CBCA230A-E31F-4F25-8F9C-99D74BEA3D12}"/>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8FCB2AF0-9058-4A54-8959-50286ED748BF}"/>
    <cellStyle name="Normal 12 4 5 2 3" xfId="12683" xr:uid="{01A2FC89-13A0-4CD2-AD58-55C5323B1411}"/>
    <cellStyle name="Normal 12 4 5 3" xfId="6327" xr:uid="{00000000-0005-0000-0000-0000550E0000}"/>
    <cellStyle name="Normal 12 4 5 3 2" xfId="14756" xr:uid="{CBA0106F-8430-43B5-A39B-C1FBC40BFECC}"/>
    <cellStyle name="Normal 12 4 5 4" xfId="10538" xr:uid="{15C54D9C-E6B8-4171-945C-E7E5EA156D1D}"/>
    <cellStyle name="Normal 12 4 6" xfId="2455" xr:uid="{00000000-0005-0000-0000-0000560E0000}"/>
    <cellStyle name="Normal 12 4 6 2" xfId="6740" xr:uid="{00000000-0005-0000-0000-0000570E0000}"/>
    <cellStyle name="Normal 12 4 6 2 2" xfId="15169" xr:uid="{108BD77F-9854-44F7-9632-2BE33D48691E}"/>
    <cellStyle name="Normal 12 4 6 3" xfId="10951" xr:uid="{6FE72E7E-E28E-49AD-A4F8-55A2C25C58AD}"/>
    <cellStyle name="Normal 12 4 7" xfId="4674" xr:uid="{00000000-0005-0000-0000-0000580E0000}"/>
    <cellStyle name="Normal 12 4 7 2" xfId="13103" xr:uid="{B9D54D88-2DD9-4AE5-ABC5-22264F7D350E}"/>
    <cellStyle name="Normal 12 4 8" xfId="8885" xr:uid="{7F4CA9F0-D88F-48C6-8EB0-213F57940788}"/>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907C28E7-B01F-4266-BB63-90B959F19D39}"/>
    <cellStyle name="Normal 12 6 2 3" xfId="11437" xr:uid="{B08E50D7-3EA6-42C8-85FE-A817FA92490C}"/>
    <cellStyle name="Normal 12 6 3" xfId="5081" xr:uid="{00000000-0005-0000-0000-00005D0E0000}"/>
    <cellStyle name="Normal 12 6 3 2" xfId="13510" xr:uid="{15306F7F-787D-40A0-BD71-406B0803F38A}"/>
    <cellStyle name="Normal 12 6 4" xfId="9292" xr:uid="{BD5F5C15-7B50-4DC5-B094-3F9ABB223E89}"/>
    <cellStyle name="Normal 12 7" xfId="1184" xr:uid="{00000000-0005-0000-0000-00005E0E0000}"/>
    <cellStyle name="Normal 12 7 2" xfId="3415" xr:uid="{00000000-0005-0000-0000-00005F0E0000}"/>
    <cellStyle name="Normal 12 7 2 2" xfId="7639" xr:uid="{00000000-0005-0000-0000-0000600E0000}"/>
    <cellStyle name="Normal 12 7 2 2 2" xfId="16068" xr:uid="{2B3E88F2-6D10-4172-BE1D-8E0335C544DC}"/>
    <cellStyle name="Normal 12 7 2 3" xfId="11850" xr:uid="{58178ACD-C5B0-4557-A3C6-430D2C32C861}"/>
    <cellStyle name="Normal 12 7 3" xfId="5494" xr:uid="{00000000-0005-0000-0000-0000610E0000}"/>
    <cellStyle name="Normal 12 7 3 2" xfId="13923" xr:uid="{C9A6443E-5396-4985-94BD-25F92462F927}"/>
    <cellStyle name="Normal 12 7 4" xfId="9705" xr:uid="{A55BECFD-7C7A-4B01-A637-E8D75CA6B5B2}"/>
    <cellStyle name="Normal 12 8" xfId="1598" xr:uid="{00000000-0005-0000-0000-0000620E0000}"/>
    <cellStyle name="Normal 12 8 2" xfId="3828" xr:uid="{00000000-0005-0000-0000-0000630E0000}"/>
    <cellStyle name="Normal 12 8 2 2" xfId="8052" xr:uid="{00000000-0005-0000-0000-0000640E0000}"/>
    <cellStyle name="Normal 12 8 2 2 2" xfId="16481" xr:uid="{E5A16A9F-3B31-4EB1-B321-4333656B24B0}"/>
    <cellStyle name="Normal 12 8 2 3" xfId="12263" xr:uid="{BE4EB427-B98F-4952-AC7F-F6EDB78A74DE}"/>
    <cellStyle name="Normal 12 8 3" xfId="5907" xr:uid="{00000000-0005-0000-0000-0000650E0000}"/>
    <cellStyle name="Normal 12 8 3 2" xfId="14336" xr:uid="{EC38F66F-29C8-4230-8AE8-CF55CA0C0163}"/>
    <cellStyle name="Normal 12 8 4" xfId="10118" xr:uid="{76384ABA-1D04-40C5-88FE-53C746BAC6E5}"/>
    <cellStyle name="Normal 12 9" xfId="2012" xr:uid="{00000000-0005-0000-0000-0000660E0000}"/>
    <cellStyle name="Normal 12 9 2" xfId="4241" xr:uid="{00000000-0005-0000-0000-0000670E0000}"/>
    <cellStyle name="Normal 12 9 2 2" xfId="8465" xr:uid="{00000000-0005-0000-0000-0000680E0000}"/>
    <cellStyle name="Normal 12 9 2 2 2" xfId="16894" xr:uid="{1ACC5D89-5DF5-42B9-97AD-AFC3DF051CE6}"/>
    <cellStyle name="Normal 12 9 2 3" xfId="12676" xr:uid="{257C25E8-03A6-4827-928E-55D066578C81}"/>
    <cellStyle name="Normal 12 9 3" xfId="6320" xr:uid="{00000000-0005-0000-0000-0000690E0000}"/>
    <cellStyle name="Normal 12 9 3 2" xfId="14749" xr:uid="{5DB286F3-BAE0-42DD-AF23-74D1B6CA9B19}"/>
    <cellStyle name="Normal 12 9 4" xfId="10531" xr:uid="{8C6CACC0-D52D-4D76-99F3-2E6A4D919294}"/>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24F2168C-9147-4C80-97DE-87AC7A096FB8}"/>
    <cellStyle name="Normal 14 2 2 3" xfId="11445" xr:uid="{4C2AB178-D687-4DB6-936F-82A3C9921012}"/>
    <cellStyle name="Normal 14 2 3" xfId="5089" xr:uid="{00000000-0005-0000-0000-0000700E0000}"/>
    <cellStyle name="Normal 14 2 3 2" xfId="13518" xr:uid="{4AC978B4-3619-444E-8D89-C1460D3AF2DF}"/>
    <cellStyle name="Normal 14 2 4" xfId="9300" xr:uid="{12F5C17E-FAEB-421B-B402-325C37C78EE5}"/>
    <cellStyle name="Normal 14 3" xfId="1192" xr:uid="{00000000-0005-0000-0000-0000710E0000}"/>
    <cellStyle name="Normal 14 3 2" xfId="3423" xr:uid="{00000000-0005-0000-0000-0000720E0000}"/>
    <cellStyle name="Normal 14 3 2 2" xfId="7647" xr:uid="{00000000-0005-0000-0000-0000730E0000}"/>
    <cellStyle name="Normal 14 3 2 2 2" xfId="16076" xr:uid="{B0F7895B-CEA5-4B4E-AF3E-961FCB736C9F}"/>
    <cellStyle name="Normal 14 3 2 3" xfId="11858" xr:uid="{741BE09A-D3AA-4C04-B803-67BB7CFB6641}"/>
    <cellStyle name="Normal 14 3 3" xfId="5502" xr:uid="{00000000-0005-0000-0000-0000740E0000}"/>
    <cellStyle name="Normal 14 3 3 2" xfId="13931" xr:uid="{28A7A378-AAC4-41E3-BE10-FB2D84BC50BA}"/>
    <cellStyle name="Normal 14 3 4" xfId="9713" xr:uid="{772282FF-CD33-40BA-9AFB-03F3F6628C25}"/>
    <cellStyle name="Normal 14 4" xfId="1606" xr:uid="{00000000-0005-0000-0000-0000750E0000}"/>
    <cellStyle name="Normal 14 4 2" xfId="3836" xr:uid="{00000000-0005-0000-0000-0000760E0000}"/>
    <cellStyle name="Normal 14 4 2 2" xfId="8060" xr:uid="{00000000-0005-0000-0000-0000770E0000}"/>
    <cellStyle name="Normal 14 4 2 2 2" xfId="16489" xr:uid="{DE9E11B8-5015-4852-944F-ACD13764411D}"/>
    <cellStyle name="Normal 14 4 2 3" xfId="12271" xr:uid="{36CA8459-EE63-433F-8482-8FF43C6BA7A9}"/>
    <cellStyle name="Normal 14 4 3" xfId="5915" xr:uid="{00000000-0005-0000-0000-0000780E0000}"/>
    <cellStyle name="Normal 14 4 3 2" xfId="14344" xr:uid="{6B5C4C7F-935F-49E0-8924-42F7819B0543}"/>
    <cellStyle name="Normal 14 4 4" xfId="10126" xr:uid="{F9EE58EB-0886-4BF2-8ADD-7A5AEA4C25EF}"/>
    <cellStyle name="Normal 14 5" xfId="2020" xr:uid="{00000000-0005-0000-0000-0000790E0000}"/>
    <cellStyle name="Normal 14 5 2" xfId="4249" xr:uid="{00000000-0005-0000-0000-00007A0E0000}"/>
    <cellStyle name="Normal 14 5 2 2" xfId="8473" xr:uid="{00000000-0005-0000-0000-00007B0E0000}"/>
    <cellStyle name="Normal 14 5 2 2 2" xfId="16902" xr:uid="{C9E7583F-8CEA-4F1B-AF4C-E356B1D3616A}"/>
    <cellStyle name="Normal 14 5 2 3" xfId="12684" xr:uid="{0386DDCB-52F0-4CE9-BB9A-4F293C2862BF}"/>
    <cellStyle name="Normal 14 5 3" xfId="6328" xr:uid="{00000000-0005-0000-0000-00007C0E0000}"/>
    <cellStyle name="Normal 14 5 3 2" xfId="14757" xr:uid="{AE6788D6-2901-4117-84E1-0F64BB6F8FC8}"/>
    <cellStyle name="Normal 14 5 4" xfId="10539" xr:uid="{6A3AE782-9CC3-4D9D-BF5B-60111FDBFDDE}"/>
    <cellStyle name="Normal 14 6" xfId="2456" xr:uid="{00000000-0005-0000-0000-00007D0E0000}"/>
    <cellStyle name="Normal 14 6 2" xfId="6741" xr:uid="{00000000-0005-0000-0000-00007E0E0000}"/>
    <cellStyle name="Normal 14 6 2 2" xfId="15170" xr:uid="{D1B53D0E-2EB3-49BC-AB20-92E0A7BAC7BA}"/>
    <cellStyle name="Normal 14 6 3" xfId="10952" xr:uid="{8F7FE62F-0C71-48B9-A0A5-30BEF43B537A}"/>
    <cellStyle name="Normal 14 7" xfId="4675" xr:uid="{00000000-0005-0000-0000-00007F0E0000}"/>
    <cellStyle name="Normal 14 7 2" xfId="13104" xr:uid="{E93E4D55-91FB-4CBA-96F6-632D214A781B}"/>
    <cellStyle name="Normal 14 8" xfId="8886" xr:uid="{509016CE-C37D-4F36-B20A-2AA07532DDB3}"/>
    <cellStyle name="Normal 15" xfId="4497" xr:uid="{00000000-0005-0000-0000-0000800E0000}"/>
    <cellStyle name="Normal 15 2" xfId="12930" xr:uid="{3EC300DB-1B49-4F63-A6F4-6163EBCEDC43}"/>
    <cellStyle name="Normal 16" xfId="4501" xr:uid="{00000000-0005-0000-0000-0000810E0000}"/>
    <cellStyle name="Normal 16 2" xfId="12933" xr:uid="{0650754F-4212-425A-9BF8-DEDF0FAB10B3}"/>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491BEDA1-5881-4ECD-8F41-CBEA30FDA8E5}"/>
    <cellStyle name="Normal 2 4 2 10 2 3" xfId="12685" xr:uid="{FC08B318-EEEE-44AF-A096-A47A9D051B61}"/>
    <cellStyle name="Normal 2 4 2 10 3" xfId="6329" xr:uid="{00000000-0005-0000-0000-0000900E0000}"/>
    <cellStyle name="Normal 2 4 2 10 3 2" xfId="14758" xr:uid="{3C6A529D-68A7-4FD2-9EB7-EBF314FCCB64}"/>
    <cellStyle name="Normal 2 4 2 10 4" xfId="10540" xr:uid="{42A029A6-6B37-44E1-A67B-F2133565C736}"/>
    <cellStyle name="Normal 2 4 2 11" xfId="2457" xr:uid="{00000000-0005-0000-0000-0000910E0000}"/>
    <cellStyle name="Normal 2 4 2 11 2" xfId="6742" xr:uid="{00000000-0005-0000-0000-0000920E0000}"/>
    <cellStyle name="Normal 2 4 2 11 2 2" xfId="15171" xr:uid="{EAA91E49-4C29-4372-814A-3906D514AFC5}"/>
    <cellStyle name="Normal 2 4 2 11 3" xfId="10953" xr:uid="{11922B56-F11A-43A9-99ED-BB1D8FA245AB}"/>
    <cellStyle name="Normal 2 4 2 12" xfId="4676" xr:uid="{00000000-0005-0000-0000-0000930E0000}"/>
    <cellStyle name="Normal 2 4 2 12 2" xfId="13105" xr:uid="{D1DB0F29-37B3-46D4-A975-C27EB5406FC9}"/>
    <cellStyle name="Normal 2 4 2 13" xfId="8887" xr:uid="{EE68E3B4-014F-40CE-AB9D-58D50D950656}"/>
    <cellStyle name="Normal 2 4 2 2" xfId="280" xr:uid="{00000000-0005-0000-0000-0000940E0000}"/>
    <cellStyle name="Normal 2 4 2 3" xfId="281" xr:uid="{00000000-0005-0000-0000-0000950E0000}"/>
    <cellStyle name="Normal 2 4 2 3 10" xfId="4677" xr:uid="{00000000-0005-0000-0000-0000960E0000}"/>
    <cellStyle name="Normal 2 4 2 3 10 2" xfId="13106" xr:uid="{D9139730-0826-40D2-8996-E00F3909B712}"/>
    <cellStyle name="Normal 2 4 2 3 11" xfId="8888" xr:uid="{A7422B59-71DD-4213-B50C-F412270431B7}"/>
    <cellStyle name="Normal 2 4 2 3 2" xfId="282" xr:uid="{00000000-0005-0000-0000-0000970E0000}"/>
    <cellStyle name="Normal 2 4 2 3 2 10" xfId="8889" xr:uid="{D6B94EAA-F736-466B-9E16-5644031A9657}"/>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762A69AD-0D0A-4EDF-AEFA-58EC1B505C6D}"/>
    <cellStyle name="Normal 2 4 2 3 2 2 2 2 2 3" xfId="11450" xr:uid="{A79190DA-136B-49A9-920F-6B2B6405FBE5}"/>
    <cellStyle name="Normal 2 4 2 3 2 2 2 2 3" xfId="5094" xr:uid="{00000000-0005-0000-0000-00009D0E0000}"/>
    <cellStyle name="Normal 2 4 2 3 2 2 2 2 3 2" xfId="13523" xr:uid="{19301AB2-A64D-4D48-88E8-BBDC1074C3C4}"/>
    <cellStyle name="Normal 2 4 2 3 2 2 2 2 4" xfId="9305" xr:uid="{606C5A1C-6840-47D2-9F1B-72EC3D751C3F}"/>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EDA1B49D-05FB-4B7A-A7A9-46CEA15DA90F}"/>
    <cellStyle name="Normal 2 4 2 3 2 2 2 3 2 3" xfId="11863" xr:uid="{3B3717EF-B852-4660-918C-25DBFA08E1A9}"/>
    <cellStyle name="Normal 2 4 2 3 2 2 2 3 3" xfId="5507" xr:uid="{00000000-0005-0000-0000-0000A10E0000}"/>
    <cellStyle name="Normal 2 4 2 3 2 2 2 3 3 2" xfId="13936" xr:uid="{5B924D60-36C7-429C-BF88-7F9A544E5ED6}"/>
    <cellStyle name="Normal 2 4 2 3 2 2 2 3 4" xfId="9718" xr:uid="{14D65BF1-A270-46B2-AE5F-61F90EAC5258}"/>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982CB347-6604-4133-8B07-7A619EA84079}"/>
    <cellStyle name="Normal 2 4 2 3 2 2 2 4 2 3" xfId="12276" xr:uid="{D3E37D2B-8566-4A0E-81C3-36451260228B}"/>
    <cellStyle name="Normal 2 4 2 3 2 2 2 4 3" xfId="5920" xr:uid="{00000000-0005-0000-0000-0000A50E0000}"/>
    <cellStyle name="Normal 2 4 2 3 2 2 2 4 3 2" xfId="14349" xr:uid="{90879679-6E4D-4C92-8725-B551D390C1DF}"/>
    <cellStyle name="Normal 2 4 2 3 2 2 2 4 4" xfId="10131" xr:uid="{235DDE11-A0BC-40F0-8C4C-8F4D4751CD2D}"/>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0CB89978-973A-47EE-ABF4-4D9ABE00DE0F}"/>
    <cellStyle name="Normal 2 4 2 3 2 2 2 5 2 3" xfId="12689" xr:uid="{862C9DC9-0E6D-459D-9FA5-031E7B543360}"/>
    <cellStyle name="Normal 2 4 2 3 2 2 2 5 3" xfId="6333" xr:uid="{00000000-0005-0000-0000-0000A90E0000}"/>
    <cellStyle name="Normal 2 4 2 3 2 2 2 5 3 2" xfId="14762" xr:uid="{4646FA57-FF41-4D48-8B18-CB28141EA219}"/>
    <cellStyle name="Normal 2 4 2 3 2 2 2 5 4" xfId="10544" xr:uid="{1A4986A1-6013-42DD-A517-42E67FC3B9B0}"/>
    <cellStyle name="Normal 2 4 2 3 2 2 2 6" xfId="2461" xr:uid="{00000000-0005-0000-0000-0000AA0E0000}"/>
    <cellStyle name="Normal 2 4 2 3 2 2 2 6 2" xfId="6746" xr:uid="{00000000-0005-0000-0000-0000AB0E0000}"/>
    <cellStyle name="Normal 2 4 2 3 2 2 2 6 2 2" xfId="15175" xr:uid="{0FE8232C-30DC-410F-9629-B99891E82CBC}"/>
    <cellStyle name="Normal 2 4 2 3 2 2 2 6 3" xfId="10957" xr:uid="{4637EE26-F5FB-479F-B5BE-A43F04CDF2CF}"/>
    <cellStyle name="Normal 2 4 2 3 2 2 2 7" xfId="4680" xr:uid="{00000000-0005-0000-0000-0000AC0E0000}"/>
    <cellStyle name="Normal 2 4 2 3 2 2 2 7 2" xfId="13109" xr:uid="{216C3110-79A7-4E8A-BB82-7CF78E17A2A0}"/>
    <cellStyle name="Normal 2 4 2 3 2 2 2 8" xfId="8891" xr:uid="{B00AF300-AB2E-4E91-93A5-855D9A3C0639}"/>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0DDFF2E9-29AC-4389-BDBD-7BA58054A4B9}"/>
    <cellStyle name="Normal 2 4 2 3 2 2 3 2 3" xfId="11449" xr:uid="{660EC5CF-767C-4995-A298-1BCFEBD6CF4A}"/>
    <cellStyle name="Normal 2 4 2 3 2 2 3 3" xfId="5093" xr:uid="{00000000-0005-0000-0000-0000B00E0000}"/>
    <cellStyle name="Normal 2 4 2 3 2 2 3 3 2" xfId="13522" xr:uid="{AE9B4F27-DF40-4373-A943-93297480EB45}"/>
    <cellStyle name="Normal 2 4 2 3 2 2 3 4" xfId="9304" xr:uid="{0758F299-B32F-4979-8F0B-365DFEAAB2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8122373D-09EC-4ACB-9EFF-A5012A561C29}"/>
    <cellStyle name="Normal 2 4 2 3 2 2 4 2 3" xfId="11862" xr:uid="{B99B8DAC-ACB3-4147-9BE7-FF43F4F83C34}"/>
    <cellStyle name="Normal 2 4 2 3 2 2 4 3" xfId="5506" xr:uid="{00000000-0005-0000-0000-0000B40E0000}"/>
    <cellStyle name="Normal 2 4 2 3 2 2 4 3 2" xfId="13935" xr:uid="{F7977CAA-1899-466B-AE49-E9DF0D240D9F}"/>
    <cellStyle name="Normal 2 4 2 3 2 2 4 4" xfId="9717" xr:uid="{BDD4F59F-C8C6-4376-8D72-4230EA6A48AF}"/>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D88FD0E7-2200-45BF-A5F5-5D4879598B74}"/>
    <cellStyle name="Normal 2 4 2 3 2 2 5 2 3" xfId="12275" xr:uid="{5F755014-36C7-4B1F-BCC1-8592623B9A25}"/>
    <cellStyle name="Normal 2 4 2 3 2 2 5 3" xfId="5919" xr:uid="{00000000-0005-0000-0000-0000B80E0000}"/>
    <cellStyle name="Normal 2 4 2 3 2 2 5 3 2" xfId="14348" xr:uid="{02B60538-7215-4CF0-93CB-301A6DAB56E5}"/>
    <cellStyle name="Normal 2 4 2 3 2 2 5 4" xfId="10130" xr:uid="{73CCF7A4-8254-4C4F-83F8-C372BF3D872D}"/>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686B311E-0721-4153-9AF3-ABBF60CFEE5D}"/>
    <cellStyle name="Normal 2 4 2 3 2 2 6 2 3" xfId="12688" xr:uid="{B30ADB25-B952-4859-937A-233B51F0D2D1}"/>
    <cellStyle name="Normal 2 4 2 3 2 2 6 3" xfId="6332" xr:uid="{00000000-0005-0000-0000-0000BC0E0000}"/>
    <cellStyle name="Normal 2 4 2 3 2 2 6 3 2" xfId="14761" xr:uid="{E44DEA82-B995-4266-B916-06D1C2EFB6A9}"/>
    <cellStyle name="Normal 2 4 2 3 2 2 6 4" xfId="10543" xr:uid="{0180FBB6-6946-489F-9304-F25CEFBA173D}"/>
    <cellStyle name="Normal 2 4 2 3 2 2 7" xfId="2460" xr:uid="{00000000-0005-0000-0000-0000BD0E0000}"/>
    <cellStyle name="Normal 2 4 2 3 2 2 7 2" xfId="6745" xr:uid="{00000000-0005-0000-0000-0000BE0E0000}"/>
    <cellStyle name="Normal 2 4 2 3 2 2 7 2 2" xfId="15174" xr:uid="{97C4A2D5-5091-4D40-ACE1-426BB9B0DC12}"/>
    <cellStyle name="Normal 2 4 2 3 2 2 7 3" xfId="10956" xr:uid="{FAEB693C-4A72-4A7D-93E0-E3C7A89D2F21}"/>
    <cellStyle name="Normal 2 4 2 3 2 2 8" xfId="4679" xr:uid="{00000000-0005-0000-0000-0000BF0E0000}"/>
    <cellStyle name="Normal 2 4 2 3 2 2 8 2" xfId="13108" xr:uid="{8C2F4917-98F5-49EA-822F-C66F8868B79F}"/>
    <cellStyle name="Normal 2 4 2 3 2 2 9" xfId="8890" xr:uid="{B24F1344-65B4-4729-81CB-5E4D58FC386C}"/>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E8EBD8AF-E32E-47D4-AC69-4CF7A60A421E}"/>
    <cellStyle name="Normal 2 4 2 3 2 3 2 2 3" xfId="11451" xr:uid="{158164E1-88DE-41E4-8A1E-9CBA94524421}"/>
    <cellStyle name="Normal 2 4 2 3 2 3 2 3" xfId="5095" xr:uid="{00000000-0005-0000-0000-0000C40E0000}"/>
    <cellStyle name="Normal 2 4 2 3 2 3 2 3 2" xfId="13524" xr:uid="{B9F283B4-0FD8-4C1E-A655-448988B550AE}"/>
    <cellStyle name="Normal 2 4 2 3 2 3 2 4" xfId="9306" xr:uid="{76746588-B27A-4346-BBBD-10710A48E42E}"/>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5595C1EC-983C-497A-9A00-A73BD395E580}"/>
    <cellStyle name="Normal 2 4 2 3 2 3 3 2 3" xfId="11864" xr:uid="{FCB2E980-6D9E-4962-99E9-6DB8D4E8F498}"/>
    <cellStyle name="Normal 2 4 2 3 2 3 3 3" xfId="5508" xr:uid="{00000000-0005-0000-0000-0000C80E0000}"/>
    <cellStyle name="Normal 2 4 2 3 2 3 3 3 2" xfId="13937" xr:uid="{92FB10CB-D1DC-43BF-9423-5B176E137A08}"/>
    <cellStyle name="Normal 2 4 2 3 2 3 3 4" xfId="9719" xr:uid="{37CA547F-7570-44F4-9D76-04C3B5B8312D}"/>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4472BB60-7FAE-4E31-93B6-D52BE93A8716}"/>
    <cellStyle name="Normal 2 4 2 3 2 3 4 2 3" xfId="12277" xr:uid="{B083697C-6855-4A95-A1A9-F2F3F3BDFA50}"/>
    <cellStyle name="Normal 2 4 2 3 2 3 4 3" xfId="5921" xr:uid="{00000000-0005-0000-0000-0000CC0E0000}"/>
    <cellStyle name="Normal 2 4 2 3 2 3 4 3 2" xfId="14350" xr:uid="{136533CB-76D0-4BB8-A32A-103019056937}"/>
    <cellStyle name="Normal 2 4 2 3 2 3 4 4" xfId="10132" xr:uid="{64F0EBF7-5F70-4D1F-8E41-010B58E835E9}"/>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E87D6B59-4AC1-423D-A686-96441797EEDB}"/>
    <cellStyle name="Normal 2 4 2 3 2 3 5 2 3" xfId="12690" xr:uid="{69D7649A-FC0C-42DA-A94A-B252734593AD}"/>
    <cellStyle name="Normal 2 4 2 3 2 3 5 3" xfId="6334" xr:uid="{00000000-0005-0000-0000-0000D00E0000}"/>
    <cellStyle name="Normal 2 4 2 3 2 3 5 3 2" xfId="14763" xr:uid="{3E47443A-6966-4F09-ADBE-B8E98189ADCB}"/>
    <cellStyle name="Normal 2 4 2 3 2 3 5 4" xfId="10545" xr:uid="{4C6610FD-9C78-4F63-99BA-9970CB180A47}"/>
    <cellStyle name="Normal 2 4 2 3 2 3 6" xfId="2462" xr:uid="{00000000-0005-0000-0000-0000D10E0000}"/>
    <cellStyle name="Normal 2 4 2 3 2 3 6 2" xfId="6747" xr:uid="{00000000-0005-0000-0000-0000D20E0000}"/>
    <cellStyle name="Normal 2 4 2 3 2 3 6 2 2" xfId="15176" xr:uid="{8E17CE7E-9C24-4012-8E22-BFD81E71E07A}"/>
    <cellStyle name="Normal 2 4 2 3 2 3 6 3" xfId="10958" xr:uid="{DA5B0C86-74BE-4AB9-9B8E-0E58764EE3B6}"/>
    <cellStyle name="Normal 2 4 2 3 2 3 7" xfId="4681" xr:uid="{00000000-0005-0000-0000-0000D30E0000}"/>
    <cellStyle name="Normal 2 4 2 3 2 3 7 2" xfId="13110" xr:uid="{C1958CC5-2D72-42C0-ADB1-A9DDF46BB472}"/>
    <cellStyle name="Normal 2 4 2 3 2 3 8" xfId="8892" xr:uid="{2684FEB8-7184-4935-9C8F-25FE300727F7}"/>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05B9E633-CC43-4F8D-8351-34670693756D}"/>
    <cellStyle name="Normal 2 4 2 3 2 4 2 3" xfId="11448" xr:uid="{E651F902-6EF7-40AD-A16B-C492F91630CC}"/>
    <cellStyle name="Normal 2 4 2 3 2 4 3" xfId="5092" xr:uid="{00000000-0005-0000-0000-0000D70E0000}"/>
    <cellStyle name="Normal 2 4 2 3 2 4 3 2" xfId="13521" xr:uid="{B3A9D9F5-A253-4D1D-87CA-D539F2C25877}"/>
    <cellStyle name="Normal 2 4 2 3 2 4 4" xfId="9303" xr:uid="{8736DCA3-FC2A-40D2-A6D5-30D60D7C8A52}"/>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9EFF9A09-2D28-419B-9B23-49D2C81C4366}"/>
    <cellStyle name="Normal 2 4 2 3 2 5 2 3" xfId="11861" xr:uid="{A6A43580-B62D-49D4-8817-67C7C5AD30D7}"/>
    <cellStyle name="Normal 2 4 2 3 2 5 3" xfId="5505" xr:uid="{00000000-0005-0000-0000-0000DB0E0000}"/>
    <cellStyle name="Normal 2 4 2 3 2 5 3 2" xfId="13934" xr:uid="{C3598E5A-FE98-463F-8E51-D2563698A210}"/>
    <cellStyle name="Normal 2 4 2 3 2 5 4" xfId="9716" xr:uid="{31A45958-A177-4CAD-A984-71B7952E713A}"/>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DA5D106F-95B6-4381-B4CA-DB0C62D0AED5}"/>
    <cellStyle name="Normal 2 4 2 3 2 6 2 3" xfId="12274" xr:uid="{94169A2D-0443-4001-B445-FD4D6518CE48}"/>
    <cellStyle name="Normal 2 4 2 3 2 6 3" xfId="5918" xr:uid="{00000000-0005-0000-0000-0000DF0E0000}"/>
    <cellStyle name="Normal 2 4 2 3 2 6 3 2" xfId="14347" xr:uid="{2586EE24-AC70-466D-8372-74949AB421A6}"/>
    <cellStyle name="Normal 2 4 2 3 2 6 4" xfId="10129" xr:uid="{33DB1A39-61EF-4D8C-85E9-4031A5D5E10F}"/>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2F62BCA5-6702-42A7-AAA9-06A43071FD7D}"/>
    <cellStyle name="Normal 2 4 2 3 2 7 2 3" xfId="12687" xr:uid="{33EEA59F-8F17-4418-AE00-3D0462B08757}"/>
    <cellStyle name="Normal 2 4 2 3 2 7 3" xfId="6331" xr:uid="{00000000-0005-0000-0000-0000E30E0000}"/>
    <cellStyle name="Normal 2 4 2 3 2 7 3 2" xfId="14760" xr:uid="{1848F18C-5F1D-4473-8EA2-3B03AA011D29}"/>
    <cellStyle name="Normal 2 4 2 3 2 7 4" xfId="10542" xr:uid="{1AF74ABF-6C64-49F6-BDD2-FF215BA42440}"/>
    <cellStyle name="Normal 2 4 2 3 2 8" xfId="2459" xr:uid="{00000000-0005-0000-0000-0000E40E0000}"/>
    <cellStyle name="Normal 2 4 2 3 2 8 2" xfId="6744" xr:uid="{00000000-0005-0000-0000-0000E50E0000}"/>
    <cellStyle name="Normal 2 4 2 3 2 8 2 2" xfId="15173" xr:uid="{5CDA372F-1512-483C-875E-515C18E0B46A}"/>
    <cellStyle name="Normal 2 4 2 3 2 8 3" xfId="10955" xr:uid="{A4D71ED3-E3FD-448C-8C18-E83B01FC093D}"/>
    <cellStyle name="Normal 2 4 2 3 2 9" xfId="4678" xr:uid="{00000000-0005-0000-0000-0000E60E0000}"/>
    <cellStyle name="Normal 2 4 2 3 2 9 2" xfId="13107" xr:uid="{A134A9F6-37A1-46BA-B4B4-DBBFC475CE3C}"/>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9DD4546D-F747-4910-9558-99F087071602}"/>
    <cellStyle name="Normal 2 4 2 3 3 2 2 2 3" xfId="11453" xr:uid="{5AA73900-D73B-4C87-B6D5-3F0FF88EDE2F}"/>
    <cellStyle name="Normal 2 4 2 3 3 2 2 3" xfId="5097" xr:uid="{00000000-0005-0000-0000-0000EC0E0000}"/>
    <cellStyle name="Normal 2 4 2 3 3 2 2 3 2" xfId="13526" xr:uid="{3353EFD2-E3A7-46A7-A035-5774890C7F8C}"/>
    <cellStyle name="Normal 2 4 2 3 3 2 2 4" xfId="9308" xr:uid="{BFBA18F2-9A02-4A64-87B1-50A463355587}"/>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10595E70-B7F0-4AFD-B014-DF467D108BBA}"/>
    <cellStyle name="Normal 2 4 2 3 3 2 3 2 3" xfId="11866" xr:uid="{76482089-4384-4854-A6FB-634AD14D0EC0}"/>
    <cellStyle name="Normal 2 4 2 3 3 2 3 3" xfId="5510" xr:uid="{00000000-0005-0000-0000-0000F00E0000}"/>
    <cellStyle name="Normal 2 4 2 3 3 2 3 3 2" xfId="13939" xr:uid="{93425309-7BAF-4BD5-94C7-4549494E267B}"/>
    <cellStyle name="Normal 2 4 2 3 3 2 3 4" xfId="9721" xr:uid="{B5F41B0D-1E39-4D98-9EC0-7317A6D08652}"/>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0A0F5AC6-89DE-4463-9B47-FD42CFDFDBD8}"/>
    <cellStyle name="Normal 2 4 2 3 3 2 4 2 3" xfId="12279" xr:uid="{BB8FB4AF-6412-4289-AE42-6EBD84A41600}"/>
    <cellStyle name="Normal 2 4 2 3 3 2 4 3" xfId="5923" xr:uid="{00000000-0005-0000-0000-0000F40E0000}"/>
    <cellStyle name="Normal 2 4 2 3 3 2 4 3 2" xfId="14352" xr:uid="{E52DE4BC-24F9-46E5-82B5-AB1E88D627A1}"/>
    <cellStyle name="Normal 2 4 2 3 3 2 4 4" xfId="10134" xr:uid="{2A2B2AF3-B06C-4647-8342-9CEF85AB6A7A}"/>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4B1087F4-211F-4249-9364-BE0B1B4C7D15}"/>
    <cellStyle name="Normal 2 4 2 3 3 2 5 2 3" xfId="12692" xr:uid="{D61C7EA5-D5EA-43B8-9C57-4F94475B62A3}"/>
    <cellStyle name="Normal 2 4 2 3 3 2 5 3" xfId="6336" xr:uid="{00000000-0005-0000-0000-0000F80E0000}"/>
    <cellStyle name="Normal 2 4 2 3 3 2 5 3 2" xfId="14765" xr:uid="{3E31806E-0687-4793-8C01-5ABAD462EC87}"/>
    <cellStyle name="Normal 2 4 2 3 3 2 5 4" xfId="10547" xr:uid="{CC5576BB-9178-41D6-A038-4CFB992D91AE}"/>
    <cellStyle name="Normal 2 4 2 3 3 2 6" xfId="2464" xr:uid="{00000000-0005-0000-0000-0000F90E0000}"/>
    <cellStyle name="Normal 2 4 2 3 3 2 6 2" xfId="6749" xr:uid="{00000000-0005-0000-0000-0000FA0E0000}"/>
    <cellStyle name="Normal 2 4 2 3 3 2 6 2 2" xfId="15178" xr:uid="{E9BBC15B-72D1-4233-A810-09C8389DEC2C}"/>
    <cellStyle name="Normal 2 4 2 3 3 2 6 3" xfId="10960" xr:uid="{1A7F9263-1C04-4B3A-BA7E-FB8D7403278A}"/>
    <cellStyle name="Normal 2 4 2 3 3 2 7" xfId="4683" xr:uid="{00000000-0005-0000-0000-0000FB0E0000}"/>
    <cellStyle name="Normal 2 4 2 3 3 2 7 2" xfId="13112" xr:uid="{0ABEAA45-00EA-41AD-B953-D30DBE23113B}"/>
    <cellStyle name="Normal 2 4 2 3 3 2 8" xfId="8894" xr:uid="{DBE5A5A6-1C24-4EE0-A12F-BEF98C6DD32A}"/>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3BF91586-D2D0-4389-960E-E78ABEAA48FE}"/>
    <cellStyle name="Normal 2 4 2 3 3 3 2 3" xfId="11452" xr:uid="{DBC1B103-AC23-41C3-8D6C-BA05D5CDF026}"/>
    <cellStyle name="Normal 2 4 2 3 3 3 3" xfId="5096" xr:uid="{00000000-0005-0000-0000-0000FF0E0000}"/>
    <cellStyle name="Normal 2 4 2 3 3 3 3 2" xfId="13525" xr:uid="{D3F30B18-EA71-476E-91C2-7A5FE3982FFF}"/>
    <cellStyle name="Normal 2 4 2 3 3 3 4" xfId="9307" xr:uid="{D6413BE9-50ED-4B8D-9D65-78D1B9B1C8E8}"/>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DEADFCC1-E628-4CB3-9BDD-C70F22DA03BC}"/>
    <cellStyle name="Normal 2 4 2 3 3 4 2 3" xfId="11865" xr:uid="{9056C9BE-8D73-4151-AEA4-20A95AF6F11A}"/>
    <cellStyle name="Normal 2 4 2 3 3 4 3" xfId="5509" xr:uid="{00000000-0005-0000-0000-0000030F0000}"/>
    <cellStyle name="Normal 2 4 2 3 3 4 3 2" xfId="13938" xr:uid="{A18DB783-EA12-4674-BA51-061BDBC5436E}"/>
    <cellStyle name="Normal 2 4 2 3 3 4 4" xfId="9720" xr:uid="{AA630845-9058-4B02-BB2C-7524AA144163}"/>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768BCC70-FFF4-432B-B311-095D5A2C4D1D}"/>
    <cellStyle name="Normal 2 4 2 3 3 5 2 3" xfId="12278" xr:uid="{BF467889-B49D-44FB-B263-A6B305EF9411}"/>
    <cellStyle name="Normal 2 4 2 3 3 5 3" xfId="5922" xr:uid="{00000000-0005-0000-0000-0000070F0000}"/>
    <cellStyle name="Normal 2 4 2 3 3 5 3 2" xfId="14351" xr:uid="{5F456FBA-DE8C-4A75-AB59-E2B189EB2032}"/>
    <cellStyle name="Normal 2 4 2 3 3 5 4" xfId="10133" xr:uid="{CF9BA94E-C53F-4087-9CA7-7AA7C5677E6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74EAAF4A-F9A8-4EC5-90AD-8FD2FB09C9DD}"/>
    <cellStyle name="Normal 2 4 2 3 3 6 2 3" xfId="12691" xr:uid="{863879DB-4B62-49F8-81F5-E8035534F3F1}"/>
    <cellStyle name="Normal 2 4 2 3 3 6 3" xfId="6335" xr:uid="{00000000-0005-0000-0000-00000B0F0000}"/>
    <cellStyle name="Normal 2 4 2 3 3 6 3 2" xfId="14764" xr:uid="{BDB832A3-0114-4A98-A784-1739B0711F74}"/>
    <cellStyle name="Normal 2 4 2 3 3 6 4" xfId="10546" xr:uid="{1B223208-64B4-4CFA-B459-68758C719442}"/>
    <cellStyle name="Normal 2 4 2 3 3 7" xfId="2463" xr:uid="{00000000-0005-0000-0000-00000C0F0000}"/>
    <cellStyle name="Normal 2 4 2 3 3 7 2" xfId="6748" xr:uid="{00000000-0005-0000-0000-00000D0F0000}"/>
    <cellStyle name="Normal 2 4 2 3 3 7 2 2" xfId="15177" xr:uid="{DC4D5FCC-8137-48BE-A13B-D0F1B3E3E183}"/>
    <cellStyle name="Normal 2 4 2 3 3 7 3" xfId="10959" xr:uid="{9381CFAB-B96B-4CA7-965C-09496587F0F4}"/>
    <cellStyle name="Normal 2 4 2 3 3 8" xfId="4682" xr:uid="{00000000-0005-0000-0000-00000E0F0000}"/>
    <cellStyle name="Normal 2 4 2 3 3 8 2" xfId="13111" xr:uid="{8B7F5470-2F72-492E-8C96-A7E052F01542}"/>
    <cellStyle name="Normal 2 4 2 3 3 9" xfId="8893" xr:uid="{3C85CF25-5CB4-4F1A-8833-B43EA162A4FF}"/>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D38EE075-A186-42FA-A0DA-9A6DD16509E3}"/>
    <cellStyle name="Normal 2 4 2 3 4 2 2 3" xfId="11454" xr:uid="{297FAD36-EEEB-4F35-B9DD-BC5A1EBAE783}"/>
    <cellStyle name="Normal 2 4 2 3 4 2 3" xfId="5098" xr:uid="{00000000-0005-0000-0000-0000130F0000}"/>
    <cellStyle name="Normal 2 4 2 3 4 2 3 2" xfId="13527" xr:uid="{3A94905E-1C08-4D5F-B3A4-7D9D5671D12E}"/>
    <cellStyle name="Normal 2 4 2 3 4 2 4" xfId="9309" xr:uid="{15BCCBF8-8CFE-4ACF-871C-DCD8AC2E86C5}"/>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C8D4E29B-7AA7-48BC-B2BC-AD68CFB6B716}"/>
    <cellStyle name="Normal 2 4 2 3 4 3 2 3" xfId="11867" xr:uid="{70937EA1-A8C1-41B5-9FD7-DDC33EE2714D}"/>
    <cellStyle name="Normal 2 4 2 3 4 3 3" xfId="5511" xr:uid="{00000000-0005-0000-0000-0000170F0000}"/>
    <cellStyle name="Normal 2 4 2 3 4 3 3 2" xfId="13940" xr:uid="{9566DF5C-0D38-4053-B5AD-39A39411462A}"/>
    <cellStyle name="Normal 2 4 2 3 4 3 4" xfId="9722" xr:uid="{F86EA37E-84B4-4391-9358-6C50AC8774D6}"/>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9C72FB21-B1DA-4269-853F-06EF06C95E0F}"/>
    <cellStyle name="Normal 2 4 2 3 4 4 2 3" xfId="12280" xr:uid="{52249574-009E-4C96-9CA3-3DFF1D7C0643}"/>
    <cellStyle name="Normal 2 4 2 3 4 4 3" xfId="5924" xr:uid="{00000000-0005-0000-0000-00001B0F0000}"/>
    <cellStyle name="Normal 2 4 2 3 4 4 3 2" xfId="14353" xr:uid="{68A885E0-C4E7-4328-AABD-D619D3FC6E76}"/>
    <cellStyle name="Normal 2 4 2 3 4 4 4" xfId="10135" xr:uid="{86FD64E5-5205-45AF-A0DD-39395223EA1D}"/>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7ED063A0-3CC6-4C62-A481-8CFEEFADF529}"/>
    <cellStyle name="Normal 2 4 2 3 4 5 2 3" xfId="12693" xr:uid="{19156DA7-89D3-4E41-ADC1-A030C33BBFCC}"/>
    <cellStyle name="Normal 2 4 2 3 4 5 3" xfId="6337" xr:uid="{00000000-0005-0000-0000-00001F0F0000}"/>
    <cellStyle name="Normal 2 4 2 3 4 5 3 2" xfId="14766" xr:uid="{1D258814-6525-4BE5-8E8E-79E698901684}"/>
    <cellStyle name="Normal 2 4 2 3 4 5 4" xfId="10548" xr:uid="{407A97BA-72F9-476E-9D1F-74CD8C101146}"/>
    <cellStyle name="Normal 2 4 2 3 4 6" xfId="2465" xr:uid="{00000000-0005-0000-0000-0000200F0000}"/>
    <cellStyle name="Normal 2 4 2 3 4 6 2" xfId="6750" xr:uid="{00000000-0005-0000-0000-0000210F0000}"/>
    <cellStyle name="Normal 2 4 2 3 4 6 2 2" xfId="15179" xr:uid="{E15E028A-6717-41E2-A15E-4573FE10BA38}"/>
    <cellStyle name="Normal 2 4 2 3 4 6 3" xfId="10961" xr:uid="{B11DB721-8E1F-48F4-AAAA-5C727C0A125E}"/>
    <cellStyle name="Normal 2 4 2 3 4 7" xfId="4684" xr:uid="{00000000-0005-0000-0000-0000220F0000}"/>
    <cellStyle name="Normal 2 4 2 3 4 7 2" xfId="13113" xr:uid="{6645BF33-0DC5-4335-8CE0-8916167FC666}"/>
    <cellStyle name="Normal 2 4 2 3 4 8" xfId="8895" xr:uid="{8316A5C4-4F1D-4856-9515-3B1B231D48E5}"/>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76E9EE1E-E5DD-4464-B1A5-C3C5E02EBA82}"/>
    <cellStyle name="Normal 2 4 2 3 5 2 3" xfId="11447" xr:uid="{E262101D-101B-42D6-B1B4-CC0506078454}"/>
    <cellStyle name="Normal 2 4 2 3 5 3" xfId="5091" xr:uid="{00000000-0005-0000-0000-0000260F0000}"/>
    <cellStyle name="Normal 2 4 2 3 5 3 2" xfId="13520" xr:uid="{F8FF2BF3-14EE-4F9F-8FA4-1884EF2582EA}"/>
    <cellStyle name="Normal 2 4 2 3 5 4" xfId="9302" xr:uid="{266283F0-14D8-42B6-ABAF-F6DFCA0A3AF8}"/>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F9648235-2D54-46F8-BAAF-6208FD035651}"/>
    <cellStyle name="Normal 2 4 2 3 6 2 3" xfId="11860" xr:uid="{97491816-2828-4148-97E0-8D44E9E00C97}"/>
    <cellStyle name="Normal 2 4 2 3 6 3" xfId="5504" xr:uid="{00000000-0005-0000-0000-00002A0F0000}"/>
    <cellStyle name="Normal 2 4 2 3 6 3 2" xfId="13933" xr:uid="{DFE22389-0C02-4CBC-A6AB-CCFA5CDC1D5A}"/>
    <cellStyle name="Normal 2 4 2 3 6 4" xfId="9715" xr:uid="{64E04258-AA36-4A7F-957F-17A36EC76A7F}"/>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CB4FB782-5D9D-401D-825B-65F0F42D001B}"/>
    <cellStyle name="Normal 2 4 2 3 7 2 3" xfId="12273" xr:uid="{13B91C50-D4A7-421A-AF41-2EBE5B8A4172}"/>
    <cellStyle name="Normal 2 4 2 3 7 3" xfId="5917" xr:uid="{00000000-0005-0000-0000-00002E0F0000}"/>
    <cellStyle name="Normal 2 4 2 3 7 3 2" xfId="14346" xr:uid="{F0B7E458-7C90-4D1A-9B9A-3E1D9530186F}"/>
    <cellStyle name="Normal 2 4 2 3 7 4" xfId="10128" xr:uid="{CDCC2791-CD66-431A-9E2F-6D200B6FCAAC}"/>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7A4C9F6A-1EB6-4100-A89E-6AC0FE37B757}"/>
    <cellStyle name="Normal 2 4 2 3 8 2 3" xfId="12686" xr:uid="{1998A917-E0B7-489D-BBCE-AB2814EE985F}"/>
    <cellStyle name="Normal 2 4 2 3 8 3" xfId="6330" xr:uid="{00000000-0005-0000-0000-0000320F0000}"/>
    <cellStyle name="Normal 2 4 2 3 8 3 2" xfId="14759" xr:uid="{3E487474-498B-4C0C-874C-A79047A230E0}"/>
    <cellStyle name="Normal 2 4 2 3 8 4" xfId="10541" xr:uid="{C6E6A6A7-3D38-45F6-AF8E-478AF40F3839}"/>
    <cellStyle name="Normal 2 4 2 3 9" xfId="2458" xr:uid="{00000000-0005-0000-0000-0000330F0000}"/>
    <cellStyle name="Normal 2 4 2 3 9 2" xfId="6743" xr:uid="{00000000-0005-0000-0000-0000340F0000}"/>
    <cellStyle name="Normal 2 4 2 3 9 2 2" xfId="15172" xr:uid="{77CFCDB4-F58B-492D-8C11-FC627684EA7E}"/>
    <cellStyle name="Normal 2 4 2 3 9 3" xfId="10954" xr:uid="{A28068F7-DAB0-4887-BBBC-C9FF246E6C1E}"/>
    <cellStyle name="Normal 2 4 2 4" xfId="289" xr:uid="{00000000-0005-0000-0000-0000350F0000}"/>
    <cellStyle name="Normal 2 4 2 4 10" xfId="8896" xr:uid="{E7334060-706F-4FD5-8E6C-58EF37289DFC}"/>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1AF4E5C8-0B8E-44CA-B0A0-2C9A4FD03515}"/>
    <cellStyle name="Normal 2 4 2 4 2 2 2 2 3" xfId="11457" xr:uid="{78F8BF03-DDE9-40AA-8BFF-A716DB9FE7F4}"/>
    <cellStyle name="Normal 2 4 2 4 2 2 2 3" xfId="5101" xr:uid="{00000000-0005-0000-0000-00003B0F0000}"/>
    <cellStyle name="Normal 2 4 2 4 2 2 2 3 2" xfId="13530" xr:uid="{176594E5-1D84-470A-8EF6-0EE5CEDBD162}"/>
    <cellStyle name="Normal 2 4 2 4 2 2 2 4" xfId="9312" xr:uid="{E95C851A-AE75-4DF5-8C99-6A27A0C73973}"/>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68F09259-038C-4FD8-8F34-F90B748C7875}"/>
    <cellStyle name="Normal 2 4 2 4 2 2 3 2 3" xfId="11870" xr:uid="{13A7D5C7-7EDE-42E4-A350-16D59C5B6433}"/>
    <cellStyle name="Normal 2 4 2 4 2 2 3 3" xfId="5514" xr:uid="{00000000-0005-0000-0000-00003F0F0000}"/>
    <cellStyle name="Normal 2 4 2 4 2 2 3 3 2" xfId="13943" xr:uid="{C2A16297-AD06-4934-A01D-E953F6C97604}"/>
    <cellStyle name="Normal 2 4 2 4 2 2 3 4" xfId="9725" xr:uid="{FCC6BAA9-F778-43AE-9B06-AABB5D3D538D}"/>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0F086D52-ADC1-4D72-B653-FE82A9EEAD41}"/>
    <cellStyle name="Normal 2 4 2 4 2 2 4 2 3" xfId="12283" xr:uid="{15BD91B3-CDB4-4A0C-97D1-9B7EF4EA55BC}"/>
    <cellStyle name="Normal 2 4 2 4 2 2 4 3" xfId="5927" xr:uid="{00000000-0005-0000-0000-0000430F0000}"/>
    <cellStyle name="Normal 2 4 2 4 2 2 4 3 2" xfId="14356" xr:uid="{CB21AE7E-3958-4C35-A52D-CC9DAFC1821A}"/>
    <cellStyle name="Normal 2 4 2 4 2 2 4 4" xfId="10138" xr:uid="{AC173B3C-E88C-44B5-8B51-314E5509AB26}"/>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36640708-CA37-4D2A-BCB2-D9565CD1A349}"/>
    <cellStyle name="Normal 2 4 2 4 2 2 5 2 3" xfId="12696" xr:uid="{1707D76B-9D5B-456A-A3B4-4B1CCCCFA40A}"/>
    <cellStyle name="Normal 2 4 2 4 2 2 5 3" xfId="6340" xr:uid="{00000000-0005-0000-0000-0000470F0000}"/>
    <cellStyle name="Normal 2 4 2 4 2 2 5 3 2" xfId="14769" xr:uid="{9044AFCA-0BD1-497D-8627-6587FA767CDE}"/>
    <cellStyle name="Normal 2 4 2 4 2 2 5 4" xfId="10551" xr:uid="{51DE86B7-3D88-432F-A01E-C10117E2D18A}"/>
    <cellStyle name="Normal 2 4 2 4 2 2 6" xfId="2468" xr:uid="{00000000-0005-0000-0000-0000480F0000}"/>
    <cellStyle name="Normal 2 4 2 4 2 2 6 2" xfId="6753" xr:uid="{00000000-0005-0000-0000-0000490F0000}"/>
    <cellStyle name="Normal 2 4 2 4 2 2 6 2 2" xfId="15182" xr:uid="{94B02878-351C-4318-92E7-9F9F2343AC6B}"/>
    <cellStyle name="Normal 2 4 2 4 2 2 6 3" xfId="10964" xr:uid="{15BC0516-67E6-48B8-BA6E-3ACE9612F4B1}"/>
    <cellStyle name="Normal 2 4 2 4 2 2 7" xfId="4687" xr:uid="{00000000-0005-0000-0000-00004A0F0000}"/>
    <cellStyle name="Normal 2 4 2 4 2 2 7 2" xfId="13116" xr:uid="{96969524-561E-4F07-AF19-6D26B2205BF3}"/>
    <cellStyle name="Normal 2 4 2 4 2 2 8" xfId="8898" xr:uid="{51945D66-405B-4C29-B654-0294A3459E6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CF89207A-F8F7-480F-AF2F-5A9F43EDF179}"/>
    <cellStyle name="Normal 2 4 2 4 2 3 2 3" xfId="11456" xr:uid="{9BA1C1F5-ED0C-4CAC-9BC2-A6AAA8A92A0A}"/>
    <cellStyle name="Normal 2 4 2 4 2 3 3" xfId="5100" xr:uid="{00000000-0005-0000-0000-00004E0F0000}"/>
    <cellStyle name="Normal 2 4 2 4 2 3 3 2" xfId="13529" xr:uid="{9003921D-63C0-4AB8-A4F2-BDFFDE545CFA}"/>
    <cellStyle name="Normal 2 4 2 4 2 3 4" xfId="9311" xr:uid="{63EBB767-B0BE-4B94-B92F-9D7DC7702D73}"/>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178B93EA-57C6-44D8-B101-E930345FA617}"/>
    <cellStyle name="Normal 2 4 2 4 2 4 2 3" xfId="11869" xr:uid="{34690E9B-B600-4788-B0D7-D9E49A66B78B}"/>
    <cellStyle name="Normal 2 4 2 4 2 4 3" xfId="5513" xr:uid="{00000000-0005-0000-0000-0000520F0000}"/>
    <cellStyle name="Normal 2 4 2 4 2 4 3 2" xfId="13942" xr:uid="{A2EE7E50-D661-4F12-822B-F3D1748FF34F}"/>
    <cellStyle name="Normal 2 4 2 4 2 4 4" xfId="9724" xr:uid="{97BD51E1-0CC3-444B-A827-FCC79BF41362}"/>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5993FA5A-B388-4785-8264-8E489F012ADA}"/>
    <cellStyle name="Normal 2 4 2 4 2 5 2 3" xfId="12282" xr:uid="{86DC64D1-DE96-4682-B6AF-2E4DE943104D}"/>
    <cellStyle name="Normal 2 4 2 4 2 5 3" xfId="5926" xr:uid="{00000000-0005-0000-0000-0000560F0000}"/>
    <cellStyle name="Normal 2 4 2 4 2 5 3 2" xfId="14355" xr:uid="{FCD829F3-8056-4780-A8E6-7198379549B5}"/>
    <cellStyle name="Normal 2 4 2 4 2 5 4" xfId="10137" xr:uid="{1317D555-1009-4CF8-8EA3-3EB8E86E1475}"/>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187A157E-F8DB-4B5D-B3E7-412A72DE4743}"/>
    <cellStyle name="Normal 2 4 2 4 2 6 2 3" xfId="12695" xr:uid="{9FB1124D-BC1A-45E8-A670-2046269B121A}"/>
    <cellStyle name="Normal 2 4 2 4 2 6 3" xfId="6339" xr:uid="{00000000-0005-0000-0000-00005A0F0000}"/>
    <cellStyle name="Normal 2 4 2 4 2 6 3 2" xfId="14768" xr:uid="{5409E768-B2C8-4DA9-9EA0-630BEB6D7664}"/>
    <cellStyle name="Normal 2 4 2 4 2 6 4" xfId="10550" xr:uid="{8EF4DA91-67AF-4444-9D9C-F3FDCF07BDED}"/>
    <cellStyle name="Normal 2 4 2 4 2 7" xfId="2467" xr:uid="{00000000-0005-0000-0000-00005B0F0000}"/>
    <cellStyle name="Normal 2 4 2 4 2 7 2" xfId="6752" xr:uid="{00000000-0005-0000-0000-00005C0F0000}"/>
    <cellStyle name="Normal 2 4 2 4 2 7 2 2" xfId="15181" xr:uid="{48B0146B-238B-4A0D-B0BF-FE012A782D20}"/>
    <cellStyle name="Normal 2 4 2 4 2 7 3" xfId="10963" xr:uid="{8CC5AC7F-3926-4248-AC00-8EA53017888B}"/>
    <cellStyle name="Normal 2 4 2 4 2 8" xfId="4686" xr:uid="{00000000-0005-0000-0000-00005D0F0000}"/>
    <cellStyle name="Normal 2 4 2 4 2 8 2" xfId="13115" xr:uid="{715F37EA-6BDE-4B46-B366-8F5C2FFA426A}"/>
    <cellStyle name="Normal 2 4 2 4 2 9" xfId="8897" xr:uid="{FAE395A5-7E33-4F96-84C3-742CC1F078FA}"/>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0FB5396-07BF-47A1-8BAB-A85860006BF5}"/>
    <cellStyle name="Normal 2 4 2 4 3 2 2 3" xfId="11458" xr:uid="{162C24BC-3354-4C4C-9111-1A857D8EADE3}"/>
    <cellStyle name="Normal 2 4 2 4 3 2 3" xfId="5102" xr:uid="{00000000-0005-0000-0000-0000620F0000}"/>
    <cellStyle name="Normal 2 4 2 4 3 2 3 2" xfId="13531" xr:uid="{560665FA-41A5-4DF0-86E0-4C7F583F0BDC}"/>
    <cellStyle name="Normal 2 4 2 4 3 2 4" xfId="9313" xr:uid="{FA20A087-BB5A-4031-AA25-7E0CAE5F1359}"/>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158361D-79F5-4463-BD78-9ADE433DC0F3}"/>
    <cellStyle name="Normal 2 4 2 4 3 3 2 3" xfId="11871" xr:uid="{898A3F96-1567-4337-93DA-F8A0D78D60D2}"/>
    <cellStyle name="Normal 2 4 2 4 3 3 3" xfId="5515" xr:uid="{00000000-0005-0000-0000-0000660F0000}"/>
    <cellStyle name="Normal 2 4 2 4 3 3 3 2" xfId="13944" xr:uid="{78271A95-E9DB-4C95-AC4A-EDC265332F0D}"/>
    <cellStyle name="Normal 2 4 2 4 3 3 4" xfId="9726" xr:uid="{CC7869AC-F02A-41AC-B729-BD7A5CBD7659}"/>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D2DAA857-428F-4A0A-8A1F-F22499689FD9}"/>
    <cellStyle name="Normal 2 4 2 4 3 4 2 3" xfId="12284" xr:uid="{C19B5EE8-8D16-4DC4-BFD9-B53CB6860841}"/>
    <cellStyle name="Normal 2 4 2 4 3 4 3" xfId="5928" xr:uid="{00000000-0005-0000-0000-00006A0F0000}"/>
    <cellStyle name="Normal 2 4 2 4 3 4 3 2" xfId="14357" xr:uid="{39A324CE-4241-4F2C-9B3B-19529EE350D7}"/>
    <cellStyle name="Normal 2 4 2 4 3 4 4" xfId="10139" xr:uid="{14EF2740-B39A-4A6B-BACF-3096FC8FB872}"/>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142A37BC-418C-4C4A-A18F-8F753367E737}"/>
    <cellStyle name="Normal 2 4 2 4 3 5 2 3" xfId="12697" xr:uid="{E6E81917-80FE-4E4C-B9FE-2475AC079D93}"/>
    <cellStyle name="Normal 2 4 2 4 3 5 3" xfId="6341" xr:uid="{00000000-0005-0000-0000-00006E0F0000}"/>
    <cellStyle name="Normal 2 4 2 4 3 5 3 2" xfId="14770" xr:uid="{122260E2-5AAA-40F6-A41D-3A717227EA48}"/>
    <cellStyle name="Normal 2 4 2 4 3 5 4" xfId="10552" xr:uid="{E0DF2412-FD1B-42FE-BC56-BD8EF2AA8F35}"/>
    <cellStyle name="Normal 2 4 2 4 3 6" xfId="2469" xr:uid="{00000000-0005-0000-0000-00006F0F0000}"/>
    <cellStyle name="Normal 2 4 2 4 3 6 2" xfId="6754" xr:uid="{00000000-0005-0000-0000-0000700F0000}"/>
    <cellStyle name="Normal 2 4 2 4 3 6 2 2" xfId="15183" xr:uid="{D7BE0544-D328-48DE-B381-3165262824AE}"/>
    <cellStyle name="Normal 2 4 2 4 3 6 3" xfId="10965" xr:uid="{913B13F7-29BA-4863-8317-5DA8350E033C}"/>
    <cellStyle name="Normal 2 4 2 4 3 7" xfId="4688" xr:uid="{00000000-0005-0000-0000-0000710F0000}"/>
    <cellStyle name="Normal 2 4 2 4 3 7 2" xfId="13117" xr:uid="{6FA0BE33-780F-4715-9193-2494B7DF640C}"/>
    <cellStyle name="Normal 2 4 2 4 3 8" xfId="8899" xr:uid="{0D3D6064-C5C3-4129-9CDA-3A83E8F395A8}"/>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9592232A-B2C5-4ABA-A6BE-E61089019F18}"/>
    <cellStyle name="Normal 2 4 2 4 4 2 3" xfId="11455" xr:uid="{34337CB9-54C7-48D4-B333-C63DD6A9EE8D}"/>
    <cellStyle name="Normal 2 4 2 4 4 3" xfId="5099" xr:uid="{00000000-0005-0000-0000-0000750F0000}"/>
    <cellStyle name="Normal 2 4 2 4 4 3 2" xfId="13528" xr:uid="{4AC7292D-D873-439F-A586-A6550377025E}"/>
    <cellStyle name="Normal 2 4 2 4 4 4" xfId="9310" xr:uid="{6A062EC7-E9D9-488E-8656-07B43BDC5F25}"/>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CB5FDA14-7329-4FEC-981A-DEFCA8A120A8}"/>
    <cellStyle name="Normal 2 4 2 4 5 2 3" xfId="11868" xr:uid="{F1A388AF-BE19-4CE6-B25F-55459399D57E}"/>
    <cellStyle name="Normal 2 4 2 4 5 3" xfId="5512" xr:uid="{00000000-0005-0000-0000-0000790F0000}"/>
    <cellStyle name="Normal 2 4 2 4 5 3 2" xfId="13941" xr:uid="{8B31DF3C-9D0B-4B10-92D3-4A0EB372FC74}"/>
    <cellStyle name="Normal 2 4 2 4 5 4" xfId="9723" xr:uid="{D4F8036C-C341-4013-9978-FB7B8C4FE5CE}"/>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DE8FFB9C-0E5C-4BAB-A73D-3A06AE3890E9}"/>
    <cellStyle name="Normal 2 4 2 4 6 2 3" xfId="12281" xr:uid="{B44218A5-D766-4F55-ADF8-77A9B9AC8DB3}"/>
    <cellStyle name="Normal 2 4 2 4 6 3" xfId="5925" xr:uid="{00000000-0005-0000-0000-00007D0F0000}"/>
    <cellStyle name="Normal 2 4 2 4 6 3 2" xfId="14354" xr:uid="{9CF088A0-4FE2-4085-A4BD-72E706EB8316}"/>
    <cellStyle name="Normal 2 4 2 4 6 4" xfId="10136" xr:uid="{9A9197DB-3E61-4F97-9D29-F4304AC1C00A}"/>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85973C3E-0DEA-4B62-9BA4-CED68BC0A78E}"/>
    <cellStyle name="Normal 2 4 2 4 7 2 3" xfId="12694" xr:uid="{8E6233F0-1F80-4973-9DD9-C60D0CA9FAE9}"/>
    <cellStyle name="Normal 2 4 2 4 7 3" xfId="6338" xr:uid="{00000000-0005-0000-0000-0000810F0000}"/>
    <cellStyle name="Normal 2 4 2 4 7 3 2" xfId="14767" xr:uid="{1C829AC4-20F3-4FDB-8826-A829E6C7FEC1}"/>
    <cellStyle name="Normal 2 4 2 4 7 4" xfId="10549" xr:uid="{E5B3EA1E-08A3-47DC-8851-14D7FC571173}"/>
    <cellStyle name="Normal 2 4 2 4 8" xfId="2466" xr:uid="{00000000-0005-0000-0000-0000820F0000}"/>
    <cellStyle name="Normal 2 4 2 4 8 2" xfId="6751" xr:uid="{00000000-0005-0000-0000-0000830F0000}"/>
    <cellStyle name="Normal 2 4 2 4 8 2 2" xfId="15180" xr:uid="{D60BECCE-3BD7-475C-A426-660CC90A8D26}"/>
    <cellStyle name="Normal 2 4 2 4 8 3" xfId="10962" xr:uid="{DF18A04D-1C95-4A6E-BDF9-BC7BA543C328}"/>
    <cellStyle name="Normal 2 4 2 4 9" xfId="4685" xr:uid="{00000000-0005-0000-0000-0000840F0000}"/>
    <cellStyle name="Normal 2 4 2 4 9 2" xfId="13114" xr:uid="{D32F66BC-ACE8-4F85-8B2B-8343255855B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0B5CB8F1-C1EF-43FE-84D7-E63A0225A9AB}"/>
    <cellStyle name="Normal 2 4 2 5 2 2 2 3" xfId="11460" xr:uid="{96B5FB2B-F8BF-4889-B2C1-A758000FA666}"/>
    <cellStyle name="Normal 2 4 2 5 2 2 3" xfId="5104" xr:uid="{00000000-0005-0000-0000-00008A0F0000}"/>
    <cellStyle name="Normal 2 4 2 5 2 2 3 2" xfId="13533" xr:uid="{8CFF978D-169F-4CC6-AB4F-97AC6774F5E2}"/>
    <cellStyle name="Normal 2 4 2 5 2 2 4" xfId="9315" xr:uid="{EC0E8C7F-4A66-4837-B2CD-2760FE57A85F}"/>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EEA1BE07-9CC2-4766-BF77-7F9429E79E51}"/>
    <cellStyle name="Normal 2 4 2 5 2 3 2 3" xfId="11873" xr:uid="{EFC43547-9393-4F79-AF3D-0F22E6893F9B}"/>
    <cellStyle name="Normal 2 4 2 5 2 3 3" xfId="5517" xr:uid="{00000000-0005-0000-0000-00008E0F0000}"/>
    <cellStyle name="Normal 2 4 2 5 2 3 3 2" xfId="13946" xr:uid="{52835FBF-3931-4FFA-AEE0-697AE2C5C3A8}"/>
    <cellStyle name="Normal 2 4 2 5 2 3 4" xfId="9728" xr:uid="{BE42B861-B58B-4039-AAE3-59698EC7E0AD}"/>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ADEF72A5-2B0B-4F29-A00E-51EA75B51E49}"/>
    <cellStyle name="Normal 2 4 2 5 2 4 2 3" xfId="12286" xr:uid="{6A209FE9-3E2C-4977-AB5A-E88F4D049608}"/>
    <cellStyle name="Normal 2 4 2 5 2 4 3" xfId="5930" xr:uid="{00000000-0005-0000-0000-0000920F0000}"/>
    <cellStyle name="Normal 2 4 2 5 2 4 3 2" xfId="14359" xr:uid="{EC9C20CE-A93C-4F3D-BA04-8BD01058EFE1}"/>
    <cellStyle name="Normal 2 4 2 5 2 4 4" xfId="10141" xr:uid="{7BD794DE-9BB1-4DD5-B7BF-C207D3B0B124}"/>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A539C3E0-A6D0-4688-8637-91FF52F0C338}"/>
    <cellStyle name="Normal 2 4 2 5 2 5 2 3" xfId="12699" xr:uid="{ACB70A14-964E-4C10-9D53-9C13BBD59845}"/>
    <cellStyle name="Normal 2 4 2 5 2 5 3" xfId="6343" xr:uid="{00000000-0005-0000-0000-0000960F0000}"/>
    <cellStyle name="Normal 2 4 2 5 2 5 3 2" xfId="14772" xr:uid="{63597178-D47B-4C8F-9AAE-D33C2AF4269D}"/>
    <cellStyle name="Normal 2 4 2 5 2 5 4" xfId="10554" xr:uid="{C6E6145A-327C-4D40-A570-D39C7451631A}"/>
    <cellStyle name="Normal 2 4 2 5 2 6" xfId="2471" xr:uid="{00000000-0005-0000-0000-0000970F0000}"/>
    <cellStyle name="Normal 2 4 2 5 2 6 2" xfId="6756" xr:uid="{00000000-0005-0000-0000-0000980F0000}"/>
    <cellStyle name="Normal 2 4 2 5 2 6 2 2" xfId="15185" xr:uid="{832DA159-F52C-4DA7-8311-2848EF1FB8C2}"/>
    <cellStyle name="Normal 2 4 2 5 2 6 3" xfId="10967" xr:uid="{BEAE2B1B-9B1B-43D8-B918-85B98D141DC4}"/>
    <cellStyle name="Normal 2 4 2 5 2 7" xfId="4690" xr:uid="{00000000-0005-0000-0000-0000990F0000}"/>
    <cellStyle name="Normal 2 4 2 5 2 7 2" xfId="13119" xr:uid="{12FC411E-620F-4811-8644-6CB732E5BA85}"/>
    <cellStyle name="Normal 2 4 2 5 2 8" xfId="8901" xr:uid="{60067719-40A6-4C78-9AE4-F64EB6486467}"/>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5E68F439-6053-4EB6-AFCB-94A886AF81DD}"/>
    <cellStyle name="Normal 2 4 2 5 3 2 3" xfId="11459" xr:uid="{9F7591B7-A642-431D-8732-060C2BE1A6B4}"/>
    <cellStyle name="Normal 2 4 2 5 3 3" xfId="5103" xr:uid="{00000000-0005-0000-0000-00009D0F0000}"/>
    <cellStyle name="Normal 2 4 2 5 3 3 2" xfId="13532" xr:uid="{F34E9748-56E9-48D2-85E0-2D4485E927EA}"/>
    <cellStyle name="Normal 2 4 2 5 3 4" xfId="9314" xr:uid="{1F7AC36F-7F4C-4710-9039-DD95B2165B8A}"/>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87607587-C1DB-4810-9E92-70046FE595AD}"/>
    <cellStyle name="Normal 2 4 2 5 4 2 3" xfId="11872" xr:uid="{EC6D98E2-A053-4BAF-A466-FD642163BB5B}"/>
    <cellStyle name="Normal 2 4 2 5 4 3" xfId="5516" xr:uid="{00000000-0005-0000-0000-0000A10F0000}"/>
    <cellStyle name="Normal 2 4 2 5 4 3 2" xfId="13945" xr:uid="{05957595-8986-4136-A830-4F1BAA89E721}"/>
    <cellStyle name="Normal 2 4 2 5 4 4" xfId="9727" xr:uid="{5DA2BA51-2151-4618-A61B-CD21C837188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9BAE2F35-6B30-48A3-BA28-D8F5BFA604A3}"/>
    <cellStyle name="Normal 2 4 2 5 5 2 3" xfId="12285" xr:uid="{7C14DD10-B5C5-47B0-86B9-93BA5B28BA52}"/>
    <cellStyle name="Normal 2 4 2 5 5 3" xfId="5929" xr:uid="{00000000-0005-0000-0000-0000A50F0000}"/>
    <cellStyle name="Normal 2 4 2 5 5 3 2" xfId="14358" xr:uid="{5BF73148-68BD-4614-8E4E-E90E89095099}"/>
    <cellStyle name="Normal 2 4 2 5 5 4" xfId="10140" xr:uid="{24C6792C-C20C-4F4F-9FC4-40AD43F0C534}"/>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27F874A2-7491-48C1-8559-9A83664C85DD}"/>
    <cellStyle name="Normal 2 4 2 5 6 2 3" xfId="12698" xr:uid="{A1DC347B-AE38-43DE-BCA3-C1ACBD686C12}"/>
    <cellStyle name="Normal 2 4 2 5 6 3" xfId="6342" xr:uid="{00000000-0005-0000-0000-0000A90F0000}"/>
    <cellStyle name="Normal 2 4 2 5 6 3 2" xfId="14771" xr:uid="{675AD84A-7DE4-4CEA-A946-081AA7E7005D}"/>
    <cellStyle name="Normal 2 4 2 5 6 4" xfId="10553" xr:uid="{7692EB5A-F43A-45B8-9ACF-8B548CD7C15D}"/>
    <cellStyle name="Normal 2 4 2 5 7" xfId="2470" xr:uid="{00000000-0005-0000-0000-0000AA0F0000}"/>
    <cellStyle name="Normal 2 4 2 5 7 2" xfId="6755" xr:uid="{00000000-0005-0000-0000-0000AB0F0000}"/>
    <cellStyle name="Normal 2 4 2 5 7 2 2" xfId="15184" xr:uid="{0F18697D-133B-4D60-B8A1-6EF95D941741}"/>
    <cellStyle name="Normal 2 4 2 5 7 3" xfId="10966" xr:uid="{CBBD1FB8-22B2-468F-933D-30DB5E220C1D}"/>
    <cellStyle name="Normal 2 4 2 5 8" xfId="4689" xr:uid="{00000000-0005-0000-0000-0000AC0F0000}"/>
    <cellStyle name="Normal 2 4 2 5 8 2" xfId="13118" xr:uid="{B8867E6B-B2F9-49D9-B965-B163ADB62A5D}"/>
    <cellStyle name="Normal 2 4 2 5 9" xfId="8900" xr:uid="{35F32ADA-F53A-4657-BD9E-967C19FA5A73}"/>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18003D0F-ED18-414D-9CB1-D7AB2C9EA7AC}"/>
    <cellStyle name="Normal 2 4 2 6 2 2 3" xfId="11461" xr:uid="{42505FCA-1285-44E3-8BF5-82BFD0FC99CD}"/>
    <cellStyle name="Normal 2 4 2 6 2 3" xfId="5105" xr:uid="{00000000-0005-0000-0000-0000B10F0000}"/>
    <cellStyle name="Normal 2 4 2 6 2 3 2" xfId="13534" xr:uid="{3D617A44-AE93-45C2-B1FE-6D350022D6D0}"/>
    <cellStyle name="Normal 2 4 2 6 2 4" xfId="9316" xr:uid="{B8B47B45-87E6-4097-8B93-0B40788D91A0}"/>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2A5C8E6-C184-45BF-82A3-C5F13535746D}"/>
    <cellStyle name="Normal 2 4 2 6 3 2 3" xfId="11874" xr:uid="{CAA23486-54C1-4A51-A455-53A4FF7E0CBB}"/>
    <cellStyle name="Normal 2 4 2 6 3 3" xfId="5518" xr:uid="{00000000-0005-0000-0000-0000B50F0000}"/>
    <cellStyle name="Normal 2 4 2 6 3 3 2" xfId="13947" xr:uid="{FC42DB90-74B8-4696-ABB2-10DB8AAB1078}"/>
    <cellStyle name="Normal 2 4 2 6 3 4" xfId="9729" xr:uid="{CBE14D8B-8F84-47F4-B8A9-3B55B23BB966}"/>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45CC4E8D-8D51-4584-B166-CAACAE543183}"/>
    <cellStyle name="Normal 2 4 2 6 4 2 3" xfId="12287" xr:uid="{50FA8398-DACB-4627-ACA9-D6F5C732F8C0}"/>
    <cellStyle name="Normal 2 4 2 6 4 3" xfId="5931" xr:uid="{00000000-0005-0000-0000-0000B90F0000}"/>
    <cellStyle name="Normal 2 4 2 6 4 3 2" xfId="14360" xr:uid="{13622406-0B93-4FCB-8C1E-307428E38828}"/>
    <cellStyle name="Normal 2 4 2 6 4 4" xfId="10142" xr:uid="{B0F63B21-D10C-4C24-B943-5E9A82CC5FA2}"/>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6018340B-D381-4EDA-884F-2D66DC3E4E28}"/>
    <cellStyle name="Normal 2 4 2 6 5 2 3" xfId="12700" xr:uid="{BF043764-E27C-4EDC-9A95-5CCBD4B8D8D0}"/>
    <cellStyle name="Normal 2 4 2 6 5 3" xfId="6344" xr:uid="{00000000-0005-0000-0000-0000BD0F0000}"/>
    <cellStyle name="Normal 2 4 2 6 5 3 2" xfId="14773" xr:uid="{73763143-76C2-490E-919B-A110002541B6}"/>
    <cellStyle name="Normal 2 4 2 6 5 4" xfId="10555" xr:uid="{2B933405-C450-4504-8632-862C98357CD4}"/>
    <cellStyle name="Normal 2 4 2 6 6" xfId="2472" xr:uid="{00000000-0005-0000-0000-0000BE0F0000}"/>
    <cellStyle name="Normal 2 4 2 6 6 2" xfId="6757" xr:uid="{00000000-0005-0000-0000-0000BF0F0000}"/>
    <cellStyle name="Normal 2 4 2 6 6 2 2" xfId="15186" xr:uid="{880A645A-AD38-4125-A841-E46E18F24540}"/>
    <cellStyle name="Normal 2 4 2 6 6 3" xfId="10968" xr:uid="{0DC4B913-73E7-4071-8F59-F701D26B54CB}"/>
    <cellStyle name="Normal 2 4 2 6 7" xfId="4691" xr:uid="{00000000-0005-0000-0000-0000C00F0000}"/>
    <cellStyle name="Normal 2 4 2 6 7 2" xfId="13120" xr:uid="{6A7CFBF8-818D-4FEF-BF80-59BA70835425}"/>
    <cellStyle name="Normal 2 4 2 6 8" xfId="8902" xr:uid="{0B14E6D8-7BE8-4037-AC07-6B77FE598AA5}"/>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CE48F78-AC26-4C8F-BF3C-F011DD5D42D2}"/>
    <cellStyle name="Normal 2 4 2 7 2 3" xfId="11446" xr:uid="{AF3A39EF-2088-47BD-8FEC-289B1FD4C3C1}"/>
    <cellStyle name="Normal 2 4 2 7 3" xfId="5090" xr:uid="{00000000-0005-0000-0000-0000C40F0000}"/>
    <cellStyle name="Normal 2 4 2 7 3 2" xfId="13519" xr:uid="{DF47CFF0-C2AC-4D66-BA37-2DCD54931B6E}"/>
    <cellStyle name="Normal 2 4 2 7 4" xfId="9301" xr:uid="{61D1DF0E-13A6-44A5-9811-6E2420334A4D}"/>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4A6C8194-D0AF-4A61-A9EB-DEAB4711BCCD}"/>
    <cellStyle name="Normal 2 4 2 8 2 3" xfId="11859" xr:uid="{5038EFA5-AC97-4198-A49A-F27DE628E350}"/>
    <cellStyle name="Normal 2 4 2 8 3" xfId="5503" xr:uid="{00000000-0005-0000-0000-0000C80F0000}"/>
    <cellStyle name="Normal 2 4 2 8 3 2" xfId="13932" xr:uid="{E920F6B8-038F-41CB-BB86-434AB589128F}"/>
    <cellStyle name="Normal 2 4 2 8 4" xfId="9714" xr:uid="{E8512340-9414-4DF0-9DCD-B0D37CBDCEDB}"/>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972FC599-6399-4129-99DA-4B057FEBC14D}"/>
    <cellStyle name="Normal 2 4 2 9 2 3" xfId="12272" xr:uid="{1CAE5571-EDF5-4363-971A-22BC7BF9A479}"/>
    <cellStyle name="Normal 2 4 2 9 3" xfId="5916" xr:uid="{00000000-0005-0000-0000-0000CC0F0000}"/>
    <cellStyle name="Normal 2 4 2 9 3 2" xfId="14345" xr:uid="{22045809-0C8E-4AB4-88DB-2123483BB60F}"/>
    <cellStyle name="Normal 2 4 2 9 4" xfId="10127" xr:uid="{18FDA1B4-0189-4B58-8592-21A5D924E4BD}"/>
    <cellStyle name="Normal 2 4 3" xfId="296" xr:uid="{00000000-0005-0000-0000-0000CD0F0000}"/>
    <cellStyle name="Normal 2 4 3 10" xfId="8903" xr:uid="{EFEF0E58-E133-4D3B-B5DD-F90645447CD4}"/>
    <cellStyle name="Normal 2 4 3 2" xfId="297" xr:uid="{00000000-0005-0000-0000-0000CE0F0000}"/>
    <cellStyle name="Normal 2 4 3 3" xfId="298" xr:uid="{00000000-0005-0000-0000-0000CF0F0000}"/>
    <cellStyle name="Normal 2 4 3 3 10" xfId="8904" xr:uid="{E29CB87B-C446-459E-9A59-629ACBC5AB0D}"/>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CD08C663-6D78-4063-B44F-2960A9FF393A}"/>
    <cellStyle name="Normal 2 4 3 3 2 2 2 2 3" xfId="11465" xr:uid="{DF1488DF-D398-4BBC-B2BA-87584076D0F2}"/>
    <cellStyle name="Normal 2 4 3 3 2 2 2 3" xfId="5109" xr:uid="{00000000-0005-0000-0000-0000D50F0000}"/>
    <cellStyle name="Normal 2 4 3 3 2 2 2 3 2" xfId="13538" xr:uid="{E63E4248-134E-4C18-B150-32CB0381DB31}"/>
    <cellStyle name="Normal 2 4 3 3 2 2 2 4" xfId="9320" xr:uid="{F086293A-2E1B-4580-9F03-2E87918345E4}"/>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65D3ADD2-8923-40EC-BB38-D3E4A4186C3C}"/>
    <cellStyle name="Normal 2 4 3 3 2 2 3 2 3" xfId="11878" xr:uid="{1D049025-9C0E-40BA-9C9C-C961AD779201}"/>
    <cellStyle name="Normal 2 4 3 3 2 2 3 3" xfId="5522" xr:uid="{00000000-0005-0000-0000-0000D90F0000}"/>
    <cellStyle name="Normal 2 4 3 3 2 2 3 3 2" xfId="13951" xr:uid="{94CC913D-91C9-4984-9C47-122F9CD030C4}"/>
    <cellStyle name="Normal 2 4 3 3 2 2 3 4" xfId="9733" xr:uid="{21FFF3AB-A284-4BB8-B047-90B7B50CF942}"/>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4016AD12-846A-4A16-9714-B15F270FD6DB}"/>
    <cellStyle name="Normal 2 4 3 3 2 2 4 2 3" xfId="12291" xr:uid="{33E8027B-57C0-449E-BFA8-216EF2F838FB}"/>
    <cellStyle name="Normal 2 4 3 3 2 2 4 3" xfId="5935" xr:uid="{00000000-0005-0000-0000-0000DD0F0000}"/>
    <cellStyle name="Normal 2 4 3 3 2 2 4 3 2" xfId="14364" xr:uid="{9BCF363A-1E1D-4E99-BA6B-03D8A6DDDBEA}"/>
    <cellStyle name="Normal 2 4 3 3 2 2 4 4" xfId="10146" xr:uid="{AAA3FF6B-66DA-4834-B40C-CFCF9FEAF9AC}"/>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4F5D836D-41CF-4297-B223-E38EF07C51BD}"/>
    <cellStyle name="Normal 2 4 3 3 2 2 5 2 3" xfId="12704" xr:uid="{40C40B09-67D1-4F40-8853-55B84F1461C9}"/>
    <cellStyle name="Normal 2 4 3 3 2 2 5 3" xfId="6348" xr:uid="{00000000-0005-0000-0000-0000E10F0000}"/>
    <cellStyle name="Normal 2 4 3 3 2 2 5 3 2" xfId="14777" xr:uid="{8F6AD4A2-A4CD-441F-B9EA-31657AE2A437}"/>
    <cellStyle name="Normal 2 4 3 3 2 2 5 4" xfId="10559" xr:uid="{100ECF59-6BC4-4B39-BF96-B523073B4021}"/>
    <cellStyle name="Normal 2 4 3 3 2 2 6" xfId="2476" xr:uid="{00000000-0005-0000-0000-0000E20F0000}"/>
    <cellStyle name="Normal 2 4 3 3 2 2 6 2" xfId="6761" xr:uid="{00000000-0005-0000-0000-0000E30F0000}"/>
    <cellStyle name="Normal 2 4 3 3 2 2 6 2 2" xfId="15190" xr:uid="{4EC69783-EB10-40DD-BA24-8240874611DE}"/>
    <cellStyle name="Normal 2 4 3 3 2 2 6 3" xfId="10972" xr:uid="{608BADD1-FC41-45F9-9CC2-F0751EBEBECC}"/>
    <cellStyle name="Normal 2 4 3 3 2 2 7" xfId="4695" xr:uid="{00000000-0005-0000-0000-0000E40F0000}"/>
    <cellStyle name="Normal 2 4 3 3 2 2 7 2" xfId="13124" xr:uid="{6A4267BF-58A7-422E-BE54-9BE3A6D8B68E}"/>
    <cellStyle name="Normal 2 4 3 3 2 2 8" xfId="8906" xr:uid="{A5F943CC-BBC1-461B-A297-F11743F4AD9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680FF026-E92F-4F44-98A5-1B9B131DAFD6}"/>
    <cellStyle name="Normal 2 4 3 3 2 3 2 3" xfId="11464" xr:uid="{1C3E698B-3625-4C54-B46A-0FFAEE9A083E}"/>
    <cellStyle name="Normal 2 4 3 3 2 3 3" xfId="5108" xr:uid="{00000000-0005-0000-0000-0000E80F0000}"/>
    <cellStyle name="Normal 2 4 3 3 2 3 3 2" xfId="13537" xr:uid="{844509E2-075C-4136-B4B0-C1C8756BFA1C}"/>
    <cellStyle name="Normal 2 4 3 3 2 3 4" xfId="9319" xr:uid="{F9334C07-123B-42B9-85B3-979E0B7DB76D}"/>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8A855297-DD69-45E9-9839-1D390D04059D}"/>
    <cellStyle name="Normal 2 4 3 3 2 4 2 3" xfId="11877" xr:uid="{AF419570-C390-4AF6-B469-31187521A546}"/>
    <cellStyle name="Normal 2 4 3 3 2 4 3" xfId="5521" xr:uid="{00000000-0005-0000-0000-0000EC0F0000}"/>
    <cellStyle name="Normal 2 4 3 3 2 4 3 2" xfId="13950" xr:uid="{09D08B03-4510-4439-8C0F-F64FC784EC4A}"/>
    <cellStyle name="Normal 2 4 3 3 2 4 4" xfId="9732" xr:uid="{D3A410A5-EE87-4A00-940D-A04291AD1131}"/>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829909BA-F70F-4A8D-97CB-5A2F43543E03}"/>
    <cellStyle name="Normal 2 4 3 3 2 5 2 3" xfId="12290" xr:uid="{4419FFFB-6A50-40A1-BD37-B222ADFD5B7B}"/>
    <cellStyle name="Normal 2 4 3 3 2 5 3" xfId="5934" xr:uid="{00000000-0005-0000-0000-0000F00F0000}"/>
    <cellStyle name="Normal 2 4 3 3 2 5 3 2" xfId="14363" xr:uid="{E0099BD6-EF5A-4F5F-B222-5C1D61340126}"/>
    <cellStyle name="Normal 2 4 3 3 2 5 4" xfId="10145" xr:uid="{531E13DB-35C8-4C23-A518-C30ACBABAB95}"/>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27B3E24-6EAD-4D42-B692-66DF66B6FA87}"/>
    <cellStyle name="Normal 2 4 3 3 2 6 2 3" xfId="12703" xr:uid="{5A91F4F6-4DC7-4FEC-95CB-43096692BB56}"/>
    <cellStyle name="Normal 2 4 3 3 2 6 3" xfId="6347" xr:uid="{00000000-0005-0000-0000-0000F40F0000}"/>
    <cellStyle name="Normal 2 4 3 3 2 6 3 2" xfId="14776" xr:uid="{2802AB79-0394-4056-9F90-E1F55CCF8659}"/>
    <cellStyle name="Normal 2 4 3 3 2 6 4" xfId="10558" xr:uid="{6EFB01FA-E7DD-4637-8769-9349A0D9343D}"/>
    <cellStyle name="Normal 2 4 3 3 2 7" xfId="2475" xr:uid="{00000000-0005-0000-0000-0000F50F0000}"/>
    <cellStyle name="Normal 2 4 3 3 2 7 2" xfId="6760" xr:uid="{00000000-0005-0000-0000-0000F60F0000}"/>
    <cellStyle name="Normal 2 4 3 3 2 7 2 2" xfId="15189" xr:uid="{76CA6FFC-B6CD-4D55-B26B-DF83E2389615}"/>
    <cellStyle name="Normal 2 4 3 3 2 7 3" xfId="10971" xr:uid="{AE78C252-18D0-44C1-B06E-B70A0D37FE95}"/>
    <cellStyle name="Normal 2 4 3 3 2 8" xfId="4694" xr:uid="{00000000-0005-0000-0000-0000F70F0000}"/>
    <cellStyle name="Normal 2 4 3 3 2 8 2" xfId="13123" xr:uid="{D6BF99B3-FCF7-4931-9CD1-C47F3770114D}"/>
    <cellStyle name="Normal 2 4 3 3 2 9" xfId="8905" xr:uid="{8B773250-40DF-47D4-94C6-859FFA8AF611}"/>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1CEBCAF9-4A7C-4CEF-B5D7-10FB1283ACB4}"/>
    <cellStyle name="Normal 2 4 3 3 3 2 2 3" xfId="11466" xr:uid="{0C571F76-AC3E-445E-A782-071958062A75}"/>
    <cellStyle name="Normal 2 4 3 3 3 2 3" xfId="5110" xr:uid="{00000000-0005-0000-0000-0000FC0F0000}"/>
    <cellStyle name="Normal 2 4 3 3 3 2 3 2" xfId="13539" xr:uid="{3CF087EC-4892-4984-B962-6BA78460DD5B}"/>
    <cellStyle name="Normal 2 4 3 3 3 2 4" xfId="9321" xr:uid="{174C8CEB-7BF4-47C8-B7E9-93C2342E1ED9}"/>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7C49D950-1E1B-401A-8665-1981BDE4D71E}"/>
    <cellStyle name="Normal 2 4 3 3 3 3 2 3" xfId="11879" xr:uid="{8391A12E-FD65-4364-9F41-34C923A5410F}"/>
    <cellStyle name="Normal 2 4 3 3 3 3 3" xfId="5523" xr:uid="{00000000-0005-0000-0000-000000100000}"/>
    <cellStyle name="Normal 2 4 3 3 3 3 3 2" xfId="13952" xr:uid="{186961F7-70FF-44E6-AB68-826A49C02211}"/>
    <cellStyle name="Normal 2 4 3 3 3 3 4" xfId="9734" xr:uid="{82437211-323F-4E67-B10C-0C9A83D8734E}"/>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3AC22283-C82C-4049-B70E-E16246975309}"/>
    <cellStyle name="Normal 2 4 3 3 3 4 2 3" xfId="12292" xr:uid="{6CA003B5-17CD-474D-8C2E-D1BA6D93C464}"/>
    <cellStyle name="Normal 2 4 3 3 3 4 3" xfId="5936" xr:uid="{00000000-0005-0000-0000-000004100000}"/>
    <cellStyle name="Normal 2 4 3 3 3 4 3 2" xfId="14365" xr:uid="{1AD907F7-477C-4AD6-ABD8-55D1FD1F2CFC}"/>
    <cellStyle name="Normal 2 4 3 3 3 4 4" xfId="10147" xr:uid="{76175B2D-580B-43D8-8746-102095990A05}"/>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FA0975FF-0D0D-457A-B03B-2B194BF26CDE}"/>
    <cellStyle name="Normal 2 4 3 3 3 5 2 3" xfId="12705" xr:uid="{8968FA26-64FF-45B9-87CC-4F03A0D51CE7}"/>
    <cellStyle name="Normal 2 4 3 3 3 5 3" xfId="6349" xr:uid="{00000000-0005-0000-0000-000008100000}"/>
    <cellStyle name="Normal 2 4 3 3 3 5 3 2" xfId="14778" xr:uid="{C3E759C5-5B9B-415F-9BD3-1962D05375DC}"/>
    <cellStyle name="Normal 2 4 3 3 3 5 4" xfId="10560" xr:uid="{2A6DF0D4-D6B1-4402-893A-75AEE2AC90F4}"/>
    <cellStyle name="Normal 2 4 3 3 3 6" xfId="2477" xr:uid="{00000000-0005-0000-0000-000009100000}"/>
    <cellStyle name="Normal 2 4 3 3 3 6 2" xfId="6762" xr:uid="{00000000-0005-0000-0000-00000A100000}"/>
    <cellStyle name="Normal 2 4 3 3 3 6 2 2" xfId="15191" xr:uid="{D18899F1-56FC-4513-9CBC-C537EC3A0817}"/>
    <cellStyle name="Normal 2 4 3 3 3 6 3" xfId="10973" xr:uid="{218167F0-A000-4603-AD37-82BE9F8F42D2}"/>
    <cellStyle name="Normal 2 4 3 3 3 7" xfId="4696" xr:uid="{00000000-0005-0000-0000-00000B100000}"/>
    <cellStyle name="Normal 2 4 3 3 3 7 2" xfId="13125" xr:uid="{13991468-BA0D-46D5-9934-D14796B2060A}"/>
    <cellStyle name="Normal 2 4 3 3 3 8" xfId="8907" xr:uid="{71C06500-8046-483F-B761-02B3DC1DCB6E}"/>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F2ADA9C3-7A77-484D-BF77-14F26EF97E99}"/>
    <cellStyle name="Normal 2 4 3 3 4 2 3" xfId="11463" xr:uid="{50D2B798-F6F8-41C3-82C9-48C106BF070C}"/>
    <cellStyle name="Normal 2 4 3 3 4 3" xfId="5107" xr:uid="{00000000-0005-0000-0000-00000F100000}"/>
    <cellStyle name="Normal 2 4 3 3 4 3 2" xfId="13536" xr:uid="{E39C80CD-0DB7-424F-BC66-AF18898EAEB9}"/>
    <cellStyle name="Normal 2 4 3 3 4 4" xfId="9318" xr:uid="{F50B31CB-4BA6-490F-9322-EB8690E3BCC8}"/>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E1468072-B2BA-45F5-98AD-59983E678012}"/>
    <cellStyle name="Normal 2 4 3 3 5 2 3" xfId="11876" xr:uid="{C5748908-FC99-4393-AF67-16A2EB1CE604}"/>
    <cellStyle name="Normal 2 4 3 3 5 3" xfId="5520" xr:uid="{00000000-0005-0000-0000-000013100000}"/>
    <cellStyle name="Normal 2 4 3 3 5 3 2" xfId="13949" xr:uid="{CFD32544-713C-4A26-B762-AF677639BE80}"/>
    <cellStyle name="Normal 2 4 3 3 5 4" xfId="9731" xr:uid="{60061F45-2D47-47C7-9CD2-1B534169CCAC}"/>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8930A18A-2F3A-460F-AD99-5F817831A32B}"/>
    <cellStyle name="Normal 2 4 3 3 6 2 3" xfId="12289" xr:uid="{641071F1-93F3-4E40-B637-29C2145F8F6A}"/>
    <cellStyle name="Normal 2 4 3 3 6 3" xfId="5933" xr:uid="{00000000-0005-0000-0000-000017100000}"/>
    <cellStyle name="Normal 2 4 3 3 6 3 2" xfId="14362" xr:uid="{EA14B238-7318-45E1-94DD-9517382A501A}"/>
    <cellStyle name="Normal 2 4 3 3 6 4" xfId="10144" xr:uid="{8C09429C-BCB0-412F-A234-45423A6ED5BA}"/>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3D8AAE88-1778-49BA-959A-3A7D86315BF9}"/>
    <cellStyle name="Normal 2 4 3 3 7 2 3" xfId="12702" xr:uid="{60899C8D-F69A-49DF-A494-DA0686E61720}"/>
    <cellStyle name="Normal 2 4 3 3 7 3" xfId="6346" xr:uid="{00000000-0005-0000-0000-00001B100000}"/>
    <cellStyle name="Normal 2 4 3 3 7 3 2" xfId="14775" xr:uid="{85A29137-22DC-4C48-ACB1-F3DE8307C243}"/>
    <cellStyle name="Normal 2 4 3 3 7 4" xfId="10557" xr:uid="{C71D5559-6358-432A-9F4E-02D87FE2C986}"/>
    <cellStyle name="Normal 2 4 3 3 8" xfId="2474" xr:uid="{00000000-0005-0000-0000-00001C100000}"/>
    <cellStyle name="Normal 2 4 3 3 8 2" xfId="6759" xr:uid="{00000000-0005-0000-0000-00001D100000}"/>
    <cellStyle name="Normal 2 4 3 3 8 2 2" xfId="15188" xr:uid="{B96A7CC7-DD44-4FFC-A5C3-746C4BC94CC7}"/>
    <cellStyle name="Normal 2 4 3 3 8 3" xfId="10970" xr:uid="{4C379B28-8776-46AE-B30E-204E8F05FB40}"/>
    <cellStyle name="Normal 2 4 3 3 9" xfId="4693" xr:uid="{00000000-0005-0000-0000-00001E100000}"/>
    <cellStyle name="Normal 2 4 3 3 9 2" xfId="13122" xr:uid="{1613C6E8-BF74-4202-92FC-61EE75AC1283}"/>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28AEBF7-9A8D-42A6-B6F0-E71FBE6BB81C}"/>
    <cellStyle name="Normal 2 4 3 4 2 3" xfId="11462" xr:uid="{2B950DC8-206F-4074-9F7B-7624A3C496BE}"/>
    <cellStyle name="Normal 2 4 3 4 3" xfId="5106" xr:uid="{00000000-0005-0000-0000-000022100000}"/>
    <cellStyle name="Normal 2 4 3 4 3 2" xfId="13535" xr:uid="{F01E5E64-2A3C-4664-BDF0-5894538690B4}"/>
    <cellStyle name="Normal 2 4 3 4 4" xfId="9317" xr:uid="{BC85EDCD-29EF-40CD-8415-4542F6049A6F}"/>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8869F00C-2723-477F-985E-8588CE432B44}"/>
    <cellStyle name="Normal 2 4 3 5 2 3" xfId="11875" xr:uid="{988EF99F-B74E-460B-B7C3-AF1875B88221}"/>
    <cellStyle name="Normal 2 4 3 5 3" xfId="5519" xr:uid="{00000000-0005-0000-0000-000026100000}"/>
    <cellStyle name="Normal 2 4 3 5 3 2" xfId="13948" xr:uid="{875B7214-280B-48A0-9551-A8AC4E1597DB}"/>
    <cellStyle name="Normal 2 4 3 5 4" xfId="9730" xr:uid="{8FB9E5B1-09BE-4A94-B21B-C7D1A885DAC5}"/>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631D9F73-70F2-479A-A4E4-62F66D1CEE6A}"/>
    <cellStyle name="Normal 2 4 3 6 2 3" xfId="12288" xr:uid="{22F6E468-BA73-4DF0-9D76-86FD311360C1}"/>
    <cellStyle name="Normal 2 4 3 6 3" xfId="5932" xr:uid="{00000000-0005-0000-0000-00002A100000}"/>
    <cellStyle name="Normal 2 4 3 6 3 2" xfId="14361" xr:uid="{58F52BB5-4F9E-4E8B-850C-8208F6236E05}"/>
    <cellStyle name="Normal 2 4 3 6 4" xfId="10143" xr:uid="{311C60B7-FC9B-494D-8C9F-984EBFA7DF03}"/>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6847FB2F-E5B5-4317-9FC1-C4952595DA67}"/>
    <cellStyle name="Normal 2 4 3 7 2 3" xfId="12701" xr:uid="{6900E395-ED76-4C7C-BE0C-50D1D6491ACA}"/>
    <cellStyle name="Normal 2 4 3 7 3" xfId="6345" xr:uid="{00000000-0005-0000-0000-00002E100000}"/>
    <cellStyle name="Normal 2 4 3 7 3 2" xfId="14774" xr:uid="{AD1D07E7-58C7-404D-A1DD-416C94858504}"/>
    <cellStyle name="Normal 2 4 3 7 4" xfId="10556" xr:uid="{6AA95543-DA88-4E0D-8F85-BF3C682B752F}"/>
    <cellStyle name="Normal 2 4 3 8" xfId="2473" xr:uid="{00000000-0005-0000-0000-00002F100000}"/>
    <cellStyle name="Normal 2 4 3 8 2" xfId="6758" xr:uid="{00000000-0005-0000-0000-000030100000}"/>
    <cellStyle name="Normal 2 4 3 8 2 2" xfId="15187" xr:uid="{1CAACBEE-6C4C-4100-B460-BB68933F04DE}"/>
    <cellStyle name="Normal 2 4 3 8 3" xfId="10969" xr:uid="{F0C762CE-4EED-406A-B8B7-227ABC1DCF65}"/>
    <cellStyle name="Normal 2 4 3 9" xfId="4692" xr:uid="{00000000-0005-0000-0000-000031100000}"/>
    <cellStyle name="Normal 2 4 3 9 2" xfId="13121" xr:uid="{03F08B5A-F544-40B7-A079-D3762D2CE70B}"/>
    <cellStyle name="Normal 2 4 4" xfId="302" xr:uid="{00000000-0005-0000-0000-000032100000}"/>
    <cellStyle name="Normal 2 4 5" xfId="303" xr:uid="{00000000-0005-0000-0000-000033100000}"/>
    <cellStyle name="Normal 2 4 5 10" xfId="4697" xr:uid="{00000000-0005-0000-0000-000034100000}"/>
    <cellStyle name="Normal 2 4 5 10 2" xfId="13126" xr:uid="{0C1FED25-8271-4F48-893E-DD35AA48E392}"/>
    <cellStyle name="Normal 2 4 5 11" xfId="8908" xr:uid="{EC2E66B9-8D8D-47C2-BC3F-1F9A3DCBAEA3}"/>
    <cellStyle name="Normal 2 4 5 2" xfId="304" xr:uid="{00000000-0005-0000-0000-000035100000}"/>
    <cellStyle name="Normal 2 4 5 2 10" xfId="8909" xr:uid="{B275BF39-12E2-46B0-B1F1-CE22803F5BA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4A581FB9-2734-45A9-883E-D2F92ABFDC01}"/>
    <cellStyle name="Normal 2 4 5 2 2 2 2 2 3" xfId="11470" xr:uid="{E8098FBB-4F2A-4863-9279-894E3B192E95}"/>
    <cellStyle name="Normal 2 4 5 2 2 2 2 3" xfId="5114" xr:uid="{00000000-0005-0000-0000-00003B100000}"/>
    <cellStyle name="Normal 2 4 5 2 2 2 2 3 2" xfId="13543" xr:uid="{81089A19-372E-4F64-8875-7E8417300B5A}"/>
    <cellStyle name="Normal 2 4 5 2 2 2 2 4" xfId="9325" xr:uid="{A9DD07E6-42C7-4D76-96D8-58EA8D402989}"/>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2D913A02-223B-43F5-AD17-B90408F5C04A}"/>
    <cellStyle name="Normal 2 4 5 2 2 2 3 2 3" xfId="11883" xr:uid="{EF91BFA1-8EB1-49FA-8401-21EBA18FD565}"/>
    <cellStyle name="Normal 2 4 5 2 2 2 3 3" xfId="5527" xr:uid="{00000000-0005-0000-0000-00003F100000}"/>
    <cellStyle name="Normal 2 4 5 2 2 2 3 3 2" xfId="13956" xr:uid="{9D3D656D-A335-4F11-96DF-0D174D2DEE8F}"/>
    <cellStyle name="Normal 2 4 5 2 2 2 3 4" xfId="9738" xr:uid="{8DB072CF-551E-4DEE-8657-4FC57F777C3C}"/>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338B866E-7A64-44C1-8A70-7910BE91B77C}"/>
    <cellStyle name="Normal 2 4 5 2 2 2 4 2 3" xfId="12296" xr:uid="{AE71A87C-A3B2-4242-814E-39B3B243B821}"/>
    <cellStyle name="Normal 2 4 5 2 2 2 4 3" xfId="5940" xr:uid="{00000000-0005-0000-0000-000043100000}"/>
    <cellStyle name="Normal 2 4 5 2 2 2 4 3 2" xfId="14369" xr:uid="{C559C0CE-6841-4D8F-B296-B680FFAB16C4}"/>
    <cellStyle name="Normal 2 4 5 2 2 2 4 4" xfId="10151" xr:uid="{B8173ED5-0617-4845-B84F-2F3809EE5F0A}"/>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575C0018-2CC0-4957-8446-F095322F378A}"/>
    <cellStyle name="Normal 2 4 5 2 2 2 5 2 3" xfId="12709" xr:uid="{D4410534-5758-48C4-AAFA-4A9BA6EF8DAD}"/>
    <cellStyle name="Normal 2 4 5 2 2 2 5 3" xfId="6353" xr:uid="{00000000-0005-0000-0000-000047100000}"/>
    <cellStyle name="Normal 2 4 5 2 2 2 5 3 2" xfId="14782" xr:uid="{57FFFA20-F90D-45D6-9F74-9ED1E70BDE96}"/>
    <cellStyle name="Normal 2 4 5 2 2 2 5 4" xfId="10564" xr:uid="{8D507B2E-4CD0-44BD-959F-2916109E4ABC}"/>
    <cellStyle name="Normal 2 4 5 2 2 2 6" xfId="2481" xr:uid="{00000000-0005-0000-0000-000048100000}"/>
    <cellStyle name="Normal 2 4 5 2 2 2 6 2" xfId="6766" xr:uid="{00000000-0005-0000-0000-000049100000}"/>
    <cellStyle name="Normal 2 4 5 2 2 2 6 2 2" xfId="15195" xr:uid="{9106EA49-9056-4AD1-8EF5-E1042B3A03AD}"/>
    <cellStyle name="Normal 2 4 5 2 2 2 6 3" xfId="10977" xr:uid="{0F69388F-474B-4CD0-ACB0-74DD5C854E95}"/>
    <cellStyle name="Normal 2 4 5 2 2 2 7" xfId="4700" xr:uid="{00000000-0005-0000-0000-00004A100000}"/>
    <cellStyle name="Normal 2 4 5 2 2 2 7 2" xfId="13129" xr:uid="{09FEABED-E8FA-425C-8D72-65649E6A9F3C}"/>
    <cellStyle name="Normal 2 4 5 2 2 2 8" xfId="8911" xr:uid="{530D1ACE-8507-4134-B1EA-134A571574A8}"/>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EA18B019-F0CE-44C5-8CD4-64D3FAA129B6}"/>
    <cellStyle name="Normal 2 4 5 2 2 3 2 3" xfId="11469" xr:uid="{E002A9B3-50C0-43FA-8A4C-6FBF4C374E00}"/>
    <cellStyle name="Normal 2 4 5 2 2 3 3" xfId="5113" xr:uid="{00000000-0005-0000-0000-00004E100000}"/>
    <cellStyle name="Normal 2 4 5 2 2 3 3 2" xfId="13542" xr:uid="{4CC7F32C-683C-43B9-87AD-2A9308758C1A}"/>
    <cellStyle name="Normal 2 4 5 2 2 3 4" xfId="9324" xr:uid="{D6035E08-491F-4CFE-9FC0-7C16359DE13A}"/>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D014B85E-6912-40EA-9330-7207E8FAB04F}"/>
    <cellStyle name="Normal 2 4 5 2 2 4 2 3" xfId="11882" xr:uid="{FD03FA95-FD84-434B-9843-21E3974D684D}"/>
    <cellStyle name="Normal 2 4 5 2 2 4 3" xfId="5526" xr:uid="{00000000-0005-0000-0000-000052100000}"/>
    <cellStyle name="Normal 2 4 5 2 2 4 3 2" xfId="13955" xr:uid="{D54BF3D5-7B7E-4466-8B90-B8FDF9F948D9}"/>
    <cellStyle name="Normal 2 4 5 2 2 4 4" xfId="9737" xr:uid="{B47F5080-62CC-421C-B1EF-57631F29429C}"/>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42EDA1AA-D102-402D-8990-AFB432B91D60}"/>
    <cellStyle name="Normal 2 4 5 2 2 5 2 3" xfId="12295" xr:uid="{488B275B-28CC-4BD2-9549-5771C4A0083A}"/>
    <cellStyle name="Normal 2 4 5 2 2 5 3" xfId="5939" xr:uid="{00000000-0005-0000-0000-000056100000}"/>
    <cellStyle name="Normal 2 4 5 2 2 5 3 2" xfId="14368" xr:uid="{9C03D0B3-C6B1-469A-94CC-4B2F66D763AD}"/>
    <cellStyle name="Normal 2 4 5 2 2 5 4" xfId="10150" xr:uid="{0099D653-28C5-4E8C-9D57-C4D93DB58099}"/>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4A52E4F2-D9AD-44CC-9327-6E20DF1030D1}"/>
    <cellStyle name="Normal 2 4 5 2 2 6 2 3" xfId="12708" xr:uid="{DBDB93AC-32D6-485D-AC4B-F372DAB0D7D0}"/>
    <cellStyle name="Normal 2 4 5 2 2 6 3" xfId="6352" xr:uid="{00000000-0005-0000-0000-00005A100000}"/>
    <cellStyle name="Normal 2 4 5 2 2 6 3 2" xfId="14781" xr:uid="{FF706EA4-8F81-4DB9-AD2B-6C17A104E0E6}"/>
    <cellStyle name="Normal 2 4 5 2 2 6 4" xfId="10563" xr:uid="{96763EBE-1B17-4D91-8549-8F25A85E4EB9}"/>
    <cellStyle name="Normal 2 4 5 2 2 7" xfId="2480" xr:uid="{00000000-0005-0000-0000-00005B100000}"/>
    <cellStyle name="Normal 2 4 5 2 2 7 2" xfId="6765" xr:uid="{00000000-0005-0000-0000-00005C100000}"/>
    <cellStyle name="Normal 2 4 5 2 2 7 2 2" xfId="15194" xr:uid="{3A56841D-C55A-473A-A49D-EFDB0D6BA68E}"/>
    <cellStyle name="Normal 2 4 5 2 2 7 3" xfId="10976" xr:uid="{78B74C33-DE3D-4C56-84D8-6FC234506D5D}"/>
    <cellStyle name="Normal 2 4 5 2 2 8" xfId="4699" xr:uid="{00000000-0005-0000-0000-00005D100000}"/>
    <cellStyle name="Normal 2 4 5 2 2 8 2" xfId="13128" xr:uid="{A8CB997E-43B4-48B9-96FB-941DD39DABCB}"/>
    <cellStyle name="Normal 2 4 5 2 2 9" xfId="8910" xr:uid="{12CD4BD6-FF2E-43D3-82F8-B5AE3836977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7B9F008B-F12E-42E5-B75A-45E57B670DB4}"/>
    <cellStyle name="Normal 2 4 5 2 3 2 2 3" xfId="11471" xr:uid="{E0AC7D8E-89F6-4ABE-9B4F-9324042550E9}"/>
    <cellStyle name="Normal 2 4 5 2 3 2 3" xfId="5115" xr:uid="{00000000-0005-0000-0000-000062100000}"/>
    <cellStyle name="Normal 2 4 5 2 3 2 3 2" xfId="13544" xr:uid="{39CBDCAF-301F-4745-AEC3-5FA7511EE410}"/>
    <cellStyle name="Normal 2 4 5 2 3 2 4" xfId="9326" xr:uid="{0C6F3EA1-83AD-41DB-9B93-C51DEA78BF86}"/>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ECEA8CC0-0A57-4841-8D51-C40976E03816}"/>
    <cellStyle name="Normal 2 4 5 2 3 3 2 3" xfId="11884" xr:uid="{D0DFCEDA-4F12-485C-963E-19B1C7D9F11E}"/>
    <cellStyle name="Normal 2 4 5 2 3 3 3" xfId="5528" xr:uid="{00000000-0005-0000-0000-000066100000}"/>
    <cellStyle name="Normal 2 4 5 2 3 3 3 2" xfId="13957" xr:uid="{28571551-B94F-4A85-9322-CDEAF8CA5197}"/>
    <cellStyle name="Normal 2 4 5 2 3 3 4" xfId="9739" xr:uid="{2B805408-0ED4-4512-ACAC-FA46E5BA1276}"/>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18A4AD4F-FCF0-4AE9-9910-066D3F016CF1}"/>
    <cellStyle name="Normal 2 4 5 2 3 4 2 3" xfId="12297" xr:uid="{35F97696-1E3E-4859-9A23-1FEE5B5E0079}"/>
    <cellStyle name="Normal 2 4 5 2 3 4 3" xfId="5941" xr:uid="{00000000-0005-0000-0000-00006A100000}"/>
    <cellStyle name="Normal 2 4 5 2 3 4 3 2" xfId="14370" xr:uid="{2C6CE9EC-E961-4885-8852-028EF6317224}"/>
    <cellStyle name="Normal 2 4 5 2 3 4 4" xfId="10152" xr:uid="{B2A195A3-87A0-44D0-8AB5-8D58139C890D}"/>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EF8E1320-F60A-4A8A-9178-A4FC30D4E62D}"/>
    <cellStyle name="Normal 2 4 5 2 3 5 2 3" xfId="12710" xr:uid="{36B61584-BE06-437A-AD8F-873FBD240EE5}"/>
    <cellStyle name="Normal 2 4 5 2 3 5 3" xfId="6354" xr:uid="{00000000-0005-0000-0000-00006E100000}"/>
    <cellStyle name="Normal 2 4 5 2 3 5 3 2" xfId="14783" xr:uid="{7E37F7D8-2B5B-4D76-9772-D58CB6DCEF64}"/>
    <cellStyle name="Normal 2 4 5 2 3 5 4" xfId="10565" xr:uid="{1F6E86AD-CB96-4B1C-B7E0-0EFD2C8387F9}"/>
    <cellStyle name="Normal 2 4 5 2 3 6" xfId="2482" xr:uid="{00000000-0005-0000-0000-00006F100000}"/>
    <cellStyle name="Normal 2 4 5 2 3 6 2" xfId="6767" xr:uid="{00000000-0005-0000-0000-000070100000}"/>
    <cellStyle name="Normal 2 4 5 2 3 6 2 2" xfId="15196" xr:uid="{399B8770-7BDC-4A2F-8169-610094B53A01}"/>
    <cellStyle name="Normal 2 4 5 2 3 6 3" xfId="10978" xr:uid="{C11E6641-C709-443F-A7B0-92AA612D8C42}"/>
    <cellStyle name="Normal 2 4 5 2 3 7" xfId="4701" xr:uid="{00000000-0005-0000-0000-000071100000}"/>
    <cellStyle name="Normal 2 4 5 2 3 7 2" xfId="13130" xr:uid="{EC6DD7EA-A2A1-4855-9B13-B57DEACE8DF6}"/>
    <cellStyle name="Normal 2 4 5 2 3 8" xfId="8912" xr:uid="{3AF5A51D-00FF-4431-8C05-8C26E635C1CF}"/>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57294F97-3535-47B7-84E5-1F7DE2E3464F}"/>
    <cellStyle name="Normal 2 4 5 2 4 2 3" xfId="11468" xr:uid="{FA415A26-1D85-48A9-86C7-68C5E368DF44}"/>
    <cellStyle name="Normal 2 4 5 2 4 3" xfId="5112" xr:uid="{00000000-0005-0000-0000-000075100000}"/>
    <cellStyle name="Normal 2 4 5 2 4 3 2" xfId="13541" xr:uid="{09F94524-2B65-4674-942A-B501559EBDA2}"/>
    <cellStyle name="Normal 2 4 5 2 4 4" xfId="9323" xr:uid="{0CF2499A-B9B3-440A-B809-4671FD207FDD}"/>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4DDB74D5-BB62-4AE7-8F07-F3C6AAB15CB2}"/>
    <cellStyle name="Normal 2 4 5 2 5 2 3" xfId="11881" xr:uid="{8DAF8412-A40C-4A1A-AD72-8C1CE0A6E559}"/>
    <cellStyle name="Normal 2 4 5 2 5 3" xfId="5525" xr:uid="{00000000-0005-0000-0000-000079100000}"/>
    <cellStyle name="Normal 2 4 5 2 5 3 2" xfId="13954" xr:uid="{C1332499-BCE5-49A7-87DC-2C93E2428BE9}"/>
    <cellStyle name="Normal 2 4 5 2 5 4" xfId="9736" xr:uid="{FDC4BC2D-1686-46FD-A252-672BC59A4AEE}"/>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BC290A99-475A-43F6-A7E4-1B3A8D5E4C24}"/>
    <cellStyle name="Normal 2 4 5 2 6 2 3" xfId="12294" xr:uid="{9F507A00-576E-4F25-9A49-BC316A8938B6}"/>
    <cellStyle name="Normal 2 4 5 2 6 3" xfId="5938" xr:uid="{00000000-0005-0000-0000-00007D100000}"/>
    <cellStyle name="Normal 2 4 5 2 6 3 2" xfId="14367" xr:uid="{2A016705-FBFC-4DDD-9FD9-AC439ACFD0B1}"/>
    <cellStyle name="Normal 2 4 5 2 6 4" xfId="10149" xr:uid="{1A5FB383-E274-45B2-B1F8-1612E144E097}"/>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ADF3A5CA-398D-4A1E-8790-072BA1F40337}"/>
    <cellStyle name="Normal 2 4 5 2 7 2 3" xfId="12707" xr:uid="{ED94FA7E-0A75-485D-AE82-5E4B2AE57108}"/>
    <cellStyle name="Normal 2 4 5 2 7 3" xfId="6351" xr:uid="{00000000-0005-0000-0000-000081100000}"/>
    <cellStyle name="Normal 2 4 5 2 7 3 2" xfId="14780" xr:uid="{6DB6B47C-2478-47FF-858F-A498658C331D}"/>
    <cellStyle name="Normal 2 4 5 2 7 4" xfId="10562" xr:uid="{A8599560-D045-4805-93E7-E4993D09401B}"/>
    <cellStyle name="Normal 2 4 5 2 8" xfId="2479" xr:uid="{00000000-0005-0000-0000-000082100000}"/>
    <cellStyle name="Normal 2 4 5 2 8 2" xfId="6764" xr:uid="{00000000-0005-0000-0000-000083100000}"/>
    <cellStyle name="Normal 2 4 5 2 8 2 2" xfId="15193" xr:uid="{F418FDEC-EE5B-4198-9FC3-5719690D6877}"/>
    <cellStyle name="Normal 2 4 5 2 8 3" xfId="10975" xr:uid="{0EDDAC6E-2F65-41B7-9A98-F25F5C1B1DFA}"/>
    <cellStyle name="Normal 2 4 5 2 9" xfId="4698" xr:uid="{00000000-0005-0000-0000-000084100000}"/>
    <cellStyle name="Normal 2 4 5 2 9 2" xfId="13127" xr:uid="{BDC6FF7A-9F6E-41F0-B07A-CE21C34DAFCE}"/>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31CEB6F1-7A3D-4236-A10E-05106BD03B0E}"/>
    <cellStyle name="Normal 2 4 5 3 2 2 2 3" xfId="11473" xr:uid="{088F0B69-7C9B-4B37-BCC3-88C6FC8E804E}"/>
    <cellStyle name="Normal 2 4 5 3 2 2 3" xfId="5117" xr:uid="{00000000-0005-0000-0000-00008A100000}"/>
    <cellStyle name="Normal 2 4 5 3 2 2 3 2" xfId="13546" xr:uid="{BFD9D13E-02F7-4212-B50C-024840C8C358}"/>
    <cellStyle name="Normal 2 4 5 3 2 2 4" xfId="9328" xr:uid="{955D0867-540C-4897-80B1-E33D1E8C688B}"/>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725DA8F1-B4D9-47B4-AE1A-B1CB62B24997}"/>
    <cellStyle name="Normal 2 4 5 3 2 3 2 3" xfId="11886" xr:uid="{7DCAFA5D-F655-4213-BA4E-04589E49943E}"/>
    <cellStyle name="Normal 2 4 5 3 2 3 3" xfId="5530" xr:uid="{00000000-0005-0000-0000-00008E100000}"/>
    <cellStyle name="Normal 2 4 5 3 2 3 3 2" xfId="13959" xr:uid="{ABA39A78-D41D-4272-9D24-AF024B6F6025}"/>
    <cellStyle name="Normal 2 4 5 3 2 3 4" xfId="9741" xr:uid="{78CA0708-566A-47D1-B49D-5176F61AB8BB}"/>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660B3A58-001D-46C7-9B1E-A1E6B5ED4236}"/>
    <cellStyle name="Normal 2 4 5 3 2 4 2 3" xfId="12299" xr:uid="{64A047AA-A5D5-40FE-B1E0-CD90E25B16D0}"/>
    <cellStyle name="Normal 2 4 5 3 2 4 3" xfId="5943" xr:uid="{00000000-0005-0000-0000-000092100000}"/>
    <cellStyle name="Normal 2 4 5 3 2 4 3 2" xfId="14372" xr:uid="{87C3C248-F22B-47C0-A8C3-C3BD0B3048A6}"/>
    <cellStyle name="Normal 2 4 5 3 2 4 4" xfId="10154" xr:uid="{79A7F21B-0D2F-450B-8A5A-754A76367A5F}"/>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AB150F70-9D36-4C96-B898-06FA31D33073}"/>
    <cellStyle name="Normal 2 4 5 3 2 5 2 3" xfId="12712" xr:uid="{4AD0123E-D40F-406F-BB53-69289016512D}"/>
    <cellStyle name="Normal 2 4 5 3 2 5 3" xfId="6356" xr:uid="{00000000-0005-0000-0000-000096100000}"/>
    <cellStyle name="Normal 2 4 5 3 2 5 3 2" xfId="14785" xr:uid="{1E227948-890D-4CD1-A9FD-025CA156DA68}"/>
    <cellStyle name="Normal 2 4 5 3 2 5 4" xfId="10567" xr:uid="{D438FF09-D444-4080-AD9B-44A5650BD32C}"/>
    <cellStyle name="Normal 2 4 5 3 2 6" xfId="2484" xr:uid="{00000000-0005-0000-0000-000097100000}"/>
    <cellStyle name="Normal 2 4 5 3 2 6 2" xfId="6769" xr:uid="{00000000-0005-0000-0000-000098100000}"/>
    <cellStyle name="Normal 2 4 5 3 2 6 2 2" xfId="15198" xr:uid="{A1A4EE01-3862-4E6E-AB08-7D59834A70B4}"/>
    <cellStyle name="Normal 2 4 5 3 2 6 3" xfId="10980" xr:uid="{1273054D-EFE1-41CA-B8A4-CE56E170F04E}"/>
    <cellStyle name="Normal 2 4 5 3 2 7" xfId="4703" xr:uid="{00000000-0005-0000-0000-000099100000}"/>
    <cellStyle name="Normal 2 4 5 3 2 7 2" xfId="13132" xr:uid="{AF52F81A-B776-40E5-BE31-B282B368DFED}"/>
    <cellStyle name="Normal 2 4 5 3 2 8" xfId="8914" xr:uid="{F36842BB-4BDE-4F9A-B06D-1BBE11E14B73}"/>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E251B429-240F-460C-8166-84B9F532BDDE}"/>
    <cellStyle name="Normal 2 4 5 3 3 2 3" xfId="11472" xr:uid="{7DECB17C-BFAE-4FB8-8DEB-7F7E631535FD}"/>
    <cellStyle name="Normal 2 4 5 3 3 3" xfId="5116" xr:uid="{00000000-0005-0000-0000-00009D100000}"/>
    <cellStyle name="Normal 2 4 5 3 3 3 2" xfId="13545" xr:uid="{8E88324E-5B7D-4A3C-942E-2DE03F98FE3D}"/>
    <cellStyle name="Normal 2 4 5 3 3 4" xfId="9327" xr:uid="{894D4AC6-9A44-455D-BC88-7661601AF776}"/>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6CF7092F-494B-4F0A-BC14-AF172983B38D}"/>
    <cellStyle name="Normal 2 4 5 3 4 2 3" xfId="11885" xr:uid="{09B4D51D-2DA3-40BA-BDA8-F213458253CC}"/>
    <cellStyle name="Normal 2 4 5 3 4 3" xfId="5529" xr:uid="{00000000-0005-0000-0000-0000A1100000}"/>
    <cellStyle name="Normal 2 4 5 3 4 3 2" xfId="13958" xr:uid="{15E38282-CBFD-430A-A5A1-A0A0AD435B12}"/>
    <cellStyle name="Normal 2 4 5 3 4 4" xfId="9740" xr:uid="{BED95D8A-6C9A-4CF4-B226-B5BA2DB46C9F}"/>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54A1D704-EB38-46F1-BBC2-5858CA980632}"/>
    <cellStyle name="Normal 2 4 5 3 5 2 3" xfId="12298" xr:uid="{90878261-6822-47D7-8213-8D81D3F20807}"/>
    <cellStyle name="Normal 2 4 5 3 5 3" xfId="5942" xr:uid="{00000000-0005-0000-0000-0000A5100000}"/>
    <cellStyle name="Normal 2 4 5 3 5 3 2" xfId="14371" xr:uid="{5C290496-E1DA-4A56-90F2-015BC33643E4}"/>
    <cellStyle name="Normal 2 4 5 3 5 4" xfId="10153" xr:uid="{9D76A763-1BBC-47DC-ACBB-E578B86773BE}"/>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4482C1D7-7C22-4333-BC79-792422BAA26B}"/>
    <cellStyle name="Normal 2 4 5 3 6 2 3" xfId="12711" xr:uid="{EADD7C40-03E1-43C5-A1FD-0BDE5EF566DC}"/>
    <cellStyle name="Normal 2 4 5 3 6 3" xfId="6355" xr:uid="{00000000-0005-0000-0000-0000A9100000}"/>
    <cellStyle name="Normal 2 4 5 3 6 3 2" xfId="14784" xr:uid="{29BD66BF-42CB-4070-9DCD-6AF0D926F2C2}"/>
    <cellStyle name="Normal 2 4 5 3 6 4" xfId="10566" xr:uid="{55D61EFF-79A3-4837-8E92-7E3F3CB4B7E4}"/>
    <cellStyle name="Normal 2 4 5 3 7" xfId="2483" xr:uid="{00000000-0005-0000-0000-0000AA100000}"/>
    <cellStyle name="Normal 2 4 5 3 7 2" xfId="6768" xr:uid="{00000000-0005-0000-0000-0000AB100000}"/>
    <cellStyle name="Normal 2 4 5 3 7 2 2" xfId="15197" xr:uid="{4192EC95-3816-4A3C-9A4A-9B2B947CB29A}"/>
    <cellStyle name="Normal 2 4 5 3 7 3" xfId="10979" xr:uid="{F984D542-194B-477F-99A2-79D84693CD11}"/>
    <cellStyle name="Normal 2 4 5 3 8" xfId="4702" xr:uid="{00000000-0005-0000-0000-0000AC100000}"/>
    <cellStyle name="Normal 2 4 5 3 8 2" xfId="13131" xr:uid="{2B01A736-C6E9-4341-98FE-6722431DD9C0}"/>
    <cellStyle name="Normal 2 4 5 3 9" xfId="8913" xr:uid="{6695E8A1-47CC-449B-A28B-C926C52B730E}"/>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ABC64B9A-E4D6-4DF5-8B82-F014A7A02F6C}"/>
    <cellStyle name="Normal 2 4 5 4 2 2 3" xfId="11474" xr:uid="{1D9D9F4A-9C3E-4159-8393-1E93FBCF238C}"/>
    <cellStyle name="Normal 2 4 5 4 2 3" xfId="5118" xr:uid="{00000000-0005-0000-0000-0000B1100000}"/>
    <cellStyle name="Normal 2 4 5 4 2 3 2" xfId="13547" xr:uid="{1F7831D3-075E-47FD-92F9-E3C070651659}"/>
    <cellStyle name="Normal 2 4 5 4 2 4" xfId="9329" xr:uid="{3E18A9E1-CB36-44DC-9D5B-861598D3AC2B}"/>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23ED84DE-C7C7-46C0-AB88-03508138AE77}"/>
    <cellStyle name="Normal 2 4 5 4 3 2 3" xfId="11887" xr:uid="{E0F355C3-A923-4839-8A02-996FA964EB2E}"/>
    <cellStyle name="Normal 2 4 5 4 3 3" xfId="5531" xr:uid="{00000000-0005-0000-0000-0000B5100000}"/>
    <cellStyle name="Normal 2 4 5 4 3 3 2" xfId="13960" xr:uid="{600056A0-48AA-446A-A173-02443C6B2599}"/>
    <cellStyle name="Normal 2 4 5 4 3 4" xfId="9742" xr:uid="{B2873EB5-DA7E-43C1-8739-0D1E1586422F}"/>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0FE3BDEB-7897-456F-8E9A-979B14577151}"/>
    <cellStyle name="Normal 2 4 5 4 4 2 3" xfId="12300" xr:uid="{37B426B7-65E3-43E9-80E0-44BE3C20581E}"/>
    <cellStyle name="Normal 2 4 5 4 4 3" xfId="5944" xr:uid="{00000000-0005-0000-0000-0000B9100000}"/>
    <cellStyle name="Normal 2 4 5 4 4 3 2" xfId="14373" xr:uid="{92ACA381-E097-4C03-A761-88CBBF52E5DE}"/>
    <cellStyle name="Normal 2 4 5 4 4 4" xfId="10155" xr:uid="{E0D806DF-A0F7-481D-BFFC-8B1A2DA913F9}"/>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9AF57B83-7886-4A0F-A77F-3050999215B5}"/>
    <cellStyle name="Normal 2 4 5 4 5 2 3" xfId="12713" xr:uid="{D91B2EC6-9771-4AC9-B888-F2B4D019E048}"/>
    <cellStyle name="Normal 2 4 5 4 5 3" xfId="6357" xr:uid="{00000000-0005-0000-0000-0000BD100000}"/>
    <cellStyle name="Normal 2 4 5 4 5 3 2" xfId="14786" xr:uid="{488DB9F1-35E6-481F-B174-B3D27B17AB9F}"/>
    <cellStyle name="Normal 2 4 5 4 5 4" xfId="10568" xr:uid="{F041A550-DBCB-42E1-BCAD-888CFB55F48B}"/>
    <cellStyle name="Normal 2 4 5 4 6" xfId="2485" xr:uid="{00000000-0005-0000-0000-0000BE100000}"/>
    <cellStyle name="Normal 2 4 5 4 6 2" xfId="6770" xr:uid="{00000000-0005-0000-0000-0000BF100000}"/>
    <cellStyle name="Normal 2 4 5 4 6 2 2" xfId="15199" xr:uid="{D72CD914-D601-4870-ADB8-18591A006538}"/>
    <cellStyle name="Normal 2 4 5 4 6 3" xfId="10981" xr:uid="{528D99ED-D8F8-477C-9C2E-DBCD1DF39C77}"/>
    <cellStyle name="Normal 2 4 5 4 7" xfId="4704" xr:uid="{00000000-0005-0000-0000-0000C0100000}"/>
    <cellStyle name="Normal 2 4 5 4 7 2" xfId="13133" xr:uid="{2C971590-95A6-47B8-9128-16ED8B3C41FF}"/>
    <cellStyle name="Normal 2 4 5 4 8" xfId="8915" xr:uid="{14FBFD86-425D-4A52-8FDC-50EAADBFD6AC}"/>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50BD6935-034F-4D76-AA92-021130FCFE14}"/>
    <cellStyle name="Normal 2 4 5 5 2 3" xfId="11467" xr:uid="{5C6B4990-3DA5-424A-9F37-CED9A65A6828}"/>
    <cellStyle name="Normal 2 4 5 5 3" xfId="5111" xr:uid="{00000000-0005-0000-0000-0000C4100000}"/>
    <cellStyle name="Normal 2 4 5 5 3 2" xfId="13540" xr:uid="{CC4AA676-8D3E-460C-8291-F59A8198CF45}"/>
    <cellStyle name="Normal 2 4 5 5 4" xfId="9322" xr:uid="{81385561-8973-48F6-943A-86AF0C8E571B}"/>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EB3874C8-53BB-4FE1-92BB-D41FD48AC240}"/>
    <cellStyle name="Normal 2 4 5 6 2 3" xfId="11880" xr:uid="{A5065CC5-D1B4-43E4-AB31-9FB5F36605BD}"/>
    <cellStyle name="Normal 2 4 5 6 3" xfId="5524" xr:uid="{00000000-0005-0000-0000-0000C8100000}"/>
    <cellStyle name="Normal 2 4 5 6 3 2" xfId="13953" xr:uid="{B3599D69-5607-4F8E-8787-7D690EDAF604}"/>
    <cellStyle name="Normal 2 4 5 6 4" xfId="9735" xr:uid="{E3DBD7F1-6C42-4A16-923D-BDD4A808DB87}"/>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F3286F85-4EC5-4533-8F11-C6E1CE994201}"/>
    <cellStyle name="Normal 2 4 5 7 2 3" xfId="12293" xr:uid="{C2935228-D1AD-4401-B434-42C1319B19A3}"/>
    <cellStyle name="Normal 2 4 5 7 3" xfId="5937" xr:uid="{00000000-0005-0000-0000-0000CC100000}"/>
    <cellStyle name="Normal 2 4 5 7 3 2" xfId="14366" xr:uid="{C82D72E4-6D87-41F6-B075-FEC3DE9290A9}"/>
    <cellStyle name="Normal 2 4 5 7 4" xfId="10148" xr:uid="{0251A788-4A34-44AB-8936-84605C3FCE94}"/>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53C4044B-99BD-41EF-9660-5382B46F1049}"/>
    <cellStyle name="Normal 2 4 5 8 2 3" xfId="12706" xr:uid="{2082CA24-0E85-4BF4-BC83-80AB1C6D502F}"/>
    <cellStyle name="Normal 2 4 5 8 3" xfId="6350" xr:uid="{00000000-0005-0000-0000-0000D0100000}"/>
    <cellStyle name="Normal 2 4 5 8 3 2" xfId="14779" xr:uid="{1753664A-91C8-4225-86D2-399685F8CB44}"/>
    <cellStyle name="Normal 2 4 5 8 4" xfId="10561" xr:uid="{25BE333E-78C2-446B-8A9C-E0BE5D060B8B}"/>
    <cellStyle name="Normal 2 4 5 9" xfId="2478" xr:uid="{00000000-0005-0000-0000-0000D1100000}"/>
    <cellStyle name="Normal 2 4 5 9 2" xfId="6763" xr:uid="{00000000-0005-0000-0000-0000D2100000}"/>
    <cellStyle name="Normal 2 4 5 9 2 2" xfId="15192" xr:uid="{97FF1860-EDC4-4E91-8AD7-1FE76FF7DB6B}"/>
    <cellStyle name="Normal 2 4 5 9 3" xfId="10974" xr:uid="{8EB8D440-070F-4038-9185-A61E8332DF92}"/>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A25108FD-AFF4-4C39-9D57-A52097F6681C}"/>
    <cellStyle name="Normal 2 4 7 2 2 2 3" xfId="11476" xr:uid="{96E51632-7601-4551-AAEE-A9CF03250201}"/>
    <cellStyle name="Normal 2 4 7 2 2 3" xfId="5120" xr:uid="{00000000-0005-0000-0000-0000D9100000}"/>
    <cellStyle name="Normal 2 4 7 2 2 3 2" xfId="13549" xr:uid="{71486708-5A0C-4DCA-B8D1-CA42B785B77B}"/>
    <cellStyle name="Normal 2 4 7 2 2 4" xfId="9331" xr:uid="{D46EF08A-524A-4E76-AF92-4DC8036B99FB}"/>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E820E261-1254-47A7-B544-A5C2FAE12F35}"/>
    <cellStyle name="Normal 2 4 7 2 3 2 3" xfId="11889" xr:uid="{3BA1FDA9-A224-4290-B24F-EEFE9D76A95A}"/>
    <cellStyle name="Normal 2 4 7 2 3 3" xfId="5533" xr:uid="{00000000-0005-0000-0000-0000DD100000}"/>
    <cellStyle name="Normal 2 4 7 2 3 3 2" xfId="13962" xr:uid="{028E95FA-82D0-4647-9127-7C184C532B80}"/>
    <cellStyle name="Normal 2 4 7 2 3 4" xfId="9744" xr:uid="{8A7C5395-0F6D-40A1-8251-DAF18009BA27}"/>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F36D914C-D6D9-4C74-8D45-C68BA4C8D4E3}"/>
    <cellStyle name="Normal 2 4 7 2 4 2 3" xfId="12302" xr:uid="{0E8B7E2A-6C75-4E10-B6CF-F716AECE440D}"/>
    <cellStyle name="Normal 2 4 7 2 4 3" xfId="5946" xr:uid="{00000000-0005-0000-0000-0000E1100000}"/>
    <cellStyle name="Normal 2 4 7 2 4 3 2" xfId="14375" xr:uid="{B07B92DC-7F17-4C59-8370-965FE299490D}"/>
    <cellStyle name="Normal 2 4 7 2 4 4" xfId="10157" xr:uid="{01165BBC-FD3A-4F96-9505-4EB119BF0120}"/>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A89FEDC0-15ED-4C09-A084-4DD046594C31}"/>
    <cellStyle name="Normal 2 4 7 2 5 2 3" xfId="12715" xr:uid="{0549BFD4-2C0D-40E6-8F0A-268F618C4EA2}"/>
    <cellStyle name="Normal 2 4 7 2 5 3" xfId="6359" xr:uid="{00000000-0005-0000-0000-0000E5100000}"/>
    <cellStyle name="Normal 2 4 7 2 5 3 2" xfId="14788" xr:uid="{2502739E-3F6F-4136-B9FB-5F7AE7544EA8}"/>
    <cellStyle name="Normal 2 4 7 2 5 4" xfId="10570" xr:uid="{BF305715-1028-4EB5-B956-03913FE0E3C6}"/>
    <cellStyle name="Normal 2 4 7 2 6" xfId="2487" xr:uid="{00000000-0005-0000-0000-0000E6100000}"/>
    <cellStyle name="Normal 2 4 7 2 6 2" xfId="6772" xr:uid="{00000000-0005-0000-0000-0000E7100000}"/>
    <cellStyle name="Normal 2 4 7 2 6 2 2" xfId="15201" xr:uid="{E649045D-6DE3-4BE2-BC73-4AF9600568F8}"/>
    <cellStyle name="Normal 2 4 7 2 6 3" xfId="10983" xr:uid="{A89860B6-ADE0-415E-BC4B-457817B8A660}"/>
    <cellStyle name="Normal 2 4 7 2 7" xfId="4706" xr:uid="{00000000-0005-0000-0000-0000E8100000}"/>
    <cellStyle name="Normal 2 4 7 2 7 2" xfId="13135" xr:uid="{CEA825C2-C7E7-49D5-9D53-4B86C947A93B}"/>
    <cellStyle name="Normal 2 4 7 2 8" xfId="8917" xr:uid="{1238DCC9-15D1-409F-8101-E6322A1D84B9}"/>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FE6A9343-348F-4229-872F-C4E80041BD20}"/>
    <cellStyle name="Normal 2 4 7 3 2 3" xfId="11475" xr:uid="{46CD0DF2-42F5-4CA3-B0DA-96693303D878}"/>
    <cellStyle name="Normal 2 4 7 3 3" xfId="5119" xr:uid="{00000000-0005-0000-0000-0000EC100000}"/>
    <cellStyle name="Normal 2 4 7 3 3 2" xfId="13548" xr:uid="{893D0093-9E33-4274-B060-E70CE6A4645F}"/>
    <cellStyle name="Normal 2 4 7 3 4" xfId="9330" xr:uid="{F74A070B-3E1C-4BCC-9906-4CFCCDF163A5}"/>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CB1FE82A-B58F-4212-A0BB-5A5773EC9B87}"/>
    <cellStyle name="Normal 2 4 7 4 2 3" xfId="11888" xr:uid="{C8932EDC-1A56-496E-9347-AE492F6EC332}"/>
    <cellStyle name="Normal 2 4 7 4 3" xfId="5532" xr:uid="{00000000-0005-0000-0000-0000F0100000}"/>
    <cellStyle name="Normal 2 4 7 4 3 2" xfId="13961" xr:uid="{35230E06-7DFE-412A-AD65-67A1BA2BF8E8}"/>
    <cellStyle name="Normal 2 4 7 4 4" xfId="9743" xr:uid="{4AA76955-94C3-496B-AA3D-012091A8AD70}"/>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5968CD7D-CFB1-4938-8A8B-5098180F9015}"/>
    <cellStyle name="Normal 2 4 7 5 2 3" xfId="12301" xr:uid="{1863DA3E-1D1E-416F-A2BC-C08398E07F1E}"/>
    <cellStyle name="Normal 2 4 7 5 3" xfId="5945" xr:uid="{00000000-0005-0000-0000-0000F4100000}"/>
    <cellStyle name="Normal 2 4 7 5 3 2" xfId="14374" xr:uid="{EF6FB18B-4B8D-4BB0-A4E6-398336977895}"/>
    <cellStyle name="Normal 2 4 7 5 4" xfId="10156" xr:uid="{E542EB13-05DC-4B9E-AF69-76F22E89BC92}"/>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30D33B32-7B88-4387-9A36-39423BCDBC13}"/>
    <cellStyle name="Normal 2 4 7 6 2 3" xfId="12714" xr:uid="{2F3F69B2-2F40-4CF5-BDE1-B9D00E0C3E1E}"/>
    <cellStyle name="Normal 2 4 7 6 3" xfId="6358" xr:uid="{00000000-0005-0000-0000-0000F8100000}"/>
    <cellStyle name="Normal 2 4 7 6 3 2" xfId="14787" xr:uid="{9EF044E0-9B0D-4F6A-A18B-8055807B06DD}"/>
    <cellStyle name="Normal 2 4 7 6 4" xfId="10569" xr:uid="{74B08923-857D-4FDF-9E38-EEFDDAEBDD79}"/>
    <cellStyle name="Normal 2 4 7 7" xfId="2486" xr:uid="{00000000-0005-0000-0000-0000F9100000}"/>
    <cellStyle name="Normal 2 4 7 7 2" xfId="6771" xr:uid="{00000000-0005-0000-0000-0000FA100000}"/>
    <cellStyle name="Normal 2 4 7 7 2 2" xfId="15200" xr:uid="{1298EE10-60A1-4067-8029-2154F45E413E}"/>
    <cellStyle name="Normal 2 4 7 7 3" xfId="10982" xr:uid="{56410009-CB25-4306-B219-328236A234F7}"/>
    <cellStyle name="Normal 2 4 7 8" xfId="4705" xr:uid="{00000000-0005-0000-0000-0000FB100000}"/>
    <cellStyle name="Normal 2 4 7 8 2" xfId="13134" xr:uid="{BD7E53E6-AD64-4F61-8FB0-59A4078A2811}"/>
    <cellStyle name="Normal 2 4 7 9" xfId="8916" xr:uid="{1B9D0203-A269-4701-8C7E-62950FE8ADEF}"/>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017B614B-F0DF-44DD-875E-8E52E37DA5DD}"/>
    <cellStyle name="Normal 2 4 8 2 2 3" xfId="11477" xr:uid="{4DA7B76A-916B-40B3-B913-A293DF0A59D7}"/>
    <cellStyle name="Normal 2 4 8 2 3" xfId="5121" xr:uid="{00000000-0005-0000-0000-000000110000}"/>
    <cellStyle name="Normal 2 4 8 2 3 2" xfId="13550" xr:uid="{4FD7D9A4-1365-4634-947A-1F947F702D9E}"/>
    <cellStyle name="Normal 2 4 8 2 4" xfId="9332" xr:uid="{B23E00DF-7F74-49AB-8D98-AC7EEFE7A43C}"/>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7EC915C5-E6AA-4DAC-BA36-B747876772F8}"/>
    <cellStyle name="Normal 2 4 8 3 2 3" xfId="11890" xr:uid="{FD516D2E-EBB9-416D-BF64-D7B129ED4734}"/>
    <cellStyle name="Normal 2 4 8 3 3" xfId="5534" xr:uid="{00000000-0005-0000-0000-000004110000}"/>
    <cellStyle name="Normal 2 4 8 3 3 2" xfId="13963" xr:uid="{5E5B5D7C-4926-41C2-A9F0-064E3E66FFEE}"/>
    <cellStyle name="Normal 2 4 8 3 4" xfId="9745" xr:uid="{C8824385-C4FA-4BD5-80D6-840AE7F8D2EF}"/>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39F7FAF8-B78B-4BA4-A64D-6FBE9625366E}"/>
    <cellStyle name="Normal 2 4 8 4 2 3" xfId="12303" xr:uid="{0445D370-383D-477F-9A43-DC96BE68BA03}"/>
    <cellStyle name="Normal 2 4 8 4 3" xfId="5947" xr:uid="{00000000-0005-0000-0000-000008110000}"/>
    <cellStyle name="Normal 2 4 8 4 3 2" xfId="14376" xr:uid="{FD1708FD-B5A8-4A96-A796-15CA70367EEB}"/>
    <cellStyle name="Normal 2 4 8 4 4" xfId="10158" xr:uid="{AEC13343-DE6F-4A9D-9F46-3FAAEB272AE6}"/>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F02B9ADA-EB84-49AA-A580-EE51A753CB73}"/>
    <cellStyle name="Normal 2 4 8 5 2 3" xfId="12716" xr:uid="{072C4567-B191-49CE-83CF-65697B54714F}"/>
    <cellStyle name="Normal 2 4 8 5 3" xfId="6360" xr:uid="{00000000-0005-0000-0000-00000C110000}"/>
    <cellStyle name="Normal 2 4 8 5 3 2" xfId="14789" xr:uid="{76FF5878-F37D-49D9-BBA8-65EE7B524F87}"/>
    <cellStyle name="Normal 2 4 8 5 4" xfId="10571" xr:uid="{683C2726-61AC-49DC-B452-7A3AA729DF4A}"/>
    <cellStyle name="Normal 2 4 8 6" xfId="2488" xr:uid="{00000000-0005-0000-0000-00000D110000}"/>
    <cellStyle name="Normal 2 4 8 6 2" xfId="6773" xr:uid="{00000000-0005-0000-0000-00000E110000}"/>
    <cellStyle name="Normal 2 4 8 6 2 2" xfId="15202" xr:uid="{26054A4F-D114-491A-A7F5-09675910C569}"/>
    <cellStyle name="Normal 2 4 8 6 3" xfId="10984" xr:uid="{387CCB03-4A5D-45BF-A8AC-60FBBC77DC6C}"/>
    <cellStyle name="Normal 2 4 8 7" xfId="4707" xr:uid="{00000000-0005-0000-0000-00000F110000}"/>
    <cellStyle name="Normal 2 4 8 7 2" xfId="13136" xr:uid="{A03EBFE2-1A0B-4B5B-BE71-04EB45D22830}"/>
    <cellStyle name="Normal 2 4 8 8" xfId="8918" xr:uid="{54D3D668-AC79-4CC4-9DDA-37A68686AB79}"/>
    <cellStyle name="Normal 2 5" xfId="315" xr:uid="{00000000-0005-0000-0000-000010110000}"/>
    <cellStyle name="Normal 2 5 10" xfId="4708" xr:uid="{00000000-0005-0000-0000-000011110000}"/>
    <cellStyle name="Normal 2 5 10 2" xfId="13137" xr:uid="{D79BE13A-F439-4464-B0B7-C94AE015BB5A}"/>
    <cellStyle name="Normal 2 5 11" xfId="8919" xr:uid="{BE745E4B-96BE-4A59-83AB-302D6F469FFF}"/>
    <cellStyle name="Normal 2 5 2" xfId="316" xr:uid="{00000000-0005-0000-0000-000012110000}"/>
    <cellStyle name="Normal 2 5 3" xfId="317" xr:uid="{00000000-0005-0000-0000-000013110000}"/>
    <cellStyle name="Normal 2 5 4" xfId="318" xr:uid="{00000000-0005-0000-0000-000014110000}"/>
    <cellStyle name="Normal 2 5 4 10" xfId="8920" xr:uid="{3C4E94D7-D7FE-4C9E-8515-67F02B68C305}"/>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8227DB87-E28D-4001-B253-A04C1BBFA6D0}"/>
    <cellStyle name="Normal 2 5 4 2 2 2 2 3" xfId="11481" xr:uid="{CA8F42E4-EDB3-4F54-B970-2F026A288DEB}"/>
    <cellStyle name="Normal 2 5 4 2 2 2 3" xfId="5125" xr:uid="{00000000-0005-0000-0000-00001A110000}"/>
    <cellStyle name="Normal 2 5 4 2 2 2 3 2" xfId="13554" xr:uid="{5E6332E3-09CC-402B-891A-B54C28CC31EE}"/>
    <cellStyle name="Normal 2 5 4 2 2 2 4" xfId="9336" xr:uid="{9FC3F516-978D-4CDD-88B6-F861896470E6}"/>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E0DAFB03-785A-4465-8192-415B28BD1A01}"/>
    <cellStyle name="Normal 2 5 4 2 2 3 2 3" xfId="11894" xr:uid="{EBAC3D9B-A049-4B7E-9404-89806D6DF6EA}"/>
    <cellStyle name="Normal 2 5 4 2 2 3 3" xfId="5538" xr:uid="{00000000-0005-0000-0000-00001E110000}"/>
    <cellStyle name="Normal 2 5 4 2 2 3 3 2" xfId="13967" xr:uid="{0285EE7C-32F6-4A71-B980-B0CA0B2A5164}"/>
    <cellStyle name="Normal 2 5 4 2 2 3 4" xfId="9749" xr:uid="{4F61679B-C499-482D-B5AA-3EA6181993ED}"/>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3037D2D1-28D1-47EB-AFCC-4D413E9559F9}"/>
    <cellStyle name="Normal 2 5 4 2 2 4 2 3" xfId="12307" xr:uid="{56B68103-368E-4F90-A7CE-00FE958D70F8}"/>
    <cellStyle name="Normal 2 5 4 2 2 4 3" xfId="5951" xr:uid="{00000000-0005-0000-0000-000022110000}"/>
    <cellStyle name="Normal 2 5 4 2 2 4 3 2" xfId="14380" xr:uid="{E61A812A-0FA3-407B-8495-AF92E851FEF0}"/>
    <cellStyle name="Normal 2 5 4 2 2 4 4" xfId="10162" xr:uid="{32CFD47E-28B9-45F2-BB46-1AFCF4DB899A}"/>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27E09137-1A6F-4E02-AFB3-E7394A7E0687}"/>
    <cellStyle name="Normal 2 5 4 2 2 5 2 3" xfId="12720" xr:uid="{A5FF26CF-B763-46CD-9A7B-FCEEC3A77853}"/>
    <cellStyle name="Normal 2 5 4 2 2 5 3" xfId="6364" xr:uid="{00000000-0005-0000-0000-000026110000}"/>
    <cellStyle name="Normal 2 5 4 2 2 5 3 2" xfId="14793" xr:uid="{BAE7920B-0D79-4C3D-9119-CC2086077AEB}"/>
    <cellStyle name="Normal 2 5 4 2 2 5 4" xfId="10575" xr:uid="{A30845AE-27E9-43D6-B9CF-3E25CE4E9033}"/>
    <cellStyle name="Normal 2 5 4 2 2 6" xfId="2492" xr:uid="{00000000-0005-0000-0000-000027110000}"/>
    <cellStyle name="Normal 2 5 4 2 2 6 2" xfId="6777" xr:uid="{00000000-0005-0000-0000-000028110000}"/>
    <cellStyle name="Normal 2 5 4 2 2 6 2 2" xfId="15206" xr:uid="{ECA39458-9D72-48B2-8E50-5AD3D6B6B933}"/>
    <cellStyle name="Normal 2 5 4 2 2 6 3" xfId="10988" xr:uid="{E32534AE-FBBD-4723-98EA-368C59B89EE5}"/>
    <cellStyle name="Normal 2 5 4 2 2 7" xfId="4711" xr:uid="{00000000-0005-0000-0000-000029110000}"/>
    <cellStyle name="Normal 2 5 4 2 2 7 2" xfId="13140" xr:uid="{66AB0F02-458B-4CE8-AFD7-2932870A897E}"/>
    <cellStyle name="Normal 2 5 4 2 2 8" xfId="8922" xr:uid="{18C9D23E-7826-46CD-B42C-FA0DA8C7C12D}"/>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47462D92-9266-45D9-A28A-298B5DBD4553}"/>
    <cellStyle name="Normal 2 5 4 2 3 2 3" xfId="11480" xr:uid="{76AD13B3-204E-4884-87CA-0A0EC2D13936}"/>
    <cellStyle name="Normal 2 5 4 2 3 3" xfId="5124" xr:uid="{00000000-0005-0000-0000-00002D110000}"/>
    <cellStyle name="Normal 2 5 4 2 3 3 2" xfId="13553" xr:uid="{6F690EFE-A58B-41B7-999C-520F74FB92CD}"/>
    <cellStyle name="Normal 2 5 4 2 3 4" xfId="9335" xr:uid="{57AAF30C-6809-4B8C-8511-914B4E1A1CB8}"/>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F525C69C-AE78-4BC9-ADFB-63635A962314}"/>
    <cellStyle name="Normal 2 5 4 2 4 2 3" xfId="11893" xr:uid="{E40A30DE-089C-497F-9F3E-D8B4AD05FFAA}"/>
    <cellStyle name="Normal 2 5 4 2 4 3" xfId="5537" xr:uid="{00000000-0005-0000-0000-000031110000}"/>
    <cellStyle name="Normal 2 5 4 2 4 3 2" xfId="13966" xr:uid="{B77E9B9E-7B9D-478F-B94D-0EE64B3610A7}"/>
    <cellStyle name="Normal 2 5 4 2 4 4" xfId="9748" xr:uid="{BFE5AFC8-ACE4-4382-916B-BD75D9BF15B0}"/>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383FEF16-D5EF-487A-9D17-14BCBF55F7A4}"/>
    <cellStyle name="Normal 2 5 4 2 5 2 3" xfId="12306" xr:uid="{66948A2C-2FA5-4729-AB1A-FBE99B5AE22A}"/>
    <cellStyle name="Normal 2 5 4 2 5 3" xfId="5950" xr:uid="{00000000-0005-0000-0000-000035110000}"/>
    <cellStyle name="Normal 2 5 4 2 5 3 2" xfId="14379" xr:uid="{AE842E33-4294-49DA-9219-E7B9D44717E2}"/>
    <cellStyle name="Normal 2 5 4 2 5 4" xfId="10161" xr:uid="{318346D3-114C-4631-BB5B-2EF1DCC1EFEC}"/>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10BC3D20-3BE7-4DD5-9BE6-873357BBE843}"/>
    <cellStyle name="Normal 2 5 4 2 6 2 3" xfId="12719" xr:uid="{D6C51E80-12AF-471B-AE28-825B4928AE13}"/>
    <cellStyle name="Normal 2 5 4 2 6 3" xfId="6363" xr:uid="{00000000-0005-0000-0000-000039110000}"/>
    <cellStyle name="Normal 2 5 4 2 6 3 2" xfId="14792" xr:uid="{B3BE3B8A-97CF-4A1B-807B-23C123F21D46}"/>
    <cellStyle name="Normal 2 5 4 2 6 4" xfId="10574" xr:uid="{2E28101E-8083-443D-932B-B7F8EFF159F3}"/>
    <cellStyle name="Normal 2 5 4 2 7" xfId="2491" xr:uid="{00000000-0005-0000-0000-00003A110000}"/>
    <cellStyle name="Normal 2 5 4 2 7 2" xfId="6776" xr:uid="{00000000-0005-0000-0000-00003B110000}"/>
    <cellStyle name="Normal 2 5 4 2 7 2 2" xfId="15205" xr:uid="{3822F398-0B44-444B-BB5E-705358660CF6}"/>
    <cellStyle name="Normal 2 5 4 2 7 3" xfId="10987" xr:uid="{C63EE873-A5D1-4606-B5A2-377D4D79915F}"/>
    <cellStyle name="Normal 2 5 4 2 8" xfId="4710" xr:uid="{00000000-0005-0000-0000-00003C110000}"/>
    <cellStyle name="Normal 2 5 4 2 8 2" xfId="13139" xr:uid="{8DED4AFF-B9C2-46C4-ACB8-295C178075F0}"/>
    <cellStyle name="Normal 2 5 4 2 9" xfId="8921" xr:uid="{B5123B59-EB10-4746-AD12-BF52166C0DFC}"/>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B76B2A3D-2E8B-4607-B737-0B946A6983FD}"/>
    <cellStyle name="Normal 2 5 4 3 2 2 3" xfId="11482" xr:uid="{AE2758EE-FC92-4E9C-B70C-30E028C2CDA4}"/>
    <cellStyle name="Normal 2 5 4 3 2 3" xfId="5126" xr:uid="{00000000-0005-0000-0000-000041110000}"/>
    <cellStyle name="Normal 2 5 4 3 2 3 2" xfId="13555" xr:uid="{89BAF45D-1517-4E16-9442-0EFE638EB98C}"/>
    <cellStyle name="Normal 2 5 4 3 2 4" xfId="9337" xr:uid="{AFC4749A-AE2D-4D71-A1EB-BBFFB2FF1736}"/>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75AC1D9-2AF5-48F9-A7F6-5B0881D41084}"/>
    <cellStyle name="Normal 2 5 4 3 3 2 3" xfId="11895" xr:uid="{3308C70C-8BE3-4E8F-A1ED-6A9A4BD09291}"/>
    <cellStyle name="Normal 2 5 4 3 3 3" xfId="5539" xr:uid="{00000000-0005-0000-0000-000045110000}"/>
    <cellStyle name="Normal 2 5 4 3 3 3 2" xfId="13968" xr:uid="{B8C39BC2-8433-4C2F-ABEB-0E916303908C}"/>
    <cellStyle name="Normal 2 5 4 3 3 4" xfId="9750" xr:uid="{97D915EE-D50D-47C0-BE91-DFD9B6EC5F1D}"/>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501687B5-7E2E-4B85-9F38-4E1F3705318C}"/>
    <cellStyle name="Normal 2 5 4 3 4 2 3" xfId="12308" xr:uid="{90232CFD-0A17-408E-92BD-BA80F2C72B97}"/>
    <cellStyle name="Normal 2 5 4 3 4 3" xfId="5952" xr:uid="{00000000-0005-0000-0000-000049110000}"/>
    <cellStyle name="Normal 2 5 4 3 4 3 2" xfId="14381" xr:uid="{D4445D3F-E49D-4E69-A69C-09721038ADB3}"/>
    <cellStyle name="Normal 2 5 4 3 4 4" xfId="10163" xr:uid="{7E30C122-373C-41E4-979C-786A196B6BC7}"/>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4126F90A-CB57-4E78-8FFE-AF438532BFE1}"/>
    <cellStyle name="Normal 2 5 4 3 5 2 3" xfId="12721" xr:uid="{5A00E4E3-BC1E-40A2-A2E6-F1FA53411673}"/>
    <cellStyle name="Normal 2 5 4 3 5 3" xfId="6365" xr:uid="{00000000-0005-0000-0000-00004D110000}"/>
    <cellStyle name="Normal 2 5 4 3 5 3 2" xfId="14794" xr:uid="{9FF382C7-0635-480E-A76F-312D2EE72585}"/>
    <cellStyle name="Normal 2 5 4 3 5 4" xfId="10576" xr:uid="{A9E879E4-917E-4E24-A17F-92C778A6C53C}"/>
    <cellStyle name="Normal 2 5 4 3 6" xfId="2493" xr:uid="{00000000-0005-0000-0000-00004E110000}"/>
    <cellStyle name="Normal 2 5 4 3 6 2" xfId="6778" xr:uid="{00000000-0005-0000-0000-00004F110000}"/>
    <cellStyle name="Normal 2 5 4 3 6 2 2" xfId="15207" xr:uid="{08BA4824-1404-4FAC-80C1-28B9A5822C44}"/>
    <cellStyle name="Normal 2 5 4 3 6 3" xfId="10989" xr:uid="{189CFA01-9415-494E-A8DE-6186D7C9CF62}"/>
    <cellStyle name="Normal 2 5 4 3 7" xfId="4712" xr:uid="{00000000-0005-0000-0000-000050110000}"/>
    <cellStyle name="Normal 2 5 4 3 7 2" xfId="13141" xr:uid="{C3F47FF4-47BF-4129-AF84-A2541692D136}"/>
    <cellStyle name="Normal 2 5 4 3 8" xfId="8923" xr:uid="{90096F16-3469-461D-A132-CAC7CAC660D9}"/>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DA833527-DAA9-48FD-904E-8CC3F91A448D}"/>
    <cellStyle name="Normal 2 5 4 4 2 3" xfId="11479" xr:uid="{213AF531-F622-4748-9462-9D43D6A2C0E3}"/>
    <cellStyle name="Normal 2 5 4 4 3" xfId="5123" xr:uid="{00000000-0005-0000-0000-000054110000}"/>
    <cellStyle name="Normal 2 5 4 4 3 2" xfId="13552" xr:uid="{00EBE676-31FA-4A3A-8186-F4E5B0C64F9E}"/>
    <cellStyle name="Normal 2 5 4 4 4" xfId="9334" xr:uid="{D1A00239-CB68-412A-954E-780ABA53C3C2}"/>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D60CD43B-D8EB-452B-A160-27CAB80DEAA9}"/>
    <cellStyle name="Normal 2 5 4 5 2 3" xfId="11892" xr:uid="{BF3B6EB6-81C6-42E0-90B8-C375F063AADA}"/>
    <cellStyle name="Normal 2 5 4 5 3" xfId="5536" xr:uid="{00000000-0005-0000-0000-000058110000}"/>
    <cellStyle name="Normal 2 5 4 5 3 2" xfId="13965" xr:uid="{F96C99D2-7639-4DA9-8FF2-E4B7C917D765}"/>
    <cellStyle name="Normal 2 5 4 5 4" xfId="9747" xr:uid="{B4E7363C-C318-4A39-880A-FB7F73709AA5}"/>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9093ED85-0275-4203-B089-72C02A1E4645}"/>
    <cellStyle name="Normal 2 5 4 6 2 3" xfId="12305" xr:uid="{444D5ED0-C74E-49DA-89B5-F4D27A41DA6E}"/>
    <cellStyle name="Normal 2 5 4 6 3" xfId="5949" xr:uid="{00000000-0005-0000-0000-00005C110000}"/>
    <cellStyle name="Normal 2 5 4 6 3 2" xfId="14378" xr:uid="{87D3084A-DC16-4886-A3D2-B005EB20A18C}"/>
    <cellStyle name="Normal 2 5 4 6 4" xfId="10160" xr:uid="{97590B45-C215-4F03-AFCD-D6C0CA57BA40}"/>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071C4D6E-8131-4B1D-B711-F0C71AFB79E4}"/>
    <cellStyle name="Normal 2 5 4 7 2 3" xfId="12718" xr:uid="{6B0C18C4-7D74-4E4C-AB88-34AC7EB71FCB}"/>
    <cellStyle name="Normal 2 5 4 7 3" xfId="6362" xr:uid="{00000000-0005-0000-0000-000060110000}"/>
    <cellStyle name="Normal 2 5 4 7 3 2" xfId="14791" xr:uid="{77575610-B292-47E9-BCA3-A81B4CA55ED8}"/>
    <cellStyle name="Normal 2 5 4 7 4" xfId="10573" xr:uid="{2D2351C4-0E0A-4538-8DD7-37A404A084BA}"/>
    <cellStyle name="Normal 2 5 4 8" xfId="2490" xr:uid="{00000000-0005-0000-0000-000061110000}"/>
    <cellStyle name="Normal 2 5 4 8 2" xfId="6775" xr:uid="{00000000-0005-0000-0000-000062110000}"/>
    <cellStyle name="Normal 2 5 4 8 2 2" xfId="15204" xr:uid="{043E2E14-9D46-4159-BD59-1F746F7C5FD9}"/>
    <cellStyle name="Normal 2 5 4 8 3" xfId="10986" xr:uid="{AA1FD2C9-E3CC-4F24-9249-0B9CEFD279F9}"/>
    <cellStyle name="Normal 2 5 4 9" xfId="4709" xr:uid="{00000000-0005-0000-0000-000063110000}"/>
    <cellStyle name="Normal 2 5 4 9 2" xfId="13138" xr:uid="{E9E14540-36D4-4CE6-9DC1-75356DFF185D}"/>
    <cellStyle name="Normal 2 5 5" xfId="804" xr:uid="{00000000-0005-0000-0000-000064110000}"/>
    <cellStyle name="Normal 2 5 5 2" xfId="3043" xr:uid="{00000000-0005-0000-0000-000065110000}"/>
    <cellStyle name="Normal 2 5 5 2 2" xfId="7267" xr:uid="{00000000-0005-0000-0000-000066110000}"/>
    <cellStyle name="Normal 2 5 5 2 2 2" xfId="15696" xr:uid="{ACEAA0F8-0282-4DCA-9DDA-C4222EE35DB6}"/>
    <cellStyle name="Normal 2 5 5 2 3" xfId="11478" xr:uid="{F35175DA-F1A1-485D-9C72-5FBC288954A4}"/>
    <cellStyle name="Normal 2 5 5 3" xfId="5122" xr:uid="{00000000-0005-0000-0000-000067110000}"/>
    <cellStyle name="Normal 2 5 5 3 2" xfId="13551" xr:uid="{167177F5-ABD0-4218-A1F1-0F837CA94D0C}"/>
    <cellStyle name="Normal 2 5 5 4" xfId="9333" xr:uid="{70ED33C6-B181-4FE9-95C3-6F863EE84A85}"/>
    <cellStyle name="Normal 2 5 6" xfId="1226" xr:uid="{00000000-0005-0000-0000-000068110000}"/>
    <cellStyle name="Normal 2 5 6 2" xfId="3456" xr:uid="{00000000-0005-0000-0000-000069110000}"/>
    <cellStyle name="Normal 2 5 6 2 2" xfId="7680" xr:uid="{00000000-0005-0000-0000-00006A110000}"/>
    <cellStyle name="Normal 2 5 6 2 2 2" xfId="16109" xr:uid="{79F33926-7D6E-4395-ABD9-4D72B167090B}"/>
    <cellStyle name="Normal 2 5 6 2 3" xfId="11891" xr:uid="{C914FAED-FF72-439C-8E5D-8E0F54A56519}"/>
    <cellStyle name="Normal 2 5 6 3" xfId="5535" xr:uid="{00000000-0005-0000-0000-00006B110000}"/>
    <cellStyle name="Normal 2 5 6 3 2" xfId="13964" xr:uid="{6C4BF15A-FBCD-475B-BE63-6FFB6165616C}"/>
    <cellStyle name="Normal 2 5 6 4" xfId="9746" xr:uid="{8BAED0A1-75B7-43EA-A18A-0E0AE8D1D1BA}"/>
    <cellStyle name="Normal 2 5 7" xfId="1639" xr:uid="{00000000-0005-0000-0000-00006C110000}"/>
    <cellStyle name="Normal 2 5 7 2" xfId="3869" xr:uid="{00000000-0005-0000-0000-00006D110000}"/>
    <cellStyle name="Normal 2 5 7 2 2" xfId="8093" xr:uid="{00000000-0005-0000-0000-00006E110000}"/>
    <cellStyle name="Normal 2 5 7 2 2 2" xfId="16522" xr:uid="{9A07CCF3-38BE-4B79-8D2B-A535A0B3273D}"/>
    <cellStyle name="Normal 2 5 7 2 3" xfId="12304" xr:uid="{68B606DE-BCD2-453C-A7C8-C7ACD23C31E7}"/>
    <cellStyle name="Normal 2 5 7 3" xfId="5948" xr:uid="{00000000-0005-0000-0000-00006F110000}"/>
    <cellStyle name="Normal 2 5 7 3 2" xfId="14377" xr:uid="{828639F2-5951-434D-AF1F-472F4EE3325B}"/>
    <cellStyle name="Normal 2 5 7 4" xfId="10159" xr:uid="{1AAB9163-5238-49B8-BFAA-9B0E1EE97F96}"/>
    <cellStyle name="Normal 2 5 8" xfId="2053" xr:uid="{00000000-0005-0000-0000-000070110000}"/>
    <cellStyle name="Normal 2 5 8 2" xfId="4282" xr:uid="{00000000-0005-0000-0000-000071110000}"/>
    <cellStyle name="Normal 2 5 8 2 2" xfId="8506" xr:uid="{00000000-0005-0000-0000-000072110000}"/>
    <cellStyle name="Normal 2 5 8 2 2 2" xfId="16935" xr:uid="{FF9F1ED3-363A-4120-99E1-E6FDAA6742D8}"/>
    <cellStyle name="Normal 2 5 8 2 3" xfId="12717" xr:uid="{24D28A79-9343-466D-B50F-5100F03CCA1E}"/>
    <cellStyle name="Normal 2 5 8 3" xfId="6361" xr:uid="{00000000-0005-0000-0000-000073110000}"/>
    <cellStyle name="Normal 2 5 8 3 2" xfId="14790" xr:uid="{0C3AEB94-2EAB-4A6A-8454-A7DBF579B5F6}"/>
    <cellStyle name="Normal 2 5 8 4" xfId="10572" xr:uid="{82C34D3E-F3D4-46CB-AC2A-E552BD328CB6}"/>
    <cellStyle name="Normal 2 5 9" xfId="2489" xr:uid="{00000000-0005-0000-0000-000074110000}"/>
    <cellStyle name="Normal 2 5 9 2" xfId="6774" xr:uid="{00000000-0005-0000-0000-000075110000}"/>
    <cellStyle name="Normal 2 5 9 2 2" xfId="15203" xr:uid="{50792FAD-B397-4264-9B67-624DB6D9776A}"/>
    <cellStyle name="Normal 2 5 9 3" xfId="10985" xr:uid="{1AB781FE-6EFB-4491-AA08-01D358B2A3D3}"/>
    <cellStyle name="Normal 2 6" xfId="322" xr:uid="{00000000-0005-0000-0000-000076110000}"/>
    <cellStyle name="Normal 2 7" xfId="770" xr:uid="{00000000-0005-0000-0000-000077110000}"/>
    <cellStyle name="Normal 2 8" xfId="4496" xr:uid="{00000000-0005-0000-0000-000078110000}"/>
    <cellStyle name="Normal 2 8 2" xfId="12929" xr:uid="{EEF440DE-4F60-429D-A0A2-CA9078DE491D}"/>
    <cellStyle name="Normal 3" xfId="323" xr:uid="{00000000-0005-0000-0000-000079110000}"/>
    <cellStyle name="Normal 3 2" xfId="324" xr:uid="{00000000-0005-0000-0000-00007A110000}"/>
    <cellStyle name="Normal 3 2 10" xfId="8924" xr:uid="{B5F843DE-F3D3-422C-8AAE-46BC855C866D}"/>
    <cellStyle name="Normal 3 2 2" xfId="325" xr:uid="{00000000-0005-0000-0000-00007B110000}"/>
    <cellStyle name="Normal 3 2 2 2" xfId="811" xr:uid="{00000000-0005-0000-0000-00007C110000}"/>
    <cellStyle name="Normal 3 2 3" xfId="326" xr:uid="{00000000-0005-0000-0000-00007D110000}"/>
    <cellStyle name="Normal 3 2 3 10" xfId="8925" xr:uid="{3E9CA217-7A17-43F6-A21B-0D6F4F1BBF37}"/>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272F7017-051E-4644-AA4E-966F046020B6}"/>
    <cellStyle name="Normal 3 2 3 2 2 2 2 3" xfId="11486" xr:uid="{3A5B4670-C5CA-4BFC-A60F-92C0DED00CCA}"/>
    <cellStyle name="Normal 3 2 3 2 2 2 3" xfId="5130" xr:uid="{00000000-0005-0000-0000-000083110000}"/>
    <cellStyle name="Normal 3 2 3 2 2 2 3 2" xfId="13559" xr:uid="{AA9DA695-DC14-4F8A-8556-2D3E06F99894}"/>
    <cellStyle name="Normal 3 2 3 2 2 2 4" xfId="9341" xr:uid="{68156CC7-6E9A-4C5A-87C6-A2FB2564715A}"/>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0BE033F8-5AB6-4903-9768-8A56B5476F81}"/>
    <cellStyle name="Normal 3 2 3 2 2 3 2 3" xfId="11899" xr:uid="{90EE117A-2444-4F23-8932-95A4B5EACF0D}"/>
    <cellStyle name="Normal 3 2 3 2 2 3 3" xfId="5543" xr:uid="{00000000-0005-0000-0000-000087110000}"/>
    <cellStyle name="Normal 3 2 3 2 2 3 3 2" xfId="13972" xr:uid="{AEA63EA8-484B-4EBE-9167-EEAEE786F83E}"/>
    <cellStyle name="Normal 3 2 3 2 2 3 4" xfId="9754" xr:uid="{D89275F1-93A4-4754-91E5-7BFD9478DEED}"/>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F21E5CA7-0037-43CB-B686-B076B62AC562}"/>
    <cellStyle name="Normal 3 2 3 2 2 4 2 3" xfId="12312" xr:uid="{D4DAFA9D-B68B-406D-AD41-9DE1B838717F}"/>
    <cellStyle name="Normal 3 2 3 2 2 4 3" xfId="5956" xr:uid="{00000000-0005-0000-0000-00008B110000}"/>
    <cellStyle name="Normal 3 2 3 2 2 4 3 2" xfId="14385" xr:uid="{572D4281-CE4C-4F13-A377-79A5C10A481F}"/>
    <cellStyle name="Normal 3 2 3 2 2 4 4" xfId="10167" xr:uid="{5A02553C-D3B5-4D66-8C27-82DFED4DBD89}"/>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E43EF511-B520-4CD3-BCAF-CE9694702779}"/>
    <cellStyle name="Normal 3 2 3 2 2 5 2 3" xfId="12725" xr:uid="{FD12881C-CD39-401D-8C9B-BFB7CB4BCE5D}"/>
    <cellStyle name="Normal 3 2 3 2 2 5 3" xfId="6369" xr:uid="{00000000-0005-0000-0000-00008F110000}"/>
    <cellStyle name="Normal 3 2 3 2 2 5 3 2" xfId="14798" xr:uid="{90285C43-BF90-4E71-8EA2-A04F2785F80B}"/>
    <cellStyle name="Normal 3 2 3 2 2 5 4" xfId="10580" xr:uid="{EC699B91-9810-4C73-A069-0C0A5A44A77A}"/>
    <cellStyle name="Normal 3 2 3 2 2 6" xfId="2497" xr:uid="{00000000-0005-0000-0000-000090110000}"/>
    <cellStyle name="Normal 3 2 3 2 2 6 2" xfId="6782" xr:uid="{00000000-0005-0000-0000-000091110000}"/>
    <cellStyle name="Normal 3 2 3 2 2 6 2 2" xfId="15211" xr:uid="{C198BB7D-9A5F-4ED7-B844-CFB338323A7F}"/>
    <cellStyle name="Normal 3 2 3 2 2 6 3" xfId="10993" xr:uid="{C0EAF59B-F4EF-42E8-8FCA-0F228ED71753}"/>
    <cellStyle name="Normal 3 2 3 2 2 7" xfId="4716" xr:uid="{00000000-0005-0000-0000-000092110000}"/>
    <cellStyle name="Normal 3 2 3 2 2 7 2" xfId="13145" xr:uid="{A5D1D7E9-F46E-46F9-8811-7C588039F9E7}"/>
    <cellStyle name="Normal 3 2 3 2 2 8" xfId="8927" xr:uid="{B64B11A3-CB3B-4068-855B-A836B52C73CF}"/>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2C2DC5A2-7BCE-41C5-9E7A-4AC04B549E17}"/>
    <cellStyle name="Normal 3 2 3 2 3 2 3" xfId="11485" xr:uid="{66910AFA-631C-47CF-9247-301376D29D93}"/>
    <cellStyle name="Normal 3 2 3 2 3 3" xfId="5129" xr:uid="{00000000-0005-0000-0000-000096110000}"/>
    <cellStyle name="Normal 3 2 3 2 3 3 2" xfId="13558" xr:uid="{95618B7D-D2F3-4372-A434-70E3E17106BB}"/>
    <cellStyle name="Normal 3 2 3 2 3 4" xfId="9340" xr:uid="{A2F1B915-BA67-4C74-BF38-D1CB74A18E67}"/>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767A7A7B-7180-4310-BA8A-60185CBCB5B6}"/>
    <cellStyle name="Normal 3 2 3 2 4 2 3" xfId="11898" xr:uid="{A5E6FB26-7981-4412-8D0F-B7D8326F96DD}"/>
    <cellStyle name="Normal 3 2 3 2 4 3" xfId="5542" xr:uid="{00000000-0005-0000-0000-00009A110000}"/>
    <cellStyle name="Normal 3 2 3 2 4 3 2" xfId="13971" xr:uid="{3FCAA13F-F219-4249-8A00-80140E70085B}"/>
    <cellStyle name="Normal 3 2 3 2 4 4" xfId="9753" xr:uid="{44D50DBD-1156-4DDE-AD67-E6397AEABD12}"/>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652A62AF-B188-4154-885C-D605F5C344F8}"/>
    <cellStyle name="Normal 3 2 3 2 5 2 3" xfId="12311" xr:uid="{8EFCB55A-C15D-4E6C-A735-03AB11B7B9FD}"/>
    <cellStyle name="Normal 3 2 3 2 5 3" xfId="5955" xr:uid="{00000000-0005-0000-0000-00009E110000}"/>
    <cellStyle name="Normal 3 2 3 2 5 3 2" xfId="14384" xr:uid="{926B9031-BD85-4F78-9ED0-95087AB73116}"/>
    <cellStyle name="Normal 3 2 3 2 5 4" xfId="10166" xr:uid="{D85192EA-6100-4D06-8EE8-43F23AF15A3E}"/>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E4DA9BA4-9014-4067-A425-FCA0C408D20C}"/>
    <cellStyle name="Normal 3 2 3 2 6 2 3" xfId="12724" xr:uid="{A6DA74C7-C5BD-49BF-87E1-1BCFDC49FA42}"/>
    <cellStyle name="Normal 3 2 3 2 6 3" xfId="6368" xr:uid="{00000000-0005-0000-0000-0000A2110000}"/>
    <cellStyle name="Normal 3 2 3 2 6 3 2" xfId="14797" xr:uid="{D1D84833-F39F-4846-A711-F586A9401496}"/>
    <cellStyle name="Normal 3 2 3 2 6 4" xfId="10579" xr:uid="{5428AA96-3BA5-4A99-B82D-7F95CD30F44C}"/>
    <cellStyle name="Normal 3 2 3 2 7" xfId="2496" xr:uid="{00000000-0005-0000-0000-0000A3110000}"/>
    <cellStyle name="Normal 3 2 3 2 7 2" xfId="6781" xr:uid="{00000000-0005-0000-0000-0000A4110000}"/>
    <cellStyle name="Normal 3 2 3 2 7 2 2" xfId="15210" xr:uid="{59617B8A-236F-47D2-B566-1E341BF7BDA7}"/>
    <cellStyle name="Normal 3 2 3 2 7 3" xfId="10992" xr:uid="{40746BDB-70A5-4A08-87B3-6E00388DD042}"/>
    <cellStyle name="Normal 3 2 3 2 8" xfId="4715" xr:uid="{00000000-0005-0000-0000-0000A5110000}"/>
    <cellStyle name="Normal 3 2 3 2 8 2" xfId="13144" xr:uid="{57ABE275-3986-4AD0-8904-4DEC8F263154}"/>
    <cellStyle name="Normal 3 2 3 2 9" xfId="8926" xr:uid="{1E23C721-E446-4ED0-B96B-15B043CAFF5D}"/>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713722C1-1B7B-43F5-AB5A-EBB4A6B81E6D}"/>
    <cellStyle name="Normal 3 2 3 3 2 2 3" xfId="11487" xr:uid="{71D3EC97-6831-41FF-BDCC-C5844E58BFC5}"/>
    <cellStyle name="Normal 3 2 3 3 2 3" xfId="5131" xr:uid="{00000000-0005-0000-0000-0000AA110000}"/>
    <cellStyle name="Normal 3 2 3 3 2 3 2" xfId="13560" xr:uid="{B392E89C-500B-4B43-9F00-C93634059927}"/>
    <cellStyle name="Normal 3 2 3 3 2 4" xfId="9342" xr:uid="{052DD9F6-6F4C-4F54-8468-0EB7FD21B424}"/>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DC183B86-17E7-4BD8-B5C6-C29A8437F71F}"/>
    <cellStyle name="Normal 3 2 3 3 3 2 3" xfId="11900" xr:uid="{9D565CF2-56A3-4FDF-8926-4A8B899BBD49}"/>
    <cellStyle name="Normal 3 2 3 3 3 3" xfId="5544" xr:uid="{00000000-0005-0000-0000-0000AE110000}"/>
    <cellStyle name="Normal 3 2 3 3 3 3 2" xfId="13973" xr:uid="{4AE041B1-C86C-4572-8B73-203092A941EC}"/>
    <cellStyle name="Normal 3 2 3 3 3 4" xfId="9755" xr:uid="{774E8CFD-D809-4652-864E-F328A41654DF}"/>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7943D623-F276-4825-91EE-06CF042B280C}"/>
    <cellStyle name="Normal 3 2 3 3 4 2 3" xfId="12313" xr:uid="{BCB7DAF5-DB28-44AC-9F67-2239A6EF1BE1}"/>
    <cellStyle name="Normal 3 2 3 3 4 3" xfId="5957" xr:uid="{00000000-0005-0000-0000-0000B2110000}"/>
    <cellStyle name="Normal 3 2 3 3 4 3 2" xfId="14386" xr:uid="{61AE19AD-51ED-4D2C-9D69-BDA02CB8C1A1}"/>
    <cellStyle name="Normal 3 2 3 3 4 4" xfId="10168" xr:uid="{DBA43CD8-ADFE-49FC-95AC-5167D74C2170}"/>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AC51EC1-3652-4C39-810D-97B51A4890BF}"/>
    <cellStyle name="Normal 3 2 3 3 5 2 3" xfId="12726" xr:uid="{43C53E95-295C-4C35-8CB4-94A6A1EDB747}"/>
    <cellStyle name="Normal 3 2 3 3 5 3" xfId="6370" xr:uid="{00000000-0005-0000-0000-0000B6110000}"/>
    <cellStyle name="Normal 3 2 3 3 5 3 2" xfId="14799" xr:uid="{45DEC812-197F-4A58-9C46-150150DF6D2F}"/>
    <cellStyle name="Normal 3 2 3 3 5 4" xfId="10581" xr:uid="{E1E17410-8B51-4CC9-8A51-6231E60C65B4}"/>
    <cellStyle name="Normal 3 2 3 3 6" xfId="2498" xr:uid="{00000000-0005-0000-0000-0000B7110000}"/>
    <cellStyle name="Normal 3 2 3 3 6 2" xfId="6783" xr:uid="{00000000-0005-0000-0000-0000B8110000}"/>
    <cellStyle name="Normal 3 2 3 3 6 2 2" xfId="15212" xr:uid="{6A171954-2CEA-4162-AA74-CC0935AAB954}"/>
    <cellStyle name="Normal 3 2 3 3 6 3" xfId="10994" xr:uid="{B48CA6AE-D2B4-4465-9AD9-AF0F213F1838}"/>
    <cellStyle name="Normal 3 2 3 3 7" xfId="4717" xr:uid="{00000000-0005-0000-0000-0000B9110000}"/>
    <cellStyle name="Normal 3 2 3 3 7 2" xfId="13146" xr:uid="{767FEE64-A578-4A11-A054-452CEF037273}"/>
    <cellStyle name="Normal 3 2 3 3 8" xfId="8928" xr:uid="{52C4CDAF-3BD4-4777-9100-4DCBF087E061}"/>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358AA1CE-482B-40D0-B406-8C4C41CF0CD4}"/>
    <cellStyle name="Normal 3 2 3 4 2 3" xfId="11484" xr:uid="{4F809DE7-BEA6-4552-8E08-DADEBF124462}"/>
    <cellStyle name="Normal 3 2 3 4 3" xfId="5128" xr:uid="{00000000-0005-0000-0000-0000BD110000}"/>
    <cellStyle name="Normal 3 2 3 4 3 2" xfId="13557" xr:uid="{D92A03F5-E01A-4390-93B6-774EDBCF47C0}"/>
    <cellStyle name="Normal 3 2 3 4 4" xfId="9339" xr:uid="{3252BF0C-199F-4009-A454-A9F1BF8A9108}"/>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66CA922E-125A-4FB6-914C-54F4E47D9C3F}"/>
    <cellStyle name="Normal 3 2 3 5 2 3" xfId="11897" xr:uid="{7FD40963-3090-4418-B16F-E7BBD780C88D}"/>
    <cellStyle name="Normal 3 2 3 5 3" xfId="5541" xr:uid="{00000000-0005-0000-0000-0000C1110000}"/>
    <cellStyle name="Normal 3 2 3 5 3 2" xfId="13970" xr:uid="{E1006983-37B3-4EEF-B627-7DCA7657FE8F}"/>
    <cellStyle name="Normal 3 2 3 5 4" xfId="9752" xr:uid="{6F984395-D156-4041-AC56-835BE04A966E}"/>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15485DEC-46D6-45C4-B451-3AF61EAE36AD}"/>
    <cellStyle name="Normal 3 2 3 6 2 3" xfId="12310" xr:uid="{2581E910-3F84-4846-BA55-2A1BB17EABBD}"/>
    <cellStyle name="Normal 3 2 3 6 3" xfId="5954" xr:uid="{00000000-0005-0000-0000-0000C5110000}"/>
    <cellStyle name="Normal 3 2 3 6 3 2" xfId="14383" xr:uid="{C506EA04-AB30-4964-B05D-B05C4EE8D7D1}"/>
    <cellStyle name="Normal 3 2 3 6 4" xfId="10165" xr:uid="{64B0E220-32CE-44FB-924F-29E21A66A2CE}"/>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3CAF8F9D-C3A4-4EE7-B750-8E3F9F63C93F}"/>
    <cellStyle name="Normal 3 2 3 7 2 3" xfId="12723" xr:uid="{16539E65-D10C-44DB-8D14-888B0B54FD0E}"/>
    <cellStyle name="Normal 3 2 3 7 3" xfId="6367" xr:uid="{00000000-0005-0000-0000-0000C9110000}"/>
    <cellStyle name="Normal 3 2 3 7 3 2" xfId="14796" xr:uid="{D5EABA9C-EB2A-4709-A20C-72717F5CB6E0}"/>
    <cellStyle name="Normal 3 2 3 7 4" xfId="10578" xr:uid="{F562B72D-7C98-49D9-AC63-617C8908910C}"/>
    <cellStyle name="Normal 3 2 3 8" xfId="2495" xr:uid="{00000000-0005-0000-0000-0000CA110000}"/>
    <cellStyle name="Normal 3 2 3 8 2" xfId="6780" xr:uid="{00000000-0005-0000-0000-0000CB110000}"/>
    <cellStyle name="Normal 3 2 3 8 2 2" xfId="15209" xr:uid="{C30488FB-7805-4282-B369-EC07993D2A8C}"/>
    <cellStyle name="Normal 3 2 3 8 3" xfId="10991" xr:uid="{21E7425A-C336-4A8D-B545-6F4AFE1BB34F}"/>
    <cellStyle name="Normal 3 2 3 9" xfId="4714" xr:uid="{00000000-0005-0000-0000-0000CC110000}"/>
    <cellStyle name="Normal 3 2 3 9 2" xfId="13143" xr:uid="{4E958752-BACD-4812-904D-1EF8A5E90436}"/>
    <cellStyle name="Normal 3 2 4" xfId="810" xr:uid="{00000000-0005-0000-0000-0000CD110000}"/>
    <cellStyle name="Normal 3 2 4 2" xfId="3048" xr:uid="{00000000-0005-0000-0000-0000CE110000}"/>
    <cellStyle name="Normal 3 2 4 2 2" xfId="7272" xr:uid="{00000000-0005-0000-0000-0000CF110000}"/>
    <cellStyle name="Normal 3 2 4 2 2 2" xfId="15701" xr:uid="{99AEF5A6-68EF-4B86-B8D9-2C984396E85A}"/>
    <cellStyle name="Normal 3 2 4 2 3" xfId="11483" xr:uid="{DFC4D2A5-872B-4D35-834D-9ECDE9C203EF}"/>
    <cellStyle name="Normal 3 2 4 3" xfId="5127" xr:uid="{00000000-0005-0000-0000-0000D0110000}"/>
    <cellStyle name="Normal 3 2 4 3 2" xfId="13556" xr:uid="{C5AC675A-71C6-463F-BF3E-7DED0C24A0EA}"/>
    <cellStyle name="Normal 3 2 4 4" xfId="9338" xr:uid="{43AFD7B4-2DBA-4203-B2B2-CC7E0473894C}"/>
    <cellStyle name="Normal 3 2 5" xfId="1231" xr:uid="{00000000-0005-0000-0000-0000D1110000}"/>
    <cellStyle name="Normal 3 2 5 2" xfId="3461" xr:uid="{00000000-0005-0000-0000-0000D2110000}"/>
    <cellStyle name="Normal 3 2 5 2 2" xfId="7685" xr:uid="{00000000-0005-0000-0000-0000D3110000}"/>
    <cellStyle name="Normal 3 2 5 2 2 2" xfId="16114" xr:uid="{AA8110AF-88D2-41B2-A6C4-DEC150ECC893}"/>
    <cellStyle name="Normal 3 2 5 2 3" xfId="11896" xr:uid="{29CFE37D-D0D6-41ED-A2B3-F2EB4483EE0A}"/>
    <cellStyle name="Normal 3 2 5 3" xfId="5540" xr:uid="{00000000-0005-0000-0000-0000D4110000}"/>
    <cellStyle name="Normal 3 2 5 3 2" xfId="13969" xr:uid="{40FBB396-8F57-4280-A2E2-63B0A1EF3545}"/>
    <cellStyle name="Normal 3 2 5 4" xfId="9751" xr:uid="{70FC1D95-A130-4D58-BD19-59F80FCEB8E6}"/>
    <cellStyle name="Normal 3 2 6" xfId="1644" xr:uid="{00000000-0005-0000-0000-0000D5110000}"/>
    <cellStyle name="Normal 3 2 6 2" xfId="3874" xr:uid="{00000000-0005-0000-0000-0000D6110000}"/>
    <cellStyle name="Normal 3 2 6 2 2" xfId="8098" xr:uid="{00000000-0005-0000-0000-0000D7110000}"/>
    <cellStyle name="Normal 3 2 6 2 2 2" xfId="16527" xr:uid="{E421F209-73EC-430D-A267-5F368BDD5EA1}"/>
    <cellStyle name="Normal 3 2 6 2 3" xfId="12309" xr:uid="{2F39E343-CDB4-41BA-8B62-0AA208B88BB7}"/>
    <cellStyle name="Normal 3 2 6 3" xfId="5953" xr:uid="{00000000-0005-0000-0000-0000D8110000}"/>
    <cellStyle name="Normal 3 2 6 3 2" xfId="14382" xr:uid="{59AC098C-893B-48E4-A884-F71D02B0B5D0}"/>
    <cellStyle name="Normal 3 2 6 4" xfId="10164" xr:uid="{8CD3B368-4DFC-4C66-93C3-1FB8529AFC7B}"/>
    <cellStyle name="Normal 3 2 7" xfId="2058" xr:uid="{00000000-0005-0000-0000-0000D9110000}"/>
    <cellStyle name="Normal 3 2 7 2" xfId="4287" xr:uid="{00000000-0005-0000-0000-0000DA110000}"/>
    <cellStyle name="Normal 3 2 7 2 2" xfId="8511" xr:uid="{00000000-0005-0000-0000-0000DB110000}"/>
    <cellStyle name="Normal 3 2 7 2 2 2" xfId="16940" xr:uid="{0D8E51D2-AC96-48B5-9DC7-F36A1F8716E4}"/>
    <cellStyle name="Normal 3 2 7 2 3" xfId="12722" xr:uid="{2EC1DFFF-058B-4652-A85E-10B17E895BC4}"/>
    <cellStyle name="Normal 3 2 7 3" xfId="6366" xr:uid="{00000000-0005-0000-0000-0000DC110000}"/>
    <cellStyle name="Normal 3 2 7 3 2" xfId="14795" xr:uid="{03ADB273-B7AF-4679-B45F-500AA7DEA33E}"/>
    <cellStyle name="Normal 3 2 7 4" xfId="10577" xr:uid="{5DDABC38-E87C-4259-B4C6-78FF8AB13093}"/>
    <cellStyle name="Normal 3 2 8" xfId="2494" xr:uid="{00000000-0005-0000-0000-0000DD110000}"/>
    <cellStyle name="Normal 3 2 8 2" xfId="6779" xr:uid="{00000000-0005-0000-0000-0000DE110000}"/>
    <cellStyle name="Normal 3 2 8 2 2" xfId="15208" xr:uid="{64AABA16-C071-439B-8C90-3B45CA54C773}"/>
    <cellStyle name="Normal 3 2 8 3" xfId="10990" xr:uid="{7FAB1ACE-37D6-44D3-9B33-24771D769F23}"/>
    <cellStyle name="Normal 3 2 9" xfId="4713" xr:uid="{00000000-0005-0000-0000-0000DF110000}"/>
    <cellStyle name="Normal 3 2 9 2" xfId="13142" xr:uid="{81AD632C-393A-4CFE-B6F2-3855CCF3C6F2}"/>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38CAC863-BE44-434C-8376-977B4ED4526D}"/>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0CAF8AF5-CE01-4AE7-A88B-CA01905F1986}"/>
    <cellStyle name="Normal 4 2 2 10 2 3" xfId="12727" xr:uid="{1794093D-084F-4892-80C8-987E9943471A}"/>
    <cellStyle name="Normal 4 2 2 10 3" xfId="6371" xr:uid="{00000000-0005-0000-0000-0000EC110000}"/>
    <cellStyle name="Normal 4 2 2 10 3 2" xfId="14800" xr:uid="{175BC119-54A2-48E3-8F7C-02988FBB357B}"/>
    <cellStyle name="Normal 4 2 2 10 4" xfId="10582" xr:uid="{DE9EF1E2-9A7A-4D74-A5B7-AA0779DDC64B}"/>
    <cellStyle name="Normal 4 2 2 11" xfId="2499" xr:uid="{00000000-0005-0000-0000-0000ED110000}"/>
    <cellStyle name="Normal 4 2 2 11 2" xfId="6784" xr:uid="{00000000-0005-0000-0000-0000EE110000}"/>
    <cellStyle name="Normal 4 2 2 11 2 2" xfId="15213" xr:uid="{17CB19F0-9811-4DB1-87EE-6501260669E8}"/>
    <cellStyle name="Normal 4 2 2 11 3" xfId="10995" xr:uid="{B0BBD6AD-5F16-49D2-88FF-9AF3FA822F22}"/>
    <cellStyle name="Normal 4 2 2 12" xfId="4719" xr:uid="{00000000-0005-0000-0000-0000EF110000}"/>
    <cellStyle name="Normal 4 2 2 12 2" xfId="13148" xr:uid="{3E2E2013-82EC-44FB-B11B-6C87E067D2FB}"/>
    <cellStyle name="Normal 4 2 2 13" xfId="8930" xr:uid="{A4411803-BF6B-4CEB-9FEF-4601FE879FFB}"/>
    <cellStyle name="Normal 4 2 2 2" xfId="338" xr:uid="{00000000-0005-0000-0000-0000F0110000}"/>
    <cellStyle name="Normal 4 2 2 3" xfId="339" xr:uid="{00000000-0005-0000-0000-0000F1110000}"/>
    <cellStyle name="Normal 4 2 2 3 10" xfId="4720" xr:uid="{00000000-0005-0000-0000-0000F2110000}"/>
    <cellStyle name="Normal 4 2 2 3 10 2" xfId="13149" xr:uid="{C8019CFA-9F12-4629-880E-03F4B48DDA1B}"/>
    <cellStyle name="Normal 4 2 2 3 11" xfId="8931" xr:uid="{56F7B418-69B4-4F45-9CC2-3193D5E6FBB8}"/>
    <cellStyle name="Normal 4 2 2 3 2" xfId="340" xr:uid="{00000000-0005-0000-0000-0000F3110000}"/>
    <cellStyle name="Normal 4 2 2 3 2 10" xfId="8932" xr:uid="{A9D3AD10-EE61-4160-BC03-45A03744FAD6}"/>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C89D8515-CC3D-4ED2-9298-6E50EA838AA9}"/>
    <cellStyle name="Normal 4 2 2 3 2 2 2 2 2 3" xfId="11492" xr:uid="{6D664BF2-0680-4DED-B5D9-586BBC4F5F74}"/>
    <cellStyle name="Normal 4 2 2 3 2 2 2 2 3" xfId="5136" xr:uid="{00000000-0005-0000-0000-0000F9110000}"/>
    <cellStyle name="Normal 4 2 2 3 2 2 2 2 3 2" xfId="13565" xr:uid="{14BDC74C-692C-4494-B06B-24892A3FCF41}"/>
    <cellStyle name="Normal 4 2 2 3 2 2 2 2 4" xfId="9347" xr:uid="{2EC4DF15-B33F-4FA6-B37D-242CCFD049CC}"/>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4086CA8F-1AEC-4293-AEF8-84FA525D67D7}"/>
    <cellStyle name="Normal 4 2 2 3 2 2 2 3 2 3" xfId="11905" xr:uid="{E4D025A7-63F6-483A-B461-3694B724D39D}"/>
    <cellStyle name="Normal 4 2 2 3 2 2 2 3 3" xfId="5549" xr:uid="{00000000-0005-0000-0000-0000FD110000}"/>
    <cellStyle name="Normal 4 2 2 3 2 2 2 3 3 2" xfId="13978" xr:uid="{37F96E93-3873-4899-B3DD-6E24A443793E}"/>
    <cellStyle name="Normal 4 2 2 3 2 2 2 3 4" xfId="9760" xr:uid="{D71DED41-0B54-4807-B61E-0E0F9301F1B4}"/>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FF421446-EEC9-4985-BA7E-BA78C7DD7849}"/>
    <cellStyle name="Normal 4 2 2 3 2 2 2 4 2 3" xfId="12318" xr:uid="{73576AFD-5B15-4E53-93D5-6A2F56858F20}"/>
    <cellStyle name="Normal 4 2 2 3 2 2 2 4 3" xfId="5962" xr:uid="{00000000-0005-0000-0000-000001120000}"/>
    <cellStyle name="Normal 4 2 2 3 2 2 2 4 3 2" xfId="14391" xr:uid="{3988578A-2B0F-45AD-932D-908FA0EE8ADE}"/>
    <cellStyle name="Normal 4 2 2 3 2 2 2 4 4" xfId="10173" xr:uid="{EFA991D9-20D8-4138-9362-A1FBF69109AC}"/>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A458C030-40C5-4D7E-B14C-58291EC68D7D}"/>
    <cellStyle name="Normal 4 2 2 3 2 2 2 5 2 3" xfId="12731" xr:uid="{DE3A87AE-7157-4C4B-84A7-C140B9064D3A}"/>
    <cellStyle name="Normal 4 2 2 3 2 2 2 5 3" xfId="6375" xr:uid="{00000000-0005-0000-0000-000005120000}"/>
    <cellStyle name="Normal 4 2 2 3 2 2 2 5 3 2" xfId="14804" xr:uid="{F066595A-A0EA-4202-8FBA-EE0660E6C1C4}"/>
    <cellStyle name="Normal 4 2 2 3 2 2 2 5 4" xfId="10586" xr:uid="{A83E358A-65F1-4271-B9A6-39611D541831}"/>
    <cellStyle name="Normal 4 2 2 3 2 2 2 6" xfId="2503" xr:uid="{00000000-0005-0000-0000-000006120000}"/>
    <cellStyle name="Normal 4 2 2 3 2 2 2 6 2" xfId="6788" xr:uid="{00000000-0005-0000-0000-000007120000}"/>
    <cellStyle name="Normal 4 2 2 3 2 2 2 6 2 2" xfId="15217" xr:uid="{4504A674-28E5-4EBE-9460-DFA38B3319E1}"/>
    <cellStyle name="Normal 4 2 2 3 2 2 2 6 3" xfId="10999" xr:uid="{B02A79D7-A875-4EFF-A0FD-50BC7D9DABE9}"/>
    <cellStyle name="Normal 4 2 2 3 2 2 2 7" xfId="4723" xr:uid="{00000000-0005-0000-0000-000008120000}"/>
    <cellStyle name="Normal 4 2 2 3 2 2 2 7 2" xfId="13152" xr:uid="{B215739A-97CE-4647-B63F-1FB179F461D7}"/>
    <cellStyle name="Normal 4 2 2 3 2 2 2 8" xfId="8934" xr:uid="{ED306BFF-A8F1-4C2F-8BD1-14B29DB4004B}"/>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9B2EDC90-850F-4E08-95C5-9F37DBE7DFB4}"/>
    <cellStyle name="Normal 4 2 2 3 2 2 3 2 3" xfId="11491" xr:uid="{F31CFB84-3EB3-44B3-9497-8CE834AA3217}"/>
    <cellStyle name="Normal 4 2 2 3 2 2 3 3" xfId="5135" xr:uid="{00000000-0005-0000-0000-00000C120000}"/>
    <cellStyle name="Normal 4 2 2 3 2 2 3 3 2" xfId="13564" xr:uid="{562F80C0-2F22-453D-B7DD-3DA64AD4952E}"/>
    <cellStyle name="Normal 4 2 2 3 2 2 3 4" xfId="9346" xr:uid="{288BA972-1DFA-4A69-B5D0-DBBF92B5DF97}"/>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2F950AA2-B83E-4EEC-A1DE-CE1C03CE6F27}"/>
    <cellStyle name="Normal 4 2 2 3 2 2 4 2 3" xfId="11904" xr:uid="{E49CFBCC-73B8-4305-8F3E-84694A52A7FC}"/>
    <cellStyle name="Normal 4 2 2 3 2 2 4 3" xfId="5548" xr:uid="{00000000-0005-0000-0000-000010120000}"/>
    <cellStyle name="Normal 4 2 2 3 2 2 4 3 2" xfId="13977" xr:uid="{F754FB3F-D4EC-4589-9FF8-63088298F211}"/>
    <cellStyle name="Normal 4 2 2 3 2 2 4 4" xfId="9759" xr:uid="{2A7B475B-EE64-4498-9333-02FA3C015A11}"/>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16E0E61-AF3B-47FD-AC13-FE4D08F4043E}"/>
    <cellStyle name="Normal 4 2 2 3 2 2 5 2 3" xfId="12317" xr:uid="{D43C0432-B7E3-489E-9F32-B4516C42C543}"/>
    <cellStyle name="Normal 4 2 2 3 2 2 5 3" xfId="5961" xr:uid="{00000000-0005-0000-0000-000014120000}"/>
    <cellStyle name="Normal 4 2 2 3 2 2 5 3 2" xfId="14390" xr:uid="{27A2784C-35ED-4CD6-845D-BC59E37C6F67}"/>
    <cellStyle name="Normal 4 2 2 3 2 2 5 4" xfId="10172" xr:uid="{A602D14B-A7D7-43EB-B002-2F364D0C25D4}"/>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7A83547A-94A1-4FCB-9C92-0B858309785A}"/>
    <cellStyle name="Normal 4 2 2 3 2 2 6 2 3" xfId="12730" xr:uid="{84D8AD2D-D7DE-4DFD-989B-4D7800338FA0}"/>
    <cellStyle name="Normal 4 2 2 3 2 2 6 3" xfId="6374" xr:uid="{00000000-0005-0000-0000-000018120000}"/>
    <cellStyle name="Normal 4 2 2 3 2 2 6 3 2" xfId="14803" xr:uid="{783B9991-5A5D-4B39-BE47-0D85BFCD3C26}"/>
    <cellStyle name="Normal 4 2 2 3 2 2 6 4" xfId="10585" xr:uid="{64C34E9E-555C-4051-828A-B95D22F3377C}"/>
    <cellStyle name="Normal 4 2 2 3 2 2 7" xfId="2502" xr:uid="{00000000-0005-0000-0000-000019120000}"/>
    <cellStyle name="Normal 4 2 2 3 2 2 7 2" xfId="6787" xr:uid="{00000000-0005-0000-0000-00001A120000}"/>
    <cellStyle name="Normal 4 2 2 3 2 2 7 2 2" xfId="15216" xr:uid="{1BFC8A45-B4A1-4B85-89BE-F5BE8BC9ED24}"/>
    <cellStyle name="Normal 4 2 2 3 2 2 7 3" xfId="10998" xr:uid="{C3CF37AA-25C2-4D09-952D-9C90A69F6CAF}"/>
    <cellStyle name="Normal 4 2 2 3 2 2 8" xfId="4722" xr:uid="{00000000-0005-0000-0000-00001B120000}"/>
    <cellStyle name="Normal 4 2 2 3 2 2 8 2" xfId="13151" xr:uid="{D5235111-EBC2-4270-9F34-04CEA354FFBE}"/>
    <cellStyle name="Normal 4 2 2 3 2 2 9" xfId="8933" xr:uid="{1C7568FE-BFA8-4160-837A-3EEE932212AC}"/>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7DF079DA-45C8-48A9-B9EB-CAF18165E7D8}"/>
    <cellStyle name="Normal 4 2 2 3 2 3 2 2 3" xfId="11493" xr:uid="{96FAB172-AE7B-4DCF-B304-3B76AC46DFD4}"/>
    <cellStyle name="Normal 4 2 2 3 2 3 2 3" xfId="5137" xr:uid="{00000000-0005-0000-0000-000020120000}"/>
    <cellStyle name="Normal 4 2 2 3 2 3 2 3 2" xfId="13566" xr:uid="{5D83E4D0-577B-4A9C-AE85-BEF09F49DE1F}"/>
    <cellStyle name="Normal 4 2 2 3 2 3 2 4" xfId="9348" xr:uid="{AA8E6BA9-64A5-405D-B3EB-BB2CD164D15B}"/>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B8E57B6F-868D-4469-9F39-B7B1F94BA281}"/>
    <cellStyle name="Normal 4 2 2 3 2 3 3 2 3" xfId="11906" xr:uid="{ACDEB766-2571-4ECE-815C-2ED251B70291}"/>
    <cellStyle name="Normal 4 2 2 3 2 3 3 3" xfId="5550" xr:uid="{00000000-0005-0000-0000-000024120000}"/>
    <cellStyle name="Normal 4 2 2 3 2 3 3 3 2" xfId="13979" xr:uid="{8DFE25BD-A243-4A10-9AC3-2196066F1FC4}"/>
    <cellStyle name="Normal 4 2 2 3 2 3 3 4" xfId="9761" xr:uid="{EC8F1252-7C66-478A-8BBF-C2390D6D133D}"/>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A1AD5F17-2C46-41F1-B068-075ABD2DEBEC}"/>
    <cellStyle name="Normal 4 2 2 3 2 3 4 2 3" xfId="12319" xr:uid="{3EE9A95B-4630-41F9-A410-061646B22159}"/>
    <cellStyle name="Normal 4 2 2 3 2 3 4 3" xfId="5963" xr:uid="{00000000-0005-0000-0000-000028120000}"/>
    <cellStyle name="Normal 4 2 2 3 2 3 4 3 2" xfId="14392" xr:uid="{46FCACF2-59CA-436B-B758-77FF75402BF1}"/>
    <cellStyle name="Normal 4 2 2 3 2 3 4 4" xfId="10174" xr:uid="{DFF1566A-386C-4890-9DEC-6C529535F65B}"/>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CF5DA6FD-351D-40F2-93B6-04805AF3376D}"/>
    <cellStyle name="Normal 4 2 2 3 2 3 5 2 3" xfId="12732" xr:uid="{5D2BA451-D897-4604-B6A6-59B52CC6D73B}"/>
    <cellStyle name="Normal 4 2 2 3 2 3 5 3" xfId="6376" xr:uid="{00000000-0005-0000-0000-00002C120000}"/>
    <cellStyle name="Normal 4 2 2 3 2 3 5 3 2" xfId="14805" xr:uid="{B197070F-39DD-4F6F-AD4F-D5A4AE37D414}"/>
    <cellStyle name="Normal 4 2 2 3 2 3 5 4" xfId="10587" xr:uid="{2538AD52-2786-4675-AC91-95961FD2D0C0}"/>
    <cellStyle name="Normal 4 2 2 3 2 3 6" xfId="2504" xr:uid="{00000000-0005-0000-0000-00002D120000}"/>
    <cellStyle name="Normal 4 2 2 3 2 3 6 2" xfId="6789" xr:uid="{00000000-0005-0000-0000-00002E120000}"/>
    <cellStyle name="Normal 4 2 2 3 2 3 6 2 2" xfId="15218" xr:uid="{3AA20385-FE94-4C21-8390-25E072238191}"/>
    <cellStyle name="Normal 4 2 2 3 2 3 6 3" xfId="11000" xr:uid="{DB374C5E-CB23-4757-8149-6076B90B8E61}"/>
    <cellStyle name="Normal 4 2 2 3 2 3 7" xfId="4724" xr:uid="{00000000-0005-0000-0000-00002F120000}"/>
    <cellStyle name="Normal 4 2 2 3 2 3 7 2" xfId="13153" xr:uid="{1A672D23-4496-49E8-93CB-68DFAA8B4D28}"/>
    <cellStyle name="Normal 4 2 2 3 2 3 8" xfId="8935" xr:uid="{2E176AB9-7E21-4E03-AF71-FF84F030CEC8}"/>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1BB779C1-995A-4EDB-B920-BBFD472DD164}"/>
    <cellStyle name="Normal 4 2 2 3 2 4 2 3" xfId="11490" xr:uid="{F1F49FAC-8D68-4F86-8BF2-F8092941682F}"/>
    <cellStyle name="Normal 4 2 2 3 2 4 3" xfId="5134" xr:uid="{00000000-0005-0000-0000-000033120000}"/>
    <cellStyle name="Normal 4 2 2 3 2 4 3 2" xfId="13563" xr:uid="{C9AFAA6B-399F-4DA8-ADA0-94D845934371}"/>
    <cellStyle name="Normal 4 2 2 3 2 4 4" xfId="9345" xr:uid="{8D765CD0-7861-4998-9BE1-026822AFBFAB}"/>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E8D41124-314F-48B0-88D8-1197FDAEAD92}"/>
    <cellStyle name="Normal 4 2 2 3 2 5 2 3" xfId="11903" xr:uid="{206AA595-1296-4BAD-A4C6-ED79995853E9}"/>
    <cellStyle name="Normal 4 2 2 3 2 5 3" xfId="5547" xr:uid="{00000000-0005-0000-0000-000037120000}"/>
    <cellStyle name="Normal 4 2 2 3 2 5 3 2" xfId="13976" xr:uid="{0897269C-58F7-439B-AFED-CA57C1EA7B52}"/>
    <cellStyle name="Normal 4 2 2 3 2 5 4" xfId="9758" xr:uid="{85577D02-74C9-49A2-B19A-3F71F2DA6058}"/>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A5C9E879-22B4-48F4-9DA5-968D051758CD}"/>
    <cellStyle name="Normal 4 2 2 3 2 6 2 3" xfId="12316" xr:uid="{3505C19B-3671-4843-948E-1B32005B83A0}"/>
    <cellStyle name="Normal 4 2 2 3 2 6 3" xfId="5960" xr:uid="{00000000-0005-0000-0000-00003B120000}"/>
    <cellStyle name="Normal 4 2 2 3 2 6 3 2" xfId="14389" xr:uid="{C91AFD17-F7A3-43C2-9A10-C3643B8868E0}"/>
    <cellStyle name="Normal 4 2 2 3 2 6 4" xfId="10171" xr:uid="{B2F0775F-0A80-4288-9250-899A6D9B16F7}"/>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D381F46F-25BB-4D46-9A88-B7ED2AB25A27}"/>
    <cellStyle name="Normal 4 2 2 3 2 7 2 3" xfId="12729" xr:uid="{AC1E3067-328E-4276-97C2-EB5057683F3F}"/>
    <cellStyle name="Normal 4 2 2 3 2 7 3" xfId="6373" xr:uid="{00000000-0005-0000-0000-00003F120000}"/>
    <cellStyle name="Normal 4 2 2 3 2 7 3 2" xfId="14802" xr:uid="{97F89F6F-D813-484C-8FB9-D81C779FD0A5}"/>
    <cellStyle name="Normal 4 2 2 3 2 7 4" xfId="10584" xr:uid="{780AB0A8-3DC7-4DDA-ABE6-F746AD874B85}"/>
    <cellStyle name="Normal 4 2 2 3 2 8" xfId="2501" xr:uid="{00000000-0005-0000-0000-000040120000}"/>
    <cellStyle name="Normal 4 2 2 3 2 8 2" xfId="6786" xr:uid="{00000000-0005-0000-0000-000041120000}"/>
    <cellStyle name="Normal 4 2 2 3 2 8 2 2" xfId="15215" xr:uid="{DD869F48-8857-4120-B8C1-878F379B6A07}"/>
    <cellStyle name="Normal 4 2 2 3 2 8 3" xfId="10997" xr:uid="{7292C60D-4EE4-491B-B547-915B35B2C8CA}"/>
    <cellStyle name="Normal 4 2 2 3 2 9" xfId="4721" xr:uid="{00000000-0005-0000-0000-000042120000}"/>
    <cellStyle name="Normal 4 2 2 3 2 9 2" xfId="13150" xr:uid="{271A0FDB-F8A4-4C4F-9ECA-ECB72934D3A1}"/>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00F1AAFB-09E5-4CDA-AD02-BBF723CEECFA}"/>
    <cellStyle name="Normal 4 2 2 3 3 2 2 2 3" xfId="11495" xr:uid="{2D50B54A-0D20-414B-AC89-B42015BFFBE0}"/>
    <cellStyle name="Normal 4 2 2 3 3 2 2 3" xfId="5139" xr:uid="{00000000-0005-0000-0000-000048120000}"/>
    <cellStyle name="Normal 4 2 2 3 3 2 2 3 2" xfId="13568" xr:uid="{A9B8A1AC-C33C-4585-8D24-23552747CC8C}"/>
    <cellStyle name="Normal 4 2 2 3 3 2 2 4" xfId="9350" xr:uid="{B336A658-217B-44AB-9BC7-27A1AD62B5FE}"/>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9D3C2C63-4403-49B4-8F68-9DB0E6B5BA9B}"/>
    <cellStyle name="Normal 4 2 2 3 3 2 3 2 3" xfId="11908" xr:uid="{39504552-4836-44DF-B121-09BF3621069C}"/>
    <cellStyle name="Normal 4 2 2 3 3 2 3 3" xfId="5552" xr:uid="{00000000-0005-0000-0000-00004C120000}"/>
    <cellStyle name="Normal 4 2 2 3 3 2 3 3 2" xfId="13981" xr:uid="{7B36DA4E-B35D-4C07-B254-F99EE05E05E8}"/>
    <cellStyle name="Normal 4 2 2 3 3 2 3 4" xfId="9763" xr:uid="{C61FE2E5-0CD9-4DB7-90FF-4CC1E514D6A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5AABEF09-AC9B-4D20-94DB-323067721174}"/>
    <cellStyle name="Normal 4 2 2 3 3 2 4 2 3" xfId="12321" xr:uid="{E4D7371A-C964-47D0-BB24-64A77B1E9B2D}"/>
    <cellStyle name="Normal 4 2 2 3 3 2 4 3" xfId="5965" xr:uid="{00000000-0005-0000-0000-000050120000}"/>
    <cellStyle name="Normal 4 2 2 3 3 2 4 3 2" xfId="14394" xr:uid="{95F1059D-A73E-4F77-A451-30127BA54C44}"/>
    <cellStyle name="Normal 4 2 2 3 3 2 4 4" xfId="10176" xr:uid="{51300C4A-46A4-4F44-BF51-172EDA11F422}"/>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73B0EE11-54DF-4BA6-AE95-E21756BFDF20}"/>
    <cellStyle name="Normal 4 2 2 3 3 2 5 2 3" xfId="12734" xr:uid="{1355FC14-72B4-4056-A42F-E0CCAF1C7CCC}"/>
    <cellStyle name="Normal 4 2 2 3 3 2 5 3" xfId="6378" xr:uid="{00000000-0005-0000-0000-000054120000}"/>
    <cellStyle name="Normal 4 2 2 3 3 2 5 3 2" xfId="14807" xr:uid="{D0785ACE-7312-4289-BD68-74506A2CF2E2}"/>
    <cellStyle name="Normal 4 2 2 3 3 2 5 4" xfId="10589" xr:uid="{51D23DD1-D66E-4770-9F7B-7A802CE6CE6E}"/>
    <cellStyle name="Normal 4 2 2 3 3 2 6" xfId="2506" xr:uid="{00000000-0005-0000-0000-000055120000}"/>
    <cellStyle name="Normal 4 2 2 3 3 2 6 2" xfId="6791" xr:uid="{00000000-0005-0000-0000-000056120000}"/>
    <cellStyle name="Normal 4 2 2 3 3 2 6 2 2" xfId="15220" xr:uid="{706F7015-AAE7-413B-9FB7-6E5E37EE8A2A}"/>
    <cellStyle name="Normal 4 2 2 3 3 2 6 3" xfId="11002" xr:uid="{DA4CA907-B126-4393-9D0B-1F8C84D9464D}"/>
    <cellStyle name="Normal 4 2 2 3 3 2 7" xfId="4726" xr:uid="{00000000-0005-0000-0000-000057120000}"/>
    <cellStyle name="Normal 4 2 2 3 3 2 7 2" xfId="13155" xr:uid="{85547FAB-8368-403D-84E4-237889356F5D}"/>
    <cellStyle name="Normal 4 2 2 3 3 2 8" xfId="8937" xr:uid="{83CFC1CA-BD87-43F8-B23A-A3E7B3EA8437}"/>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AA67306A-0BC7-41EE-8528-3AA4BFA5052A}"/>
    <cellStyle name="Normal 4 2 2 3 3 3 2 3" xfId="11494" xr:uid="{0F21F219-F414-4679-922B-9DE6F9B8F0D7}"/>
    <cellStyle name="Normal 4 2 2 3 3 3 3" xfId="5138" xr:uid="{00000000-0005-0000-0000-00005B120000}"/>
    <cellStyle name="Normal 4 2 2 3 3 3 3 2" xfId="13567" xr:uid="{150BF1F2-043C-4A38-BB9B-FC852D0944E8}"/>
    <cellStyle name="Normal 4 2 2 3 3 3 4" xfId="9349" xr:uid="{35BA7AF0-F250-4BA9-8327-F868ABB83EF2}"/>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78801B5F-D4DE-497A-A256-7CFEDE4C8DF7}"/>
    <cellStyle name="Normal 4 2 2 3 3 4 2 3" xfId="11907" xr:uid="{278FE2FE-3BA0-4BF6-BBA7-03F695CBB24F}"/>
    <cellStyle name="Normal 4 2 2 3 3 4 3" xfId="5551" xr:uid="{00000000-0005-0000-0000-00005F120000}"/>
    <cellStyle name="Normal 4 2 2 3 3 4 3 2" xfId="13980" xr:uid="{67716CFD-A6C8-4F0C-A3FD-9DCBA887C938}"/>
    <cellStyle name="Normal 4 2 2 3 3 4 4" xfId="9762" xr:uid="{16B67505-7AF5-4436-98B9-3C63E77D2A5B}"/>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B0E05C23-A344-4D14-98A8-4C796229FCAF}"/>
    <cellStyle name="Normal 4 2 2 3 3 5 2 3" xfId="12320" xr:uid="{3E45A034-0207-433B-B2CA-DC8D3C0EE6C0}"/>
    <cellStyle name="Normal 4 2 2 3 3 5 3" xfId="5964" xr:uid="{00000000-0005-0000-0000-000063120000}"/>
    <cellStyle name="Normal 4 2 2 3 3 5 3 2" xfId="14393" xr:uid="{667F458D-BC9E-4866-930B-801D2083E838}"/>
    <cellStyle name="Normal 4 2 2 3 3 5 4" xfId="10175" xr:uid="{0004F503-3FD4-4216-BA1B-B538BFA7CD92}"/>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23FF8709-FD82-4A02-B003-8B0553D53A7A}"/>
    <cellStyle name="Normal 4 2 2 3 3 6 2 3" xfId="12733" xr:uid="{44421A7C-2E24-4665-8771-EECF581492F7}"/>
    <cellStyle name="Normal 4 2 2 3 3 6 3" xfId="6377" xr:uid="{00000000-0005-0000-0000-000067120000}"/>
    <cellStyle name="Normal 4 2 2 3 3 6 3 2" xfId="14806" xr:uid="{709C7650-1D80-4CC1-8372-30B1F8331AA6}"/>
    <cellStyle name="Normal 4 2 2 3 3 6 4" xfId="10588" xr:uid="{48889FE6-5F35-4C23-BF1C-5445291FC356}"/>
    <cellStyle name="Normal 4 2 2 3 3 7" xfId="2505" xr:uid="{00000000-0005-0000-0000-000068120000}"/>
    <cellStyle name="Normal 4 2 2 3 3 7 2" xfId="6790" xr:uid="{00000000-0005-0000-0000-000069120000}"/>
    <cellStyle name="Normal 4 2 2 3 3 7 2 2" xfId="15219" xr:uid="{9DDD5F90-F4DC-43A3-BEF3-CD260E8423FC}"/>
    <cellStyle name="Normal 4 2 2 3 3 7 3" xfId="11001" xr:uid="{722719D8-3E39-40E4-A660-4C41C21637E2}"/>
    <cellStyle name="Normal 4 2 2 3 3 8" xfId="4725" xr:uid="{00000000-0005-0000-0000-00006A120000}"/>
    <cellStyle name="Normal 4 2 2 3 3 8 2" xfId="13154" xr:uid="{21E8318B-E7F8-4E06-AAA7-F1CAE5CEE19E}"/>
    <cellStyle name="Normal 4 2 2 3 3 9" xfId="8936" xr:uid="{8E464CD4-7567-4C3A-8B37-51A6FE16F2AA}"/>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F22F5AFC-A7D2-45D3-AFB5-6D0719A92394}"/>
    <cellStyle name="Normal 4 2 2 3 4 2 2 3" xfId="11496" xr:uid="{A232D07A-2737-47BE-B937-8C5325F81395}"/>
    <cellStyle name="Normal 4 2 2 3 4 2 3" xfId="5140" xr:uid="{00000000-0005-0000-0000-00006F120000}"/>
    <cellStyle name="Normal 4 2 2 3 4 2 3 2" xfId="13569" xr:uid="{F14E9F00-3ECA-4A62-9DA0-7CC82EDA95AA}"/>
    <cellStyle name="Normal 4 2 2 3 4 2 4" xfId="9351" xr:uid="{5C39AFBB-9117-4432-9710-D20DD014C999}"/>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AD2CBF99-0923-4654-879C-0D1BC08E47AF}"/>
    <cellStyle name="Normal 4 2 2 3 4 3 2 3" xfId="11909" xr:uid="{DEE3A209-2669-4E59-91CB-5D9B44B17F66}"/>
    <cellStyle name="Normal 4 2 2 3 4 3 3" xfId="5553" xr:uid="{00000000-0005-0000-0000-000073120000}"/>
    <cellStyle name="Normal 4 2 2 3 4 3 3 2" xfId="13982" xr:uid="{3CA4B2F6-1B35-4EAE-9E03-2BA933F9EDC0}"/>
    <cellStyle name="Normal 4 2 2 3 4 3 4" xfId="9764" xr:uid="{F84E6F21-F18C-4763-89D2-AE24617FFA5A}"/>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2F6C46D1-5126-4C11-9BEC-321C4537DDB1}"/>
    <cellStyle name="Normal 4 2 2 3 4 4 2 3" xfId="12322" xr:uid="{DDABFED4-412F-4058-AFFB-77630CE5BE8C}"/>
    <cellStyle name="Normal 4 2 2 3 4 4 3" xfId="5966" xr:uid="{00000000-0005-0000-0000-000077120000}"/>
    <cellStyle name="Normal 4 2 2 3 4 4 3 2" xfId="14395" xr:uid="{F49DE1D4-4E70-4AB8-9259-E548136FC5B2}"/>
    <cellStyle name="Normal 4 2 2 3 4 4 4" xfId="10177" xr:uid="{AD10BFCD-D99F-4720-BFDB-A25F20E68AA2}"/>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8265EEEF-E0BA-4A58-AF4A-54084E506084}"/>
    <cellStyle name="Normal 4 2 2 3 4 5 2 3" xfId="12735" xr:uid="{0D6A0133-375B-4198-99BF-7ABF04B462FE}"/>
    <cellStyle name="Normal 4 2 2 3 4 5 3" xfId="6379" xr:uid="{00000000-0005-0000-0000-00007B120000}"/>
    <cellStyle name="Normal 4 2 2 3 4 5 3 2" xfId="14808" xr:uid="{DAD54D44-16D0-430E-BC00-DCC917E548CA}"/>
    <cellStyle name="Normal 4 2 2 3 4 5 4" xfId="10590" xr:uid="{6126FBB9-8F9E-4C04-89BC-6259D79D1D95}"/>
    <cellStyle name="Normal 4 2 2 3 4 6" xfId="2507" xr:uid="{00000000-0005-0000-0000-00007C120000}"/>
    <cellStyle name="Normal 4 2 2 3 4 6 2" xfId="6792" xr:uid="{00000000-0005-0000-0000-00007D120000}"/>
    <cellStyle name="Normal 4 2 2 3 4 6 2 2" xfId="15221" xr:uid="{C575E409-EAAB-4444-8082-5BF907C5C790}"/>
    <cellStyle name="Normal 4 2 2 3 4 6 3" xfId="11003" xr:uid="{3E0EF5E9-CE0F-4C41-B1DB-CFE949EEBE86}"/>
    <cellStyle name="Normal 4 2 2 3 4 7" xfId="4727" xr:uid="{00000000-0005-0000-0000-00007E120000}"/>
    <cellStyle name="Normal 4 2 2 3 4 7 2" xfId="13156" xr:uid="{152E4801-AFBB-47DE-B526-9EDC94740E7F}"/>
    <cellStyle name="Normal 4 2 2 3 4 8" xfId="8938" xr:uid="{D430B413-77F1-4139-AEBF-BC461877C4B7}"/>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3933D76D-E6B9-42C4-B176-63228263E01C}"/>
    <cellStyle name="Normal 4 2 2 3 5 2 3" xfId="11489" xr:uid="{F18112D6-9B0E-4F18-AADB-855CCDB5A5A3}"/>
    <cellStyle name="Normal 4 2 2 3 5 3" xfId="5133" xr:uid="{00000000-0005-0000-0000-000082120000}"/>
    <cellStyle name="Normal 4 2 2 3 5 3 2" xfId="13562" xr:uid="{73254A9A-EC59-4B4D-9348-E68625CBC8E9}"/>
    <cellStyle name="Normal 4 2 2 3 5 4" xfId="9344" xr:uid="{FAFA1620-4D4E-4E14-BFAB-302BA9415BCE}"/>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F0823D06-255D-4FB0-B37B-928ED1546CBA}"/>
    <cellStyle name="Normal 4 2 2 3 6 2 3" xfId="11902" xr:uid="{8CD42061-3C1E-42EC-AB47-7E016D20E01B}"/>
    <cellStyle name="Normal 4 2 2 3 6 3" xfId="5546" xr:uid="{00000000-0005-0000-0000-000086120000}"/>
    <cellStyle name="Normal 4 2 2 3 6 3 2" xfId="13975" xr:uid="{6A60BFFB-C64B-4C46-B76A-B0E2DB65BBBC}"/>
    <cellStyle name="Normal 4 2 2 3 6 4" xfId="9757" xr:uid="{27F641D1-00FE-4CD7-8F0E-A5F322A33041}"/>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6D412BBD-1946-4F5E-A9BF-4128DD846E37}"/>
    <cellStyle name="Normal 4 2 2 3 7 2 3" xfId="12315" xr:uid="{7144C277-1846-4605-B1A9-8B3BC55C9D71}"/>
    <cellStyle name="Normal 4 2 2 3 7 3" xfId="5959" xr:uid="{00000000-0005-0000-0000-00008A120000}"/>
    <cellStyle name="Normal 4 2 2 3 7 3 2" xfId="14388" xr:uid="{753117EF-1DAD-4D40-A4BE-6557D73B645D}"/>
    <cellStyle name="Normal 4 2 2 3 7 4" xfId="10170" xr:uid="{32C0A7FF-742F-453C-8F23-172F1C2FF64F}"/>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7302C703-D755-41EB-A115-7BE69A71FACC}"/>
    <cellStyle name="Normal 4 2 2 3 8 2 3" xfId="12728" xr:uid="{CE13BF99-0A6B-4654-AA22-7CDECA9B2781}"/>
    <cellStyle name="Normal 4 2 2 3 8 3" xfId="6372" xr:uid="{00000000-0005-0000-0000-00008E120000}"/>
    <cellStyle name="Normal 4 2 2 3 8 3 2" xfId="14801" xr:uid="{864FB591-8BFF-440C-A3BF-4CBC24E3A7C4}"/>
    <cellStyle name="Normal 4 2 2 3 8 4" xfId="10583" xr:uid="{15B118A7-34F1-4D2A-92B7-FEFACE7391C2}"/>
    <cellStyle name="Normal 4 2 2 3 9" xfId="2500" xr:uid="{00000000-0005-0000-0000-00008F120000}"/>
    <cellStyle name="Normal 4 2 2 3 9 2" xfId="6785" xr:uid="{00000000-0005-0000-0000-000090120000}"/>
    <cellStyle name="Normal 4 2 2 3 9 2 2" xfId="15214" xr:uid="{20F6F4F4-345E-4F48-B9B6-5ABC86C2D271}"/>
    <cellStyle name="Normal 4 2 2 3 9 3" xfId="10996" xr:uid="{08E63BA2-669C-4377-9F13-2F1FEDC2F655}"/>
    <cellStyle name="Normal 4 2 2 4" xfId="347" xr:uid="{00000000-0005-0000-0000-000091120000}"/>
    <cellStyle name="Normal 4 2 2 4 10" xfId="8939" xr:uid="{B4BEAAC5-1418-44ED-BAEE-47C0AB7A669E}"/>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B6B1F6CC-2ADD-4C18-8C5E-6796C417C2F6}"/>
    <cellStyle name="Normal 4 2 2 4 2 2 2 2 3" xfId="11499" xr:uid="{CDD6696B-A055-4401-B693-FCACC71D0592}"/>
    <cellStyle name="Normal 4 2 2 4 2 2 2 3" xfId="5143" xr:uid="{00000000-0005-0000-0000-000097120000}"/>
    <cellStyle name="Normal 4 2 2 4 2 2 2 3 2" xfId="13572" xr:uid="{1BCB46AD-17E5-48A9-9CC8-FED46FC3C359}"/>
    <cellStyle name="Normal 4 2 2 4 2 2 2 4" xfId="9354" xr:uid="{DE1738BA-093B-4271-8280-271745E003C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A8C2F69A-BEBA-49D2-89C2-8245D3463B86}"/>
    <cellStyle name="Normal 4 2 2 4 2 2 3 2 3" xfId="11912" xr:uid="{31B9B68C-E8D8-46FB-A40A-E821511D89BB}"/>
    <cellStyle name="Normal 4 2 2 4 2 2 3 3" xfId="5556" xr:uid="{00000000-0005-0000-0000-00009B120000}"/>
    <cellStyle name="Normal 4 2 2 4 2 2 3 3 2" xfId="13985" xr:uid="{E17C30D0-D9B6-4B9A-A557-6364A7673D1E}"/>
    <cellStyle name="Normal 4 2 2 4 2 2 3 4" xfId="9767" xr:uid="{E5FA7EFB-E759-4A83-8CB2-EC2B132F36E6}"/>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B2E63FE8-D570-42AD-A4AA-24AD47941238}"/>
    <cellStyle name="Normal 4 2 2 4 2 2 4 2 3" xfId="12325" xr:uid="{09EC99FC-EB38-44C7-8845-F72B5D367830}"/>
    <cellStyle name="Normal 4 2 2 4 2 2 4 3" xfId="5969" xr:uid="{00000000-0005-0000-0000-00009F120000}"/>
    <cellStyle name="Normal 4 2 2 4 2 2 4 3 2" xfId="14398" xr:uid="{F9E91FF4-55C3-46E1-A657-04C86E7DA3D8}"/>
    <cellStyle name="Normal 4 2 2 4 2 2 4 4" xfId="10180" xr:uid="{22915A3D-2FDC-4B35-BDD4-00D07B14F0EC}"/>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0C4D97CD-ABE7-4C0D-BB27-503E6C799FFC}"/>
    <cellStyle name="Normal 4 2 2 4 2 2 5 2 3" xfId="12738" xr:uid="{0F390CD7-A749-404D-A28F-E58920CEB9C8}"/>
    <cellStyle name="Normal 4 2 2 4 2 2 5 3" xfId="6382" xr:uid="{00000000-0005-0000-0000-0000A3120000}"/>
    <cellStyle name="Normal 4 2 2 4 2 2 5 3 2" xfId="14811" xr:uid="{6796D114-361A-4212-990A-9A09F717BE66}"/>
    <cellStyle name="Normal 4 2 2 4 2 2 5 4" xfId="10593" xr:uid="{57E3BA2C-8F95-43CF-86EB-CEB15DE4F5C3}"/>
    <cellStyle name="Normal 4 2 2 4 2 2 6" xfId="2510" xr:uid="{00000000-0005-0000-0000-0000A4120000}"/>
    <cellStyle name="Normal 4 2 2 4 2 2 6 2" xfId="6795" xr:uid="{00000000-0005-0000-0000-0000A5120000}"/>
    <cellStyle name="Normal 4 2 2 4 2 2 6 2 2" xfId="15224" xr:uid="{DD6C9A59-DBA3-41A0-B652-7F177D683BAE}"/>
    <cellStyle name="Normal 4 2 2 4 2 2 6 3" xfId="11006" xr:uid="{1A73EA11-2175-4D5C-B07F-4902E78B2DDB}"/>
    <cellStyle name="Normal 4 2 2 4 2 2 7" xfId="4730" xr:uid="{00000000-0005-0000-0000-0000A6120000}"/>
    <cellStyle name="Normal 4 2 2 4 2 2 7 2" xfId="13159" xr:uid="{11406EFC-3B64-4DFC-AD08-25634EF4BFF7}"/>
    <cellStyle name="Normal 4 2 2 4 2 2 8" xfId="8941" xr:uid="{20DB0457-9962-4E4D-8EBB-5847B118E1AB}"/>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F3203C76-571E-4DB8-874F-AFF01239A988}"/>
    <cellStyle name="Normal 4 2 2 4 2 3 2 3" xfId="11498" xr:uid="{F9A13024-1DCB-4C1B-A34E-C4551430D6E0}"/>
    <cellStyle name="Normal 4 2 2 4 2 3 3" xfId="5142" xr:uid="{00000000-0005-0000-0000-0000AA120000}"/>
    <cellStyle name="Normal 4 2 2 4 2 3 3 2" xfId="13571" xr:uid="{FBE3E6B5-810D-4F9A-92CC-9044D79FA109}"/>
    <cellStyle name="Normal 4 2 2 4 2 3 4" xfId="9353" xr:uid="{FE3BF3B9-C005-40EF-93CD-B385DC690EFC}"/>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472A69B2-325D-498E-9375-44AACE4CDC6B}"/>
    <cellStyle name="Normal 4 2 2 4 2 4 2 3" xfId="11911" xr:uid="{D714D7BB-0B6C-42E2-8E55-CF78F7D282EB}"/>
    <cellStyle name="Normal 4 2 2 4 2 4 3" xfId="5555" xr:uid="{00000000-0005-0000-0000-0000AE120000}"/>
    <cellStyle name="Normal 4 2 2 4 2 4 3 2" xfId="13984" xr:uid="{21CDAF54-EB07-46E7-8934-D883C898B220}"/>
    <cellStyle name="Normal 4 2 2 4 2 4 4" xfId="9766" xr:uid="{4FCF4117-4957-4FF0-AE9E-22F439D8F1C1}"/>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4E2BBAF4-8A3C-4E5C-BA43-B98AEA51A345}"/>
    <cellStyle name="Normal 4 2 2 4 2 5 2 3" xfId="12324" xr:uid="{6175FC61-A085-468B-9566-F9E9FE0F0DC6}"/>
    <cellStyle name="Normal 4 2 2 4 2 5 3" xfId="5968" xr:uid="{00000000-0005-0000-0000-0000B2120000}"/>
    <cellStyle name="Normal 4 2 2 4 2 5 3 2" xfId="14397" xr:uid="{01FAC618-DEA6-4F5B-A001-F69617CFAC59}"/>
    <cellStyle name="Normal 4 2 2 4 2 5 4" xfId="10179" xr:uid="{401985B4-0845-424C-A7EE-B39B6311A7B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6D811F56-20C8-48D1-AEDF-2B7BA9F4576A}"/>
    <cellStyle name="Normal 4 2 2 4 2 6 2 3" xfId="12737" xr:uid="{F557E165-5391-4A65-9A3E-509136515EAC}"/>
    <cellStyle name="Normal 4 2 2 4 2 6 3" xfId="6381" xr:uid="{00000000-0005-0000-0000-0000B6120000}"/>
    <cellStyle name="Normal 4 2 2 4 2 6 3 2" xfId="14810" xr:uid="{EF404783-380C-4EDD-BD75-21D65CC5A3E1}"/>
    <cellStyle name="Normal 4 2 2 4 2 6 4" xfId="10592" xr:uid="{F691667C-C3BD-4025-B1D3-DA2D403A6ED5}"/>
    <cellStyle name="Normal 4 2 2 4 2 7" xfId="2509" xr:uid="{00000000-0005-0000-0000-0000B7120000}"/>
    <cellStyle name="Normal 4 2 2 4 2 7 2" xfId="6794" xr:uid="{00000000-0005-0000-0000-0000B8120000}"/>
    <cellStyle name="Normal 4 2 2 4 2 7 2 2" xfId="15223" xr:uid="{C106076A-B762-4F87-B15A-1D4028343111}"/>
    <cellStyle name="Normal 4 2 2 4 2 7 3" xfId="11005" xr:uid="{BE04C9A4-514D-4EB3-A104-25447D6C4EC7}"/>
    <cellStyle name="Normal 4 2 2 4 2 8" xfId="4729" xr:uid="{00000000-0005-0000-0000-0000B9120000}"/>
    <cellStyle name="Normal 4 2 2 4 2 8 2" xfId="13158" xr:uid="{A05C7156-FA1B-4159-B4C9-7F78CBEB2F32}"/>
    <cellStyle name="Normal 4 2 2 4 2 9" xfId="8940" xr:uid="{12E496D9-4862-4DA9-B638-C2DB086CBC8D}"/>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0964E25E-B6F4-48D3-B014-99AA516619C8}"/>
    <cellStyle name="Normal 4 2 2 4 3 2 2 3" xfId="11500" xr:uid="{06CEB22F-5F91-4A79-9002-68A794DBDE54}"/>
    <cellStyle name="Normal 4 2 2 4 3 2 3" xfId="5144" xr:uid="{00000000-0005-0000-0000-0000BE120000}"/>
    <cellStyle name="Normal 4 2 2 4 3 2 3 2" xfId="13573" xr:uid="{4011D579-5D97-4100-A683-1A772DEEF009}"/>
    <cellStyle name="Normal 4 2 2 4 3 2 4" xfId="9355" xr:uid="{77BF95EE-EA37-4045-A865-13F28177DBF8}"/>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F21BA377-6A1C-4CD8-B547-E2D87025DF64}"/>
    <cellStyle name="Normal 4 2 2 4 3 3 2 3" xfId="11913" xr:uid="{C1237FDD-E0BA-4AF5-90F3-C8DACD54AFAC}"/>
    <cellStyle name="Normal 4 2 2 4 3 3 3" xfId="5557" xr:uid="{00000000-0005-0000-0000-0000C2120000}"/>
    <cellStyle name="Normal 4 2 2 4 3 3 3 2" xfId="13986" xr:uid="{9BCC5BF2-3C0A-4DA4-8FAE-607389ED1F59}"/>
    <cellStyle name="Normal 4 2 2 4 3 3 4" xfId="9768" xr:uid="{07BFAB83-5298-4E14-B083-B23A20C6828C}"/>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CBD6F2AA-1BD9-4091-8796-C810785F070D}"/>
    <cellStyle name="Normal 4 2 2 4 3 4 2 3" xfId="12326" xr:uid="{1A3410D6-E6EB-4CB7-813D-5828D3FDA905}"/>
    <cellStyle name="Normal 4 2 2 4 3 4 3" xfId="5970" xr:uid="{00000000-0005-0000-0000-0000C6120000}"/>
    <cellStyle name="Normal 4 2 2 4 3 4 3 2" xfId="14399" xr:uid="{EAA8448D-6AEA-4CEA-B931-4B14055C35D1}"/>
    <cellStyle name="Normal 4 2 2 4 3 4 4" xfId="10181" xr:uid="{5CB7FEF2-93F4-4446-A435-F5C430167FC3}"/>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6FBC5931-A210-4E4B-B24C-BD225B0743C5}"/>
    <cellStyle name="Normal 4 2 2 4 3 5 2 3" xfId="12739" xr:uid="{D6EA2285-254E-48C4-9F38-921298A4EA2B}"/>
    <cellStyle name="Normal 4 2 2 4 3 5 3" xfId="6383" xr:uid="{00000000-0005-0000-0000-0000CA120000}"/>
    <cellStyle name="Normal 4 2 2 4 3 5 3 2" xfId="14812" xr:uid="{BAAF8F68-324A-4D2F-8D9E-57B65F91DC19}"/>
    <cellStyle name="Normal 4 2 2 4 3 5 4" xfId="10594" xr:uid="{CD515A44-5899-4657-BBFB-37CA0052A276}"/>
    <cellStyle name="Normal 4 2 2 4 3 6" xfId="2511" xr:uid="{00000000-0005-0000-0000-0000CB120000}"/>
    <cellStyle name="Normal 4 2 2 4 3 6 2" xfId="6796" xr:uid="{00000000-0005-0000-0000-0000CC120000}"/>
    <cellStyle name="Normal 4 2 2 4 3 6 2 2" xfId="15225" xr:uid="{87E42B9B-5035-470C-A4E0-5772A41B40C1}"/>
    <cellStyle name="Normal 4 2 2 4 3 6 3" xfId="11007" xr:uid="{791A8896-14D6-4F1C-9338-DAAC615F4480}"/>
    <cellStyle name="Normal 4 2 2 4 3 7" xfId="4731" xr:uid="{00000000-0005-0000-0000-0000CD120000}"/>
    <cellStyle name="Normal 4 2 2 4 3 7 2" xfId="13160" xr:uid="{7F41BADA-E3F4-4594-A48A-DEC37EE6D392}"/>
    <cellStyle name="Normal 4 2 2 4 3 8" xfId="8942" xr:uid="{2CEAAFBE-7BB3-45FF-89ED-305C2656C74E}"/>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EED50FCC-44DD-491D-BBDF-C33B99F8DD33}"/>
    <cellStyle name="Normal 4 2 2 4 4 2 3" xfId="11497" xr:uid="{A0F7C039-1BD3-496E-B0D3-A5E84899C7EF}"/>
    <cellStyle name="Normal 4 2 2 4 4 3" xfId="5141" xr:uid="{00000000-0005-0000-0000-0000D1120000}"/>
    <cellStyle name="Normal 4 2 2 4 4 3 2" xfId="13570" xr:uid="{25B6E128-9DC7-4B4B-B900-2D61CF6CA138}"/>
    <cellStyle name="Normal 4 2 2 4 4 4" xfId="9352" xr:uid="{F854534D-1B30-4E08-BD7A-893D7821FBD6}"/>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B5B31076-F4AF-4492-9741-BA2D1F3DC210}"/>
    <cellStyle name="Normal 4 2 2 4 5 2 3" xfId="11910" xr:uid="{97FF3345-092A-4372-B663-F0092EBFB786}"/>
    <cellStyle name="Normal 4 2 2 4 5 3" xfId="5554" xr:uid="{00000000-0005-0000-0000-0000D5120000}"/>
    <cellStyle name="Normal 4 2 2 4 5 3 2" xfId="13983" xr:uid="{AD10F76B-C5AF-41DF-80CA-17AE1E8CD5AC}"/>
    <cellStyle name="Normal 4 2 2 4 5 4" xfId="9765" xr:uid="{440B24DE-EC14-4432-9E66-CAA85E75B05C}"/>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9F7D4D6E-771C-44E5-9CE2-EF87C15BD3B7}"/>
    <cellStyle name="Normal 4 2 2 4 6 2 3" xfId="12323" xr:uid="{2B027364-C935-4584-884E-5932C0F7C81C}"/>
    <cellStyle name="Normal 4 2 2 4 6 3" xfId="5967" xr:uid="{00000000-0005-0000-0000-0000D9120000}"/>
    <cellStyle name="Normal 4 2 2 4 6 3 2" xfId="14396" xr:uid="{E0B0566D-7A4D-4EE9-930A-6B95C2B7D2C6}"/>
    <cellStyle name="Normal 4 2 2 4 6 4" xfId="10178" xr:uid="{AE4E8390-683C-45CC-AC32-C27378A5839E}"/>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0DACB7C3-5D15-4131-AA2E-1D8E44101103}"/>
    <cellStyle name="Normal 4 2 2 4 7 2 3" xfId="12736" xr:uid="{324016CF-8205-4CDF-B1D8-EA184E2F2F91}"/>
    <cellStyle name="Normal 4 2 2 4 7 3" xfId="6380" xr:uid="{00000000-0005-0000-0000-0000DD120000}"/>
    <cellStyle name="Normal 4 2 2 4 7 3 2" xfId="14809" xr:uid="{F98EB811-A855-4E87-B35A-4A4601489460}"/>
    <cellStyle name="Normal 4 2 2 4 7 4" xfId="10591" xr:uid="{29CFE569-3AC4-4843-9EB5-596D73D6FCE6}"/>
    <cellStyle name="Normal 4 2 2 4 8" xfId="2508" xr:uid="{00000000-0005-0000-0000-0000DE120000}"/>
    <cellStyle name="Normal 4 2 2 4 8 2" xfId="6793" xr:uid="{00000000-0005-0000-0000-0000DF120000}"/>
    <cellStyle name="Normal 4 2 2 4 8 2 2" xfId="15222" xr:uid="{526FEEA2-EB96-4994-B598-3899826B1A27}"/>
    <cellStyle name="Normal 4 2 2 4 8 3" xfId="11004" xr:uid="{9D3B5829-89DD-4CBD-9A7C-3D48E3E130DA}"/>
    <cellStyle name="Normal 4 2 2 4 9" xfId="4728" xr:uid="{00000000-0005-0000-0000-0000E0120000}"/>
    <cellStyle name="Normal 4 2 2 4 9 2" xfId="13157" xr:uid="{5A8B1404-2A83-4176-BF55-947D845F9F0B}"/>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16A42A14-CD12-4CE4-938A-6E6092376AC4}"/>
    <cellStyle name="Normal 4 2 2 5 2 2 2 3" xfId="11502" xr:uid="{4F589A21-986F-4D27-9C20-799DC1279DD8}"/>
    <cellStyle name="Normal 4 2 2 5 2 2 3" xfId="5146" xr:uid="{00000000-0005-0000-0000-0000E6120000}"/>
    <cellStyle name="Normal 4 2 2 5 2 2 3 2" xfId="13575" xr:uid="{902028AB-DB44-4134-97C6-7BBE1A1FF7AF}"/>
    <cellStyle name="Normal 4 2 2 5 2 2 4" xfId="9357" xr:uid="{87BEAE96-B540-4962-88F1-E7BF39871F5E}"/>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2517AEB3-471A-44F4-9BCE-4E796983DEDE}"/>
    <cellStyle name="Normal 4 2 2 5 2 3 2 3" xfId="11915" xr:uid="{913FD7DC-134D-41C1-B121-8D829728ADD2}"/>
    <cellStyle name="Normal 4 2 2 5 2 3 3" xfId="5559" xr:uid="{00000000-0005-0000-0000-0000EA120000}"/>
    <cellStyle name="Normal 4 2 2 5 2 3 3 2" xfId="13988" xr:uid="{7859CB96-3744-4C40-838F-020136691CFF}"/>
    <cellStyle name="Normal 4 2 2 5 2 3 4" xfId="9770" xr:uid="{AF24FC2B-C8C8-4720-8A26-EE313735D29C}"/>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6E29C45C-2E95-4823-B8F8-4BCD8D9C7F2E}"/>
    <cellStyle name="Normal 4 2 2 5 2 4 2 3" xfId="12328" xr:uid="{BFEC9E4C-8132-4238-9866-1FB291DEC090}"/>
    <cellStyle name="Normal 4 2 2 5 2 4 3" xfId="5972" xr:uid="{00000000-0005-0000-0000-0000EE120000}"/>
    <cellStyle name="Normal 4 2 2 5 2 4 3 2" xfId="14401" xr:uid="{F58DA714-0D25-4319-874A-90B2DBD2C91F}"/>
    <cellStyle name="Normal 4 2 2 5 2 4 4" xfId="10183" xr:uid="{A8A0687D-60A6-420D-B1DE-DEB4845178C9}"/>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8BC2EF20-F9BC-4903-ABD7-BE2FF94586E9}"/>
    <cellStyle name="Normal 4 2 2 5 2 5 2 3" xfId="12741" xr:uid="{129C4C59-5E64-4DFE-AACB-7BB73D1906C5}"/>
    <cellStyle name="Normal 4 2 2 5 2 5 3" xfId="6385" xr:uid="{00000000-0005-0000-0000-0000F2120000}"/>
    <cellStyle name="Normal 4 2 2 5 2 5 3 2" xfId="14814" xr:uid="{62532BC5-9809-4DE3-B69B-2CDE765EA89D}"/>
    <cellStyle name="Normal 4 2 2 5 2 5 4" xfId="10596" xr:uid="{BB557E4E-8E0D-4EE8-8F06-4549E820EA13}"/>
    <cellStyle name="Normal 4 2 2 5 2 6" xfId="2513" xr:uid="{00000000-0005-0000-0000-0000F3120000}"/>
    <cellStyle name="Normal 4 2 2 5 2 6 2" xfId="6798" xr:uid="{00000000-0005-0000-0000-0000F4120000}"/>
    <cellStyle name="Normal 4 2 2 5 2 6 2 2" xfId="15227" xr:uid="{1C265516-D6E1-46AA-ACAD-90201F66F262}"/>
    <cellStyle name="Normal 4 2 2 5 2 6 3" xfId="11009" xr:uid="{61274AF0-DC8C-4616-BACF-281D26696FC7}"/>
    <cellStyle name="Normal 4 2 2 5 2 7" xfId="4733" xr:uid="{00000000-0005-0000-0000-0000F5120000}"/>
    <cellStyle name="Normal 4 2 2 5 2 7 2" xfId="13162" xr:uid="{AEF212C3-065A-4D8B-B827-2C1608A59D21}"/>
    <cellStyle name="Normal 4 2 2 5 2 8" xfId="8944" xr:uid="{295CDD16-F4F4-41DF-BB52-CE854E111FBA}"/>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790C0756-4507-4638-9A9E-223CB2BA23C2}"/>
    <cellStyle name="Normal 4 2 2 5 3 2 3" xfId="11501" xr:uid="{F8BB3791-D64C-4773-BA52-F2B6C70D6B49}"/>
    <cellStyle name="Normal 4 2 2 5 3 3" xfId="5145" xr:uid="{00000000-0005-0000-0000-0000F9120000}"/>
    <cellStyle name="Normal 4 2 2 5 3 3 2" xfId="13574" xr:uid="{702C84E8-1E79-4F7E-BC23-0FD1ED3AB3B7}"/>
    <cellStyle name="Normal 4 2 2 5 3 4" xfId="9356" xr:uid="{10BF8442-FA80-419C-8DB6-3EB56A6CCA30}"/>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767C8ED6-FB7E-4F22-8CB9-82943917448F}"/>
    <cellStyle name="Normal 4 2 2 5 4 2 3" xfId="11914" xr:uid="{F7212C6B-9189-479E-AF25-CF7B43236098}"/>
    <cellStyle name="Normal 4 2 2 5 4 3" xfId="5558" xr:uid="{00000000-0005-0000-0000-0000FD120000}"/>
    <cellStyle name="Normal 4 2 2 5 4 3 2" xfId="13987" xr:uid="{BEE24F79-4F57-42F5-A73C-666887468142}"/>
    <cellStyle name="Normal 4 2 2 5 4 4" xfId="9769" xr:uid="{5FD40AA1-79D7-414A-A7EA-A8D46FC6CA72}"/>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A2DB9C84-BE2E-49E8-94A9-4CC4F3395B42}"/>
    <cellStyle name="Normal 4 2 2 5 5 2 3" xfId="12327" xr:uid="{1EA2BB5D-48CE-40E0-97B7-D72169C72A95}"/>
    <cellStyle name="Normal 4 2 2 5 5 3" xfId="5971" xr:uid="{00000000-0005-0000-0000-000001130000}"/>
    <cellStyle name="Normal 4 2 2 5 5 3 2" xfId="14400" xr:uid="{7BB21179-B9F2-46DD-9118-E1A0C188E0FB}"/>
    <cellStyle name="Normal 4 2 2 5 5 4" xfId="10182" xr:uid="{5C144A39-A21C-43DC-A8EA-8D54DA6FE26A}"/>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FF2EA0FE-B97A-446B-A19B-751202592755}"/>
    <cellStyle name="Normal 4 2 2 5 6 2 3" xfId="12740" xr:uid="{C58E9FBA-4793-4ADB-8385-E4B4817D8DCA}"/>
    <cellStyle name="Normal 4 2 2 5 6 3" xfId="6384" xr:uid="{00000000-0005-0000-0000-000005130000}"/>
    <cellStyle name="Normal 4 2 2 5 6 3 2" xfId="14813" xr:uid="{042A630F-8EB7-4456-8D60-7A8EEE81E3BC}"/>
    <cellStyle name="Normal 4 2 2 5 6 4" xfId="10595" xr:uid="{19762758-61B3-4A5E-A6DB-FD30E290C61E}"/>
    <cellStyle name="Normal 4 2 2 5 7" xfId="2512" xr:uid="{00000000-0005-0000-0000-000006130000}"/>
    <cellStyle name="Normal 4 2 2 5 7 2" xfId="6797" xr:uid="{00000000-0005-0000-0000-000007130000}"/>
    <cellStyle name="Normal 4 2 2 5 7 2 2" xfId="15226" xr:uid="{0C738F7D-7855-455C-ACC2-E88D411A5626}"/>
    <cellStyle name="Normal 4 2 2 5 7 3" xfId="11008" xr:uid="{FB5C8AFF-177D-450E-B231-84A33558268C}"/>
    <cellStyle name="Normal 4 2 2 5 8" xfId="4732" xr:uid="{00000000-0005-0000-0000-000008130000}"/>
    <cellStyle name="Normal 4 2 2 5 8 2" xfId="13161" xr:uid="{A4816C6E-697C-404A-AA40-11DC93991DE4}"/>
    <cellStyle name="Normal 4 2 2 5 9" xfId="8943" xr:uid="{24E2E713-716A-442F-9AD5-95C057907D7F}"/>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41D7F83A-FC48-4AB0-9601-1E41B37372CC}"/>
    <cellStyle name="Normal 4 2 2 6 2 2 3" xfId="11503" xr:uid="{BF051C1A-1BBB-45E8-AE2A-53C9AC8EB575}"/>
    <cellStyle name="Normal 4 2 2 6 2 3" xfId="5147" xr:uid="{00000000-0005-0000-0000-00000D130000}"/>
    <cellStyle name="Normal 4 2 2 6 2 3 2" xfId="13576" xr:uid="{28676A22-A5C3-47CA-98D7-DF27656A156E}"/>
    <cellStyle name="Normal 4 2 2 6 2 4" xfId="9358" xr:uid="{13FB5D8F-AF85-441A-B70A-93C5C69E792C}"/>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AD479EEA-B3BA-41B5-A954-6A638E622E0F}"/>
    <cellStyle name="Normal 4 2 2 6 3 2 3" xfId="11916" xr:uid="{5320E6ED-8780-457E-874E-667554CC7068}"/>
    <cellStyle name="Normal 4 2 2 6 3 3" xfId="5560" xr:uid="{00000000-0005-0000-0000-000011130000}"/>
    <cellStyle name="Normal 4 2 2 6 3 3 2" xfId="13989" xr:uid="{37051F56-9702-4118-9879-445A949D5ED6}"/>
    <cellStyle name="Normal 4 2 2 6 3 4" xfId="9771" xr:uid="{F03E34B9-DAF9-4025-84E7-CEEA84065933}"/>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7EB604B2-C64B-488C-8481-E82ECF959CF5}"/>
    <cellStyle name="Normal 4 2 2 6 4 2 3" xfId="12329" xr:uid="{56D40F8F-7EDE-4A5F-B34D-9C38C33E0635}"/>
    <cellStyle name="Normal 4 2 2 6 4 3" xfId="5973" xr:uid="{00000000-0005-0000-0000-000015130000}"/>
    <cellStyle name="Normal 4 2 2 6 4 3 2" xfId="14402" xr:uid="{385A8F75-34C1-49E4-B622-572C46616311}"/>
    <cellStyle name="Normal 4 2 2 6 4 4" xfId="10184" xr:uid="{D599134E-E05E-49A9-BFE3-7FFEBDEC8B56}"/>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C5874B72-D1D0-4478-922A-3930C0B011AC}"/>
    <cellStyle name="Normal 4 2 2 6 5 2 3" xfId="12742" xr:uid="{97647122-04D8-4459-959B-737C589946E2}"/>
    <cellStyle name="Normal 4 2 2 6 5 3" xfId="6386" xr:uid="{00000000-0005-0000-0000-000019130000}"/>
    <cellStyle name="Normal 4 2 2 6 5 3 2" xfId="14815" xr:uid="{094B22C0-6DF2-4DD1-8700-F3D173270629}"/>
    <cellStyle name="Normal 4 2 2 6 5 4" xfId="10597" xr:uid="{822015AD-9134-4102-8D0E-C50CDD208C97}"/>
    <cellStyle name="Normal 4 2 2 6 6" xfId="2514" xr:uid="{00000000-0005-0000-0000-00001A130000}"/>
    <cellStyle name="Normal 4 2 2 6 6 2" xfId="6799" xr:uid="{00000000-0005-0000-0000-00001B130000}"/>
    <cellStyle name="Normal 4 2 2 6 6 2 2" xfId="15228" xr:uid="{23D697DE-20F2-4036-B447-AD0132B279DF}"/>
    <cellStyle name="Normal 4 2 2 6 6 3" xfId="11010" xr:uid="{4F15876E-1755-4352-8369-56D950457F1E}"/>
    <cellStyle name="Normal 4 2 2 6 7" xfId="4734" xr:uid="{00000000-0005-0000-0000-00001C130000}"/>
    <cellStyle name="Normal 4 2 2 6 7 2" xfId="13163" xr:uid="{FE665D5E-C58D-41EA-B733-3FCA7860F869}"/>
    <cellStyle name="Normal 4 2 2 6 8" xfId="8945" xr:uid="{3EC07087-0C20-4F89-95FB-D1DC59F6336A}"/>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ED4B6258-2200-4E60-9BE1-8E0FDFC19F49}"/>
    <cellStyle name="Normal 4 2 2 7 2 3" xfId="11488" xr:uid="{B8014352-AD32-49C8-A583-44BC48097BC0}"/>
    <cellStyle name="Normal 4 2 2 7 3" xfId="5132" xr:uid="{00000000-0005-0000-0000-000020130000}"/>
    <cellStyle name="Normal 4 2 2 7 3 2" xfId="13561" xr:uid="{4A317A6C-8BBA-40FB-AE1A-1580AAE85080}"/>
    <cellStyle name="Normal 4 2 2 7 4" xfId="9343" xr:uid="{0FBB4FE7-C4F8-45F8-BD2C-5019A7A60D3C}"/>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04D47582-CB2A-43C9-829D-DD406B4ABF28}"/>
    <cellStyle name="Normal 4 2 2 8 2 3" xfId="11901" xr:uid="{74337F19-E361-4A88-A923-E8EDFF94E2EB}"/>
    <cellStyle name="Normal 4 2 2 8 3" xfId="5545" xr:uid="{00000000-0005-0000-0000-000024130000}"/>
    <cellStyle name="Normal 4 2 2 8 3 2" xfId="13974" xr:uid="{1CAC19A0-BA81-4155-B0EA-CF5B3E80B36D}"/>
    <cellStyle name="Normal 4 2 2 8 4" xfId="9756" xr:uid="{7ECBAE07-1DA0-49D4-AF81-312F6975B6BE}"/>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60729B4A-D614-4E38-8D35-3038381D8C6F}"/>
    <cellStyle name="Normal 4 2 2 9 2 3" xfId="12314" xr:uid="{4FA80FED-8025-46E3-AAEE-3C17182FCDEB}"/>
    <cellStyle name="Normal 4 2 2 9 3" xfId="5958" xr:uid="{00000000-0005-0000-0000-000028130000}"/>
    <cellStyle name="Normal 4 2 2 9 3 2" xfId="14387" xr:uid="{A4815AE9-4E40-41B2-BD3A-F3D7C5B22FA2}"/>
    <cellStyle name="Normal 4 2 2 9 4" xfId="10169" xr:uid="{B29149ED-C14A-456D-B9A1-E9B89CFFB012}"/>
    <cellStyle name="Normal 4 2 3" xfId="354" xr:uid="{00000000-0005-0000-0000-000029130000}"/>
    <cellStyle name="Normal 4 2 4" xfId="355" xr:uid="{00000000-0005-0000-0000-00002A130000}"/>
    <cellStyle name="Normal 4 2 4 10" xfId="4735" xr:uid="{00000000-0005-0000-0000-00002B130000}"/>
    <cellStyle name="Normal 4 2 4 10 2" xfId="13164" xr:uid="{3661FE95-5188-463F-B97A-17D8AB4030B9}"/>
    <cellStyle name="Normal 4 2 4 11" xfId="8946" xr:uid="{2B4A5364-B6DB-49E8-BE8C-D2FBC7D717D5}"/>
    <cellStyle name="Normal 4 2 4 2" xfId="356" xr:uid="{00000000-0005-0000-0000-00002C130000}"/>
    <cellStyle name="Normal 4 2 4 2 10" xfId="8947" xr:uid="{B2A4D9F0-76A5-4344-A1CC-BD34F96E9C54}"/>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76DFAFAC-9A42-4A74-8908-9E179D196E6F}"/>
    <cellStyle name="Normal 4 2 4 2 2 2 2 2 3" xfId="11507" xr:uid="{B0032223-E7DE-4CF1-9785-F81126AA227F}"/>
    <cellStyle name="Normal 4 2 4 2 2 2 2 3" xfId="5151" xr:uid="{00000000-0005-0000-0000-000032130000}"/>
    <cellStyle name="Normal 4 2 4 2 2 2 2 3 2" xfId="13580" xr:uid="{0666B872-4401-4498-8684-BE23E64A3ED1}"/>
    <cellStyle name="Normal 4 2 4 2 2 2 2 4" xfId="9362" xr:uid="{CF9193DB-5795-4568-89C5-8864DC65DD4A}"/>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2F0959B4-1873-4D2E-9EF7-1355D374871F}"/>
    <cellStyle name="Normal 4 2 4 2 2 2 3 2 3" xfId="11920" xr:uid="{01EFBCF2-A721-471D-8644-3F885BD0254E}"/>
    <cellStyle name="Normal 4 2 4 2 2 2 3 3" xfId="5564" xr:uid="{00000000-0005-0000-0000-000036130000}"/>
    <cellStyle name="Normal 4 2 4 2 2 2 3 3 2" xfId="13993" xr:uid="{21584F2F-40EE-48D2-94C7-AB0C811E896E}"/>
    <cellStyle name="Normal 4 2 4 2 2 2 3 4" xfId="9775" xr:uid="{9F72B6CC-CC12-4ABD-AC55-3A9EA3FACBA3}"/>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EA2BCF61-446B-4014-9F9C-BAB1DDFBA0D3}"/>
    <cellStyle name="Normal 4 2 4 2 2 2 4 2 3" xfId="12333" xr:uid="{AE310A6A-D98A-4DB3-B9B8-67DAF487A95B}"/>
    <cellStyle name="Normal 4 2 4 2 2 2 4 3" xfId="5977" xr:uid="{00000000-0005-0000-0000-00003A130000}"/>
    <cellStyle name="Normal 4 2 4 2 2 2 4 3 2" xfId="14406" xr:uid="{E8B1D2B4-9D06-4680-AC5D-AE681868BE69}"/>
    <cellStyle name="Normal 4 2 4 2 2 2 4 4" xfId="10188" xr:uid="{EE490F3F-5273-4868-AB08-DE7145881CC6}"/>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CDF236F3-D320-4464-92C0-9D8C4C5EEE92}"/>
    <cellStyle name="Normal 4 2 4 2 2 2 5 2 3" xfId="12746" xr:uid="{BA54FD79-6DEA-4EED-B564-B59708CE50DC}"/>
    <cellStyle name="Normal 4 2 4 2 2 2 5 3" xfId="6390" xr:uid="{00000000-0005-0000-0000-00003E130000}"/>
    <cellStyle name="Normal 4 2 4 2 2 2 5 3 2" xfId="14819" xr:uid="{7F21C3F9-18C6-4A41-8170-D6114DC13C99}"/>
    <cellStyle name="Normal 4 2 4 2 2 2 5 4" xfId="10601" xr:uid="{0E8D2086-6FFC-4186-8DDB-064A3782FE76}"/>
    <cellStyle name="Normal 4 2 4 2 2 2 6" xfId="2518" xr:uid="{00000000-0005-0000-0000-00003F130000}"/>
    <cellStyle name="Normal 4 2 4 2 2 2 6 2" xfId="6803" xr:uid="{00000000-0005-0000-0000-000040130000}"/>
    <cellStyle name="Normal 4 2 4 2 2 2 6 2 2" xfId="15232" xr:uid="{4111B57D-11E5-4C7F-8DAD-717128A5D4BB}"/>
    <cellStyle name="Normal 4 2 4 2 2 2 6 3" xfId="11014" xr:uid="{1B166034-9E4E-4223-BEA5-DDD233E3772E}"/>
    <cellStyle name="Normal 4 2 4 2 2 2 7" xfId="4738" xr:uid="{00000000-0005-0000-0000-000041130000}"/>
    <cellStyle name="Normal 4 2 4 2 2 2 7 2" xfId="13167" xr:uid="{91F8B1F1-FF0D-4F32-A436-09C23F0D0E32}"/>
    <cellStyle name="Normal 4 2 4 2 2 2 8" xfId="8949" xr:uid="{863303C6-5510-4D93-A2E5-D2A5B289A649}"/>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479FD84B-9E80-4292-99CC-B3C8203E6C08}"/>
    <cellStyle name="Normal 4 2 4 2 2 3 2 3" xfId="11506" xr:uid="{E472EFF7-15EB-4CA1-ABC6-D261DEA4BD45}"/>
    <cellStyle name="Normal 4 2 4 2 2 3 3" xfId="5150" xr:uid="{00000000-0005-0000-0000-000045130000}"/>
    <cellStyle name="Normal 4 2 4 2 2 3 3 2" xfId="13579" xr:uid="{EE42C1FA-B234-4321-9941-127EEFE36E60}"/>
    <cellStyle name="Normal 4 2 4 2 2 3 4" xfId="9361" xr:uid="{307D8CCE-673C-43D8-86D5-23B0D6496F1A}"/>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95D76C34-3595-4392-BCE5-440B939C7D31}"/>
    <cellStyle name="Normal 4 2 4 2 2 4 2 3" xfId="11919" xr:uid="{D40ACAE4-654F-414C-A3EF-A406B5132725}"/>
    <cellStyle name="Normal 4 2 4 2 2 4 3" xfId="5563" xr:uid="{00000000-0005-0000-0000-000049130000}"/>
    <cellStyle name="Normal 4 2 4 2 2 4 3 2" xfId="13992" xr:uid="{6D2B98F8-E4A2-47A2-A07B-4CC059889AFB}"/>
    <cellStyle name="Normal 4 2 4 2 2 4 4" xfId="9774" xr:uid="{576161DE-EF20-4B9D-A889-92C2397B4763}"/>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4D8147B3-8447-4D29-AB93-B6C37040CD82}"/>
    <cellStyle name="Normal 4 2 4 2 2 5 2 3" xfId="12332" xr:uid="{5EE65EB9-2626-442B-BB36-831910FE7DB4}"/>
    <cellStyle name="Normal 4 2 4 2 2 5 3" xfId="5976" xr:uid="{00000000-0005-0000-0000-00004D130000}"/>
    <cellStyle name="Normal 4 2 4 2 2 5 3 2" xfId="14405" xr:uid="{DF3660CE-C2AE-4892-BBA7-415D77EDDF37}"/>
    <cellStyle name="Normal 4 2 4 2 2 5 4" xfId="10187" xr:uid="{0BC76B5E-CEAE-4BE0-8EB2-3331DC2F915D}"/>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3F22E258-CC9B-4BA6-AD95-074E1C07802A}"/>
    <cellStyle name="Normal 4 2 4 2 2 6 2 3" xfId="12745" xr:uid="{A9F2329E-D51D-4F4E-A187-94273AD9531F}"/>
    <cellStyle name="Normal 4 2 4 2 2 6 3" xfId="6389" xr:uid="{00000000-0005-0000-0000-000051130000}"/>
    <cellStyle name="Normal 4 2 4 2 2 6 3 2" xfId="14818" xr:uid="{921801F3-E670-4B40-AC3D-8802B4F89B60}"/>
    <cellStyle name="Normal 4 2 4 2 2 6 4" xfId="10600" xr:uid="{DFF7A93A-BC85-43E7-91FE-27FC332DBFDC}"/>
    <cellStyle name="Normal 4 2 4 2 2 7" xfId="2517" xr:uid="{00000000-0005-0000-0000-000052130000}"/>
    <cellStyle name="Normal 4 2 4 2 2 7 2" xfId="6802" xr:uid="{00000000-0005-0000-0000-000053130000}"/>
    <cellStyle name="Normal 4 2 4 2 2 7 2 2" xfId="15231" xr:uid="{5157A575-86A1-4B88-92E2-A4631F38BAC8}"/>
    <cellStyle name="Normal 4 2 4 2 2 7 3" xfId="11013" xr:uid="{C0B6B50C-1454-4333-A3B6-A726CF813D44}"/>
    <cellStyle name="Normal 4 2 4 2 2 8" xfId="4737" xr:uid="{00000000-0005-0000-0000-000054130000}"/>
    <cellStyle name="Normal 4 2 4 2 2 8 2" xfId="13166" xr:uid="{47034FE3-A9BA-4E41-86B5-F64DA98CD10C}"/>
    <cellStyle name="Normal 4 2 4 2 2 9" xfId="8948" xr:uid="{137BCE08-AE0C-4A0E-AB72-C40E733FBFEE}"/>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B9247F6C-63AD-451C-9CC6-11AA654AF897}"/>
    <cellStyle name="Normal 4 2 4 2 3 2 2 3" xfId="11508" xr:uid="{E1F56A31-A5E0-47E4-A4CD-E75744CF0517}"/>
    <cellStyle name="Normal 4 2 4 2 3 2 3" xfId="5152" xr:uid="{00000000-0005-0000-0000-000059130000}"/>
    <cellStyle name="Normal 4 2 4 2 3 2 3 2" xfId="13581" xr:uid="{647E8CA2-7589-478B-82D3-26EF5D900A7C}"/>
    <cellStyle name="Normal 4 2 4 2 3 2 4" xfId="9363" xr:uid="{744A89E5-5CAD-44EA-B3F4-60C451D61CA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D1AEBAF7-8CA1-48CF-9DD1-47D7407CA89A}"/>
    <cellStyle name="Normal 4 2 4 2 3 3 2 3" xfId="11921" xr:uid="{84332865-88B0-4116-9B6E-59E528468FEC}"/>
    <cellStyle name="Normal 4 2 4 2 3 3 3" xfId="5565" xr:uid="{00000000-0005-0000-0000-00005D130000}"/>
    <cellStyle name="Normal 4 2 4 2 3 3 3 2" xfId="13994" xr:uid="{9BE3E1D1-1E9F-47B2-97B9-9AA00CE8DD1C}"/>
    <cellStyle name="Normal 4 2 4 2 3 3 4" xfId="9776" xr:uid="{1F97A42C-5AC6-42B0-BDED-807F7B14105C}"/>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57B37043-688C-41EE-A0BD-6B6637428E69}"/>
    <cellStyle name="Normal 4 2 4 2 3 4 2 3" xfId="12334" xr:uid="{FFCE6132-074C-4A96-A300-5B3CB838B4F8}"/>
    <cellStyle name="Normal 4 2 4 2 3 4 3" xfId="5978" xr:uid="{00000000-0005-0000-0000-000061130000}"/>
    <cellStyle name="Normal 4 2 4 2 3 4 3 2" xfId="14407" xr:uid="{DFD4B115-50CD-4D0E-9431-1A7C13286F8F}"/>
    <cellStyle name="Normal 4 2 4 2 3 4 4" xfId="10189" xr:uid="{E463BED0-212F-41A7-8D97-7EE611BF951D}"/>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BF84CC0F-D864-41B0-BB33-46371806D14C}"/>
    <cellStyle name="Normal 4 2 4 2 3 5 2 3" xfId="12747" xr:uid="{A67E1AE5-7F28-4A48-9E2E-F90FE18890E8}"/>
    <cellStyle name="Normal 4 2 4 2 3 5 3" xfId="6391" xr:uid="{00000000-0005-0000-0000-000065130000}"/>
    <cellStyle name="Normal 4 2 4 2 3 5 3 2" xfId="14820" xr:uid="{7444AEF6-C501-4876-80BD-9ADC92A74031}"/>
    <cellStyle name="Normal 4 2 4 2 3 5 4" xfId="10602" xr:uid="{C559AB06-581E-454B-93FF-627917928541}"/>
    <cellStyle name="Normal 4 2 4 2 3 6" xfId="2519" xr:uid="{00000000-0005-0000-0000-000066130000}"/>
    <cellStyle name="Normal 4 2 4 2 3 6 2" xfId="6804" xr:uid="{00000000-0005-0000-0000-000067130000}"/>
    <cellStyle name="Normal 4 2 4 2 3 6 2 2" xfId="15233" xr:uid="{A7E5E141-DC86-42C0-8F02-001DAF669629}"/>
    <cellStyle name="Normal 4 2 4 2 3 6 3" xfId="11015" xr:uid="{3586970F-3712-4697-BAED-9A67BCA2D7E1}"/>
    <cellStyle name="Normal 4 2 4 2 3 7" xfId="4739" xr:uid="{00000000-0005-0000-0000-000068130000}"/>
    <cellStyle name="Normal 4 2 4 2 3 7 2" xfId="13168" xr:uid="{6CD76417-73BD-4F16-B78E-B9A3F22D6ADD}"/>
    <cellStyle name="Normal 4 2 4 2 3 8" xfId="8950" xr:uid="{88E1E2E5-656D-4313-9FC4-2D093BE1037D}"/>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90D8F698-B974-418C-A5C3-66E65689A88C}"/>
    <cellStyle name="Normal 4 2 4 2 4 2 3" xfId="11505" xr:uid="{F9927E82-DFF0-46AC-8D73-B427A05D77ED}"/>
    <cellStyle name="Normal 4 2 4 2 4 3" xfId="5149" xr:uid="{00000000-0005-0000-0000-00006C130000}"/>
    <cellStyle name="Normal 4 2 4 2 4 3 2" xfId="13578" xr:uid="{483F7B82-9A62-490E-837C-C6730E0AE657}"/>
    <cellStyle name="Normal 4 2 4 2 4 4" xfId="9360" xr:uid="{168AC653-7445-4B4B-96C4-BBC79ADEC865}"/>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8344FBB5-EA9B-4E26-8DD1-28986FC8658D}"/>
    <cellStyle name="Normal 4 2 4 2 5 2 3" xfId="11918" xr:uid="{F628CC5A-9178-4034-81DC-E60F02F9CF1D}"/>
    <cellStyle name="Normal 4 2 4 2 5 3" xfId="5562" xr:uid="{00000000-0005-0000-0000-000070130000}"/>
    <cellStyle name="Normal 4 2 4 2 5 3 2" xfId="13991" xr:uid="{5F4D6ECB-1CB3-4DC0-A6B2-0625328CD28B}"/>
    <cellStyle name="Normal 4 2 4 2 5 4" xfId="9773" xr:uid="{CFB8B286-DC56-4A79-879F-07B9F6E326C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5D913B80-68DD-424A-AB02-3169256F1F6F}"/>
    <cellStyle name="Normal 4 2 4 2 6 2 3" xfId="12331" xr:uid="{C3B4ED71-5AC1-4A54-8E1D-796F45FEC3CA}"/>
    <cellStyle name="Normal 4 2 4 2 6 3" xfId="5975" xr:uid="{00000000-0005-0000-0000-000074130000}"/>
    <cellStyle name="Normal 4 2 4 2 6 3 2" xfId="14404" xr:uid="{C0AE7CB5-20B9-4472-B0A8-B1F123AAA762}"/>
    <cellStyle name="Normal 4 2 4 2 6 4" xfId="10186" xr:uid="{DCB19590-B88E-4986-94CA-99BF2089565D}"/>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83A1F030-C070-4D7E-AFBB-769F3AE7098E}"/>
    <cellStyle name="Normal 4 2 4 2 7 2 3" xfId="12744" xr:uid="{2F8DA86A-F6FF-4B1C-987A-C84C924DC36C}"/>
    <cellStyle name="Normal 4 2 4 2 7 3" xfId="6388" xr:uid="{00000000-0005-0000-0000-000078130000}"/>
    <cellStyle name="Normal 4 2 4 2 7 3 2" xfId="14817" xr:uid="{2ED0E1A1-4A66-45C3-AC5F-2E6080925DAD}"/>
    <cellStyle name="Normal 4 2 4 2 7 4" xfId="10599" xr:uid="{E9DB5CD9-5959-49A0-B68B-B3DCAEF09626}"/>
    <cellStyle name="Normal 4 2 4 2 8" xfId="2516" xr:uid="{00000000-0005-0000-0000-000079130000}"/>
    <cellStyle name="Normal 4 2 4 2 8 2" xfId="6801" xr:uid="{00000000-0005-0000-0000-00007A130000}"/>
    <cellStyle name="Normal 4 2 4 2 8 2 2" xfId="15230" xr:uid="{00C4B93C-7C7E-4BA8-9ECE-A43F696DBE73}"/>
    <cellStyle name="Normal 4 2 4 2 8 3" xfId="11012" xr:uid="{D5084F7B-EBDE-4522-B40F-DB28286F7C97}"/>
    <cellStyle name="Normal 4 2 4 2 9" xfId="4736" xr:uid="{00000000-0005-0000-0000-00007B130000}"/>
    <cellStyle name="Normal 4 2 4 2 9 2" xfId="13165" xr:uid="{814BF5D1-5333-422C-93E9-D3424B5C4ED4}"/>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0FF04D77-C74C-48AA-B367-D3E993A9FCA2}"/>
    <cellStyle name="Normal 4 2 4 3 2 2 2 3" xfId="11510" xr:uid="{81D4213D-58D3-45DE-BCA5-BB8A07CDF836}"/>
    <cellStyle name="Normal 4 2 4 3 2 2 3" xfId="5154" xr:uid="{00000000-0005-0000-0000-000081130000}"/>
    <cellStyle name="Normal 4 2 4 3 2 2 3 2" xfId="13583" xr:uid="{278D600B-11B0-402F-AB80-19373F80957E}"/>
    <cellStyle name="Normal 4 2 4 3 2 2 4" xfId="9365" xr:uid="{B17AFA05-814B-4252-A5CE-F4AEEE75F548}"/>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1E25C76E-C3E3-49DC-939C-062985B37796}"/>
    <cellStyle name="Normal 4 2 4 3 2 3 2 3" xfId="11923" xr:uid="{4CABC254-E466-4A5D-A1B9-67FCCEB34C86}"/>
    <cellStyle name="Normal 4 2 4 3 2 3 3" xfId="5567" xr:uid="{00000000-0005-0000-0000-000085130000}"/>
    <cellStyle name="Normal 4 2 4 3 2 3 3 2" xfId="13996" xr:uid="{78EC1F6A-99FB-44EF-90C2-CB556BA12A48}"/>
    <cellStyle name="Normal 4 2 4 3 2 3 4" xfId="9778" xr:uid="{1F49DBB0-2306-453A-83C6-7D364E6F8D41}"/>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F44EA6B6-2E12-4A63-9B58-4F537D61F1B2}"/>
    <cellStyle name="Normal 4 2 4 3 2 4 2 3" xfId="12336" xr:uid="{28329F9F-259F-4B59-8BE0-384A82D11E2B}"/>
    <cellStyle name="Normal 4 2 4 3 2 4 3" xfId="5980" xr:uid="{00000000-0005-0000-0000-000089130000}"/>
    <cellStyle name="Normal 4 2 4 3 2 4 3 2" xfId="14409" xr:uid="{885F2F04-DCF5-436E-8715-5CB8F6CC1038}"/>
    <cellStyle name="Normal 4 2 4 3 2 4 4" xfId="10191" xr:uid="{81B783C1-2FE7-40B0-A1FF-B09E2D0F3D5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ABC8BF18-2727-4D77-AD90-AD0FF39BFBCA}"/>
    <cellStyle name="Normal 4 2 4 3 2 5 2 3" xfId="12749" xr:uid="{3578A081-F214-4878-B869-F283982E00C3}"/>
    <cellStyle name="Normal 4 2 4 3 2 5 3" xfId="6393" xr:uid="{00000000-0005-0000-0000-00008D130000}"/>
    <cellStyle name="Normal 4 2 4 3 2 5 3 2" xfId="14822" xr:uid="{1846DCE1-111B-4A91-B338-8275E8E14DA2}"/>
    <cellStyle name="Normal 4 2 4 3 2 5 4" xfId="10604" xr:uid="{C6B9C0F5-8E00-4263-8DAD-A117E521D629}"/>
    <cellStyle name="Normal 4 2 4 3 2 6" xfId="2521" xr:uid="{00000000-0005-0000-0000-00008E130000}"/>
    <cellStyle name="Normal 4 2 4 3 2 6 2" xfId="6806" xr:uid="{00000000-0005-0000-0000-00008F130000}"/>
    <cellStyle name="Normal 4 2 4 3 2 6 2 2" xfId="15235" xr:uid="{81E09839-53F9-4D62-9BC6-A36557334D36}"/>
    <cellStyle name="Normal 4 2 4 3 2 6 3" xfId="11017" xr:uid="{6A972500-3F00-413D-B3C8-8BBEAA1ACA57}"/>
    <cellStyle name="Normal 4 2 4 3 2 7" xfId="4741" xr:uid="{00000000-0005-0000-0000-000090130000}"/>
    <cellStyle name="Normal 4 2 4 3 2 7 2" xfId="13170" xr:uid="{011C1EE2-A0C3-4B06-B5A4-E1B3C7EFE77F}"/>
    <cellStyle name="Normal 4 2 4 3 2 8" xfId="8952" xr:uid="{94E3D5FE-9FC8-4A62-AAED-1E291A8E026F}"/>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F5845E8C-7D29-4B6C-AD8F-AAA8CE1027C7}"/>
    <cellStyle name="Normal 4 2 4 3 3 2 3" xfId="11509" xr:uid="{4E93F0B0-6695-480E-BCFC-D9591D98192C}"/>
    <cellStyle name="Normal 4 2 4 3 3 3" xfId="5153" xr:uid="{00000000-0005-0000-0000-000094130000}"/>
    <cellStyle name="Normal 4 2 4 3 3 3 2" xfId="13582" xr:uid="{FFCD00B1-E25D-4BFA-96B4-833636646129}"/>
    <cellStyle name="Normal 4 2 4 3 3 4" xfId="9364" xr:uid="{CE81AB61-4A36-4E30-B7E5-91CC2975DCD0}"/>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69E3B7B9-FF57-43C6-899B-4389AA548F07}"/>
    <cellStyle name="Normal 4 2 4 3 4 2 3" xfId="11922" xr:uid="{2407BCAE-3D61-4650-8E10-5151A20E623A}"/>
    <cellStyle name="Normal 4 2 4 3 4 3" xfId="5566" xr:uid="{00000000-0005-0000-0000-000098130000}"/>
    <cellStyle name="Normal 4 2 4 3 4 3 2" xfId="13995" xr:uid="{323F327A-E603-451B-8F14-32DF2D6BB8CC}"/>
    <cellStyle name="Normal 4 2 4 3 4 4" xfId="9777" xr:uid="{FF1A876D-3CC4-4971-9E91-9C0E5AE43AA6}"/>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C92DA76A-9DA6-443C-B7B1-DB24DC9BC7A9}"/>
    <cellStyle name="Normal 4 2 4 3 5 2 3" xfId="12335" xr:uid="{798066D8-AA8F-4CA8-B3EA-1CFEF4FE3D0E}"/>
    <cellStyle name="Normal 4 2 4 3 5 3" xfId="5979" xr:uid="{00000000-0005-0000-0000-00009C130000}"/>
    <cellStyle name="Normal 4 2 4 3 5 3 2" xfId="14408" xr:uid="{95D8F8E0-DF69-42C8-B6A9-54DB624754CA}"/>
    <cellStyle name="Normal 4 2 4 3 5 4" xfId="10190" xr:uid="{6154E65A-8AE5-45CB-862F-AD1396822327}"/>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8F37F3B6-CE41-4515-9291-8656FF7821F3}"/>
    <cellStyle name="Normal 4 2 4 3 6 2 3" xfId="12748" xr:uid="{4199FD18-D654-4FA2-BA7F-148D772A5E6D}"/>
    <cellStyle name="Normal 4 2 4 3 6 3" xfId="6392" xr:uid="{00000000-0005-0000-0000-0000A0130000}"/>
    <cellStyle name="Normal 4 2 4 3 6 3 2" xfId="14821" xr:uid="{A0C48A71-FD28-4AE8-9895-45BE959EAA75}"/>
    <cellStyle name="Normal 4 2 4 3 6 4" xfId="10603" xr:uid="{A763829E-4963-46B8-B00E-8D3AD3109B80}"/>
    <cellStyle name="Normal 4 2 4 3 7" xfId="2520" xr:uid="{00000000-0005-0000-0000-0000A1130000}"/>
    <cellStyle name="Normal 4 2 4 3 7 2" xfId="6805" xr:uid="{00000000-0005-0000-0000-0000A2130000}"/>
    <cellStyle name="Normal 4 2 4 3 7 2 2" xfId="15234" xr:uid="{7F9E5319-F8BF-4603-926D-953F03AE5B32}"/>
    <cellStyle name="Normal 4 2 4 3 7 3" xfId="11016" xr:uid="{3B066DA6-B132-4C51-85C1-1F6A58F790FF}"/>
    <cellStyle name="Normal 4 2 4 3 8" xfId="4740" xr:uid="{00000000-0005-0000-0000-0000A3130000}"/>
    <cellStyle name="Normal 4 2 4 3 8 2" xfId="13169" xr:uid="{F3505CAE-6C61-4AB2-A515-D59151CEBF8F}"/>
    <cellStyle name="Normal 4 2 4 3 9" xfId="8951" xr:uid="{B4044D44-4389-4218-9EA0-F8B4C5DCB8A9}"/>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72ACEF14-754F-4258-8160-C99BE939BB63}"/>
    <cellStyle name="Normal 4 2 4 4 2 2 3" xfId="11511" xr:uid="{443478EE-B94E-4981-85F9-64FB44A27D05}"/>
    <cellStyle name="Normal 4 2 4 4 2 3" xfId="5155" xr:uid="{00000000-0005-0000-0000-0000A8130000}"/>
    <cellStyle name="Normal 4 2 4 4 2 3 2" xfId="13584" xr:uid="{8942AC59-4CEE-46FE-AF6A-0F383BE03914}"/>
    <cellStyle name="Normal 4 2 4 4 2 4" xfId="9366" xr:uid="{E14686F7-A7EF-4367-B12B-F9F8F122439C}"/>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67EB7BC2-887E-4F3F-B5FD-B3AADEA6E4A3}"/>
    <cellStyle name="Normal 4 2 4 4 3 2 3" xfId="11924" xr:uid="{2713F942-28A2-4BBC-B6B5-F95889F01A74}"/>
    <cellStyle name="Normal 4 2 4 4 3 3" xfId="5568" xr:uid="{00000000-0005-0000-0000-0000AC130000}"/>
    <cellStyle name="Normal 4 2 4 4 3 3 2" xfId="13997" xr:uid="{7C659477-7C1D-4A6A-8E43-F624BCA1A607}"/>
    <cellStyle name="Normal 4 2 4 4 3 4" xfId="9779" xr:uid="{3BD2F396-D52A-40A3-BA47-808EAD1A65C3}"/>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39196845-A949-4DA3-BF23-F1D67CEE6ABA}"/>
    <cellStyle name="Normal 4 2 4 4 4 2 3" xfId="12337" xr:uid="{CE4E8F29-7CFF-4203-9BE3-211FD9DE4FC5}"/>
    <cellStyle name="Normal 4 2 4 4 4 3" xfId="5981" xr:uid="{00000000-0005-0000-0000-0000B0130000}"/>
    <cellStyle name="Normal 4 2 4 4 4 3 2" xfId="14410" xr:uid="{996BDF9F-5A09-422F-9BA1-3F0FFBD83EE6}"/>
    <cellStyle name="Normal 4 2 4 4 4 4" xfId="10192" xr:uid="{6D79F9F1-F7CD-4DE1-885F-7F097268ADD8}"/>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AC7E30C3-AA94-40FE-83B8-6FBBA30902FF}"/>
    <cellStyle name="Normal 4 2 4 4 5 2 3" xfId="12750" xr:uid="{26DE8368-2D18-4ECF-BF1D-6F201657DCDE}"/>
    <cellStyle name="Normal 4 2 4 4 5 3" xfId="6394" xr:uid="{00000000-0005-0000-0000-0000B4130000}"/>
    <cellStyle name="Normal 4 2 4 4 5 3 2" xfId="14823" xr:uid="{84212E35-6E96-4B1C-BB2A-2ED1BDDD5721}"/>
    <cellStyle name="Normal 4 2 4 4 5 4" xfId="10605" xr:uid="{8955622E-173B-4282-9AF9-FF4E3AB8EE3A}"/>
    <cellStyle name="Normal 4 2 4 4 6" xfId="2522" xr:uid="{00000000-0005-0000-0000-0000B5130000}"/>
    <cellStyle name="Normal 4 2 4 4 6 2" xfId="6807" xr:uid="{00000000-0005-0000-0000-0000B6130000}"/>
    <cellStyle name="Normal 4 2 4 4 6 2 2" xfId="15236" xr:uid="{60EACBF2-BA13-4392-B0FA-BCCC127B78DE}"/>
    <cellStyle name="Normal 4 2 4 4 6 3" xfId="11018" xr:uid="{A4CA03E7-A8E5-4CF2-B85A-7AD355D365DF}"/>
    <cellStyle name="Normal 4 2 4 4 7" xfId="4742" xr:uid="{00000000-0005-0000-0000-0000B7130000}"/>
    <cellStyle name="Normal 4 2 4 4 7 2" xfId="13171" xr:uid="{C660397D-8B11-46A9-B7D6-981243C55480}"/>
    <cellStyle name="Normal 4 2 4 4 8" xfId="8953" xr:uid="{D64F8CFB-5860-43D4-90C4-601C4CF575FB}"/>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CF3FEE4B-819F-48F1-9741-9E3D3B0FC119}"/>
    <cellStyle name="Normal 4 2 4 5 2 3" xfId="11504" xr:uid="{19CA61A8-7D7E-4AC0-B2C4-EB097A80B554}"/>
    <cellStyle name="Normal 4 2 4 5 3" xfId="5148" xr:uid="{00000000-0005-0000-0000-0000BB130000}"/>
    <cellStyle name="Normal 4 2 4 5 3 2" xfId="13577" xr:uid="{8255D1CE-0EB2-4509-9BB0-A3EF910B8AE8}"/>
    <cellStyle name="Normal 4 2 4 5 4" xfId="9359" xr:uid="{47340D2D-FFA4-4E05-AADC-30231DAC11C1}"/>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1E1C3139-6843-4379-BBF2-8F901E99D188}"/>
    <cellStyle name="Normal 4 2 4 6 2 3" xfId="11917" xr:uid="{3E4DFDF1-29B2-4213-AD92-2CDEBCDBEDF5}"/>
    <cellStyle name="Normal 4 2 4 6 3" xfId="5561" xr:uid="{00000000-0005-0000-0000-0000BF130000}"/>
    <cellStyle name="Normal 4 2 4 6 3 2" xfId="13990" xr:uid="{F9EC5AB1-248D-471C-92DE-2BDEB5F0B8FA}"/>
    <cellStyle name="Normal 4 2 4 6 4" xfId="9772" xr:uid="{91284180-A88A-4027-9E78-A578EEA9F6C4}"/>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473F32EE-77DE-4466-BDEF-13914C5AFEED}"/>
    <cellStyle name="Normal 4 2 4 7 2 3" xfId="12330" xr:uid="{B67E3CE3-791F-4480-AAE3-1BE65E0D37AF}"/>
    <cellStyle name="Normal 4 2 4 7 3" xfId="5974" xr:uid="{00000000-0005-0000-0000-0000C3130000}"/>
    <cellStyle name="Normal 4 2 4 7 3 2" xfId="14403" xr:uid="{47A541A5-468B-433B-AD10-E5ED747CC535}"/>
    <cellStyle name="Normal 4 2 4 7 4" xfId="10185" xr:uid="{A22BBBF4-DB97-4366-B2CB-EC93203DC697}"/>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1EA6845D-0816-4417-9AFA-235920B1CBAC}"/>
    <cellStyle name="Normal 4 2 4 8 2 3" xfId="12743" xr:uid="{60331927-D3AC-4E7F-9642-13ACB5E49B90}"/>
    <cellStyle name="Normal 4 2 4 8 3" xfId="6387" xr:uid="{00000000-0005-0000-0000-0000C7130000}"/>
    <cellStyle name="Normal 4 2 4 8 3 2" xfId="14816" xr:uid="{6DEA3C5D-0B6E-4D7F-8BB5-1B89088C0B32}"/>
    <cellStyle name="Normal 4 2 4 8 4" xfId="10598" xr:uid="{33BA3303-F020-46C1-8C1B-1CC7F8AE75BB}"/>
    <cellStyle name="Normal 4 2 4 9" xfId="2515" xr:uid="{00000000-0005-0000-0000-0000C8130000}"/>
    <cellStyle name="Normal 4 2 4 9 2" xfId="6800" xr:uid="{00000000-0005-0000-0000-0000C9130000}"/>
    <cellStyle name="Normal 4 2 4 9 2 2" xfId="15229" xr:uid="{A22A437E-9E50-4A5B-A1FA-F6E72C5FD28E}"/>
    <cellStyle name="Normal 4 2 4 9 3" xfId="11011" xr:uid="{85BE0DB0-5DFB-49DC-9C6A-8BD2228DA284}"/>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D18BCF11-FAA2-49D8-A88D-6B562B14E2D5}"/>
    <cellStyle name="Normal 4 2 5 2 2 2 3" xfId="11513" xr:uid="{BBC25416-3926-4FC2-BEFF-841A0DEDCDC7}"/>
    <cellStyle name="Normal 4 2 5 2 2 3" xfId="5157" xr:uid="{00000000-0005-0000-0000-0000CF130000}"/>
    <cellStyle name="Normal 4 2 5 2 2 3 2" xfId="13586" xr:uid="{845A3B86-E351-4350-A3D9-AB0699CC662E}"/>
    <cellStyle name="Normal 4 2 5 2 2 4" xfId="9368" xr:uid="{9892C9C6-90EE-446C-8063-25A7E17DC239}"/>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60EA49D8-3CF2-430A-A149-FF87F58ECBE3}"/>
    <cellStyle name="Normal 4 2 5 2 3 2 3" xfId="11926" xr:uid="{C4CF2C69-CB0F-4F05-B93F-219DAE4757F4}"/>
    <cellStyle name="Normal 4 2 5 2 3 3" xfId="5570" xr:uid="{00000000-0005-0000-0000-0000D3130000}"/>
    <cellStyle name="Normal 4 2 5 2 3 3 2" xfId="13999" xr:uid="{B0F4F4BF-7BF0-43BB-B36D-73F427BD0960}"/>
    <cellStyle name="Normal 4 2 5 2 3 4" xfId="9781" xr:uid="{723B71A3-FCCC-4748-AD87-1F1CE5503481}"/>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02167A93-FE24-4EC9-925A-D441CBC3E697}"/>
    <cellStyle name="Normal 4 2 5 2 4 2 3" xfId="12339" xr:uid="{3968EF5B-D61F-4C34-A55F-F0E1E61275A5}"/>
    <cellStyle name="Normal 4 2 5 2 4 3" xfId="5983" xr:uid="{00000000-0005-0000-0000-0000D7130000}"/>
    <cellStyle name="Normal 4 2 5 2 4 3 2" xfId="14412" xr:uid="{13E08647-FB2D-428B-BAF4-1556338C6849}"/>
    <cellStyle name="Normal 4 2 5 2 4 4" xfId="10194" xr:uid="{B6975DA7-96B8-4E9A-B7FD-FB51E037185B}"/>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60D8BF5B-AC76-4F0C-B6E5-2B315C79C0E9}"/>
    <cellStyle name="Normal 4 2 5 2 5 2 3" xfId="12752" xr:uid="{F5B7F3D3-A47D-4F39-A590-8058169C5F2B}"/>
    <cellStyle name="Normal 4 2 5 2 5 3" xfId="6396" xr:uid="{00000000-0005-0000-0000-0000DB130000}"/>
    <cellStyle name="Normal 4 2 5 2 5 3 2" xfId="14825" xr:uid="{067D0C42-8EBB-4904-8064-41CBFF8EAEF4}"/>
    <cellStyle name="Normal 4 2 5 2 5 4" xfId="10607" xr:uid="{64545973-07ED-4C99-959F-8EEEFE1AF34A}"/>
    <cellStyle name="Normal 4 2 5 2 6" xfId="2524" xr:uid="{00000000-0005-0000-0000-0000DC130000}"/>
    <cellStyle name="Normal 4 2 5 2 6 2" xfId="6809" xr:uid="{00000000-0005-0000-0000-0000DD130000}"/>
    <cellStyle name="Normal 4 2 5 2 6 2 2" xfId="15238" xr:uid="{48B59207-28C7-44F3-9CCC-830DAFE2CB18}"/>
    <cellStyle name="Normal 4 2 5 2 6 3" xfId="11020" xr:uid="{1343160A-C996-4EC6-9E10-630DC49F9757}"/>
    <cellStyle name="Normal 4 2 5 2 7" xfId="4744" xr:uid="{00000000-0005-0000-0000-0000DE130000}"/>
    <cellStyle name="Normal 4 2 5 2 7 2" xfId="13173" xr:uid="{C821575E-AF06-4E21-A253-895324D0F412}"/>
    <cellStyle name="Normal 4 2 5 2 8" xfId="8955" xr:uid="{AF2C20DB-F7E8-46F1-B31D-612481463DAC}"/>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5C2F86F1-FBB6-4088-A6B2-FEA425D7F26E}"/>
    <cellStyle name="Normal 4 2 5 3 2 3" xfId="11512" xr:uid="{7E10AAB1-52CA-4EB9-A8CF-B105EEF98BFC}"/>
    <cellStyle name="Normal 4 2 5 3 3" xfId="5156" xr:uid="{00000000-0005-0000-0000-0000E2130000}"/>
    <cellStyle name="Normal 4 2 5 3 3 2" xfId="13585" xr:uid="{41A9EADD-8EE7-499F-838A-BA93C7BA39D1}"/>
    <cellStyle name="Normal 4 2 5 3 4" xfId="9367" xr:uid="{FBD4D652-CCD6-44C0-8F2A-C88F3F6FFCA6}"/>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1F29FBED-C596-41B1-9110-A0BCFB37044A}"/>
    <cellStyle name="Normal 4 2 5 4 2 3" xfId="11925" xr:uid="{BC0F2CEC-3D9E-4EDA-A4D3-D3C13B9C9FA3}"/>
    <cellStyle name="Normal 4 2 5 4 3" xfId="5569" xr:uid="{00000000-0005-0000-0000-0000E6130000}"/>
    <cellStyle name="Normal 4 2 5 4 3 2" xfId="13998" xr:uid="{EBB6E7FE-C929-45F2-B93D-AF75A8B3F470}"/>
    <cellStyle name="Normal 4 2 5 4 4" xfId="9780" xr:uid="{A301D2AD-EAC6-4BD8-9C46-42C299F8D1E9}"/>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8D5C20C2-7F24-45E3-AC96-4EE13431ECE7}"/>
    <cellStyle name="Normal 4 2 5 5 2 3" xfId="12338" xr:uid="{15E860D3-9A7A-4C95-A1E6-5C32B4960C35}"/>
    <cellStyle name="Normal 4 2 5 5 3" xfId="5982" xr:uid="{00000000-0005-0000-0000-0000EA130000}"/>
    <cellStyle name="Normal 4 2 5 5 3 2" xfId="14411" xr:uid="{4D62CC25-3BF8-45C2-A5E9-3C363216402A}"/>
    <cellStyle name="Normal 4 2 5 5 4" xfId="10193" xr:uid="{860591F5-BA34-43E6-871E-BBE44787D17B}"/>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FDBDDD7A-F03A-4B09-8E80-BD7C15F4CFDA}"/>
    <cellStyle name="Normal 4 2 5 6 2 3" xfId="12751" xr:uid="{AADDA7C1-0CCA-4075-997A-D01B31EE1CB6}"/>
    <cellStyle name="Normal 4 2 5 6 3" xfId="6395" xr:uid="{00000000-0005-0000-0000-0000EE130000}"/>
    <cellStyle name="Normal 4 2 5 6 3 2" xfId="14824" xr:uid="{2A6E8647-DEAF-43F8-AFFD-7DAAB79937EC}"/>
    <cellStyle name="Normal 4 2 5 6 4" xfId="10606" xr:uid="{90C3F8F1-68AA-4EC2-92C7-667B4059813A}"/>
    <cellStyle name="Normal 4 2 5 7" xfId="2523" xr:uid="{00000000-0005-0000-0000-0000EF130000}"/>
    <cellStyle name="Normal 4 2 5 7 2" xfId="6808" xr:uid="{00000000-0005-0000-0000-0000F0130000}"/>
    <cellStyle name="Normal 4 2 5 7 2 2" xfId="15237" xr:uid="{A52546B9-7E2F-4C11-8731-C2909AFCF4E2}"/>
    <cellStyle name="Normal 4 2 5 7 3" xfId="11019" xr:uid="{1CE26864-15EE-448E-B48B-5B2AB39D0A58}"/>
    <cellStyle name="Normal 4 2 5 8" xfId="4743" xr:uid="{00000000-0005-0000-0000-0000F1130000}"/>
    <cellStyle name="Normal 4 2 5 8 2" xfId="13172" xr:uid="{CC07D826-D1FD-481C-8841-F84AA0431CE1}"/>
    <cellStyle name="Normal 4 2 5 9" xfId="8954" xr:uid="{41EB7FBF-4E51-4C6E-8A91-8521114D9AEB}"/>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A693C397-CF24-4666-AC19-1271E369AD4A}"/>
    <cellStyle name="Normal 4 2 6 2 2 3" xfId="11514" xr:uid="{5A8C4716-9022-4431-A549-8B10D8761101}"/>
    <cellStyle name="Normal 4 2 6 2 3" xfId="5158" xr:uid="{00000000-0005-0000-0000-0000F6130000}"/>
    <cellStyle name="Normal 4 2 6 2 3 2" xfId="13587" xr:uid="{D54431A5-2405-4E38-8408-38AC0A4FE0CF}"/>
    <cellStyle name="Normal 4 2 6 2 4" xfId="9369" xr:uid="{90329461-1193-4502-8664-8FEC225D1F2C}"/>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A12A23DA-B4C5-49A3-8F1C-967F348E6803}"/>
    <cellStyle name="Normal 4 2 6 3 2 3" xfId="11927" xr:uid="{209A1FFB-D26F-4E71-9FA5-B94A0E97480C}"/>
    <cellStyle name="Normal 4 2 6 3 3" xfId="5571" xr:uid="{00000000-0005-0000-0000-0000FA130000}"/>
    <cellStyle name="Normal 4 2 6 3 3 2" xfId="14000" xr:uid="{7F0D078B-A5AD-4F2E-A5F7-7FB4CC5FA7C2}"/>
    <cellStyle name="Normal 4 2 6 3 4" xfId="9782" xr:uid="{DA36CAB3-DEC7-4584-8249-B9889B1BEAE0}"/>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9486B32E-EE60-4FDD-A5EF-BDC406E473A8}"/>
    <cellStyle name="Normal 4 2 6 4 2 3" xfId="12340" xr:uid="{0D5D6A8C-19BE-418F-BEF6-E404D626B167}"/>
    <cellStyle name="Normal 4 2 6 4 3" xfId="5984" xr:uid="{00000000-0005-0000-0000-0000FE130000}"/>
    <cellStyle name="Normal 4 2 6 4 3 2" xfId="14413" xr:uid="{FAAF39EE-7E92-44DC-83B1-FC3B7A52AFC2}"/>
    <cellStyle name="Normal 4 2 6 4 4" xfId="10195" xr:uid="{10799BCB-E4FF-470B-9F77-E29EBA10D5E3}"/>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A9EC8FA7-EBA9-4258-94B7-CA4BB7B778C7}"/>
    <cellStyle name="Normal 4 2 6 5 2 3" xfId="12753" xr:uid="{0C892372-8CEF-437A-834D-E91AE5EE5E09}"/>
    <cellStyle name="Normal 4 2 6 5 3" xfId="6397" xr:uid="{00000000-0005-0000-0000-000002140000}"/>
    <cellStyle name="Normal 4 2 6 5 3 2" xfId="14826" xr:uid="{6C856937-47A8-4F05-BD42-55819D62A034}"/>
    <cellStyle name="Normal 4 2 6 5 4" xfId="10608" xr:uid="{6A469F92-5A5C-432A-A3AC-E2308E9C2FA5}"/>
    <cellStyle name="Normal 4 2 6 6" xfId="2525" xr:uid="{00000000-0005-0000-0000-000003140000}"/>
    <cellStyle name="Normal 4 2 6 6 2" xfId="6810" xr:uid="{00000000-0005-0000-0000-000004140000}"/>
    <cellStyle name="Normal 4 2 6 6 2 2" xfId="15239" xr:uid="{13E42CE0-50DB-4C08-9741-29D4A52BF187}"/>
    <cellStyle name="Normal 4 2 6 6 3" xfId="11021" xr:uid="{2D3FED16-21DD-4515-AE59-C45EB6A6696C}"/>
    <cellStyle name="Normal 4 2 6 7" xfId="4745" xr:uid="{00000000-0005-0000-0000-000005140000}"/>
    <cellStyle name="Normal 4 2 6 7 2" xfId="13174" xr:uid="{9DE4783F-5B36-45DD-95E5-32768AEA8200}"/>
    <cellStyle name="Normal 4 2 6 8" xfId="8956" xr:uid="{AD4F5F58-380F-4455-BE2D-E7DA010C2425}"/>
    <cellStyle name="Normal 4 3" xfId="366" xr:uid="{00000000-0005-0000-0000-000006140000}"/>
    <cellStyle name="Normal 4 3 10" xfId="8957" xr:uid="{D8C80CB2-5FCA-48FA-8CD1-6A129B51630B}"/>
    <cellStyle name="Normal 4 3 2" xfId="367" xr:uid="{00000000-0005-0000-0000-000007140000}"/>
    <cellStyle name="Normal 4 3 2 2" xfId="368" xr:uid="{00000000-0005-0000-0000-000008140000}"/>
    <cellStyle name="Normal 4 3 2 2 2" xfId="369" xr:uid="{00000000-0005-0000-0000-000009140000}"/>
    <cellStyle name="Normal 4 3 2 2 2 10" xfId="8958" xr:uid="{7FB8E02C-8276-41EF-85BB-10537988380A}"/>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62E4F7CD-2E10-459D-BE02-8D8644CA5154}"/>
    <cellStyle name="Normal 4 3 2 2 2 2 2 2 2 3" xfId="11518" xr:uid="{B4471326-25AE-4DD9-82EA-E196B0A98337}"/>
    <cellStyle name="Normal 4 3 2 2 2 2 2 2 3" xfId="5162" xr:uid="{00000000-0005-0000-0000-00000F140000}"/>
    <cellStyle name="Normal 4 3 2 2 2 2 2 2 3 2" xfId="13591" xr:uid="{A4A7815F-7213-4734-8D19-84CB73C20CF9}"/>
    <cellStyle name="Normal 4 3 2 2 2 2 2 2 4" xfId="9373" xr:uid="{D58E3091-9489-4EA6-AEF4-32B05EAF21F1}"/>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CF4ABFD8-BA8F-49B0-8894-4AE2B630AC2C}"/>
    <cellStyle name="Normal 4 3 2 2 2 2 2 3 2 3" xfId="11931" xr:uid="{57E388A2-019A-4BCA-8B64-5617529AC87C}"/>
    <cellStyle name="Normal 4 3 2 2 2 2 2 3 3" xfId="5575" xr:uid="{00000000-0005-0000-0000-000013140000}"/>
    <cellStyle name="Normal 4 3 2 2 2 2 2 3 3 2" xfId="14004" xr:uid="{6F1062F5-74C0-4B67-A83E-B52BA79C33AC}"/>
    <cellStyle name="Normal 4 3 2 2 2 2 2 3 4" xfId="9786" xr:uid="{9818CBF1-5A5A-432A-AD13-F82032C35A04}"/>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56F6E914-A1B1-41EC-BCD4-C85F8873CDB3}"/>
    <cellStyle name="Normal 4 3 2 2 2 2 2 4 2 3" xfId="12344" xr:uid="{0DFB71B4-F75E-4183-BC5C-0E9EF109F7B2}"/>
    <cellStyle name="Normal 4 3 2 2 2 2 2 4 3" xfId="5988" xr:uid="{00000000-0005-0000-0000-000017140000}"/>
    <cellStyle name="Normal 4 3 2 2 2 2 2 4 3 2" xfId="14417" xr:uid="{739A0E0C-DCB8-430F-8BAD-0A80201FDFA5}"/>
    <cellStyle name="Normal 4 3 2 2 2 2 2 4 4" xfId="10199" xr:uid="{C09F14E3-BED1-4CB1-B2F6-9B67C9D1E3D9}"/>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261187F6-4DC6-4D62-B4BF-F9089BADF9F1}"/>
    <cellStyle name="Normal 4 3 2 2 2 2 2 5 2 3" xfId="12757" xr:uid="{D610EB01-1EF9-4E0E-8597-E2B228CFF7CD}"/>
    <cellStyle name="Normal 4 3 2 2 2 2 2 5 3" xfId="6401" xr:uid="{00000000-0005-0000-0000-00001B140000}"/>
    <cellStyle name="Normal 4 3 2 2 2 2 2 5 3 2" xfId="14830" xr:uid="{CFB2BDEA-BDDF-4201-A66D-D7812D53698F}"/>
    <cellStyle name="Normal 4 3 2 2 2 2 2 5 4" xfId="10612" xr:uid="{24DB2532-35FC-4C80-8E66-D9DA12D7D175}"/>
    <cellStyle name="Normal 4 3 2 2 2 2 2 6" xfId="2529" xr:uid="{00000000-0005-0000-0000-00001C140000}"/>
    <cellStyle name="Normal 4 3 2 2 2 2 2 6 2" xfId="6814" xr:uid="{00000000-0005-0000-0000-00001D140000}"/>
    <cellStyle name="Normal 4 3 2 2 2 2 2 6 2 2" xfId="15243" xr:uid="{C0082D04-BB07-4C02-AA0F-502C7EAB5DAA}"/>
    <cellStyle name="Normal 4 3 2 2 2 2 2 6 3" xfId="11025" xr:uid="{D2B814FD-EA7D-4D00-AF9B-ABCFB65EE8B1}"/>
    <cellStyle name="Normal 4 3 2 2 2 2 2 7" xfId="4749" xr:uid="{00000000-0005-0000-0000-00001E140000}"/>
    <cellStyle name="Normal 4 3 2 2 2 2 2 7 2" xfId="13178" xr:uid="{2C2B9259-5872-4D13-9355-6A1CC3E9F752}"/>
    <cellStyle name="Normal 4 3 2 2 2 2 2 8" xfId="8960" xr:uid="{3FDF19C1-95E7-4B2B-86B4-8CE0FEFDAC07}"/>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F1AACFB4-9FFC-4E2F-8DCD-13F4BE0C76DE}"/>
    <cellStyle name="Normal 4 3 2 2 2 2 3 2 3" xfId="11517" xr:uid="{2E2C9235-B7F7-4A25-BB65-AF5327CD77D1}"/>
    <cellStyle name="Normal 4 3 2 2 2 2 3 3" xfId="5161" xr:uid="{00000000-0005-0000-0000-000022140000}"/>
    <cellStyle name="Normal 4 3 2 2 2 2 3 3 2" xfId="13590" xr:uid="{D7234784-3113-4CB3-BE7A-FE1577F8B334}"/>
    <cellStyle name="Normal 4 3 2 2 2 2 3 4" xfId="9372" xr:uid="{BF5BD18B-4A37-489F-8775-AC8322A529D8}"/>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55E32BED-BE4C-4D01-B09B-8218520A1999}"/>
    <cellStyle name="Normal 4 3 2 2 2 2 4 2 3" xfId="11930" xr:uid="{790036BD-9C66-4563-A594-FB25876DEB65}"/>
    <cellStyle name="Normal 4 3 2 2 2 2 4 3" xfId="5574" xr:uid="{00000000-0005-0000-0000-000026140000}"/>
    <cellStyle name="Normal 4 3 2 2 2 2 4 3 2" xfId="14003" xr:uid="{607C31B0-C9DB-40ED-8684-358C57CA6406}"/>
    <cellStyle name="Normal 4 3 2 2 2 2 4 4" xfId="9785" xr:uid="{0A600F4F-46CF-488A-A77A-D6ABA20BF48F}"/>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95B897B7-FCA4-4913-8784-4D695B732584}"/>
    <cellStyle name="Normal 4 3 2 2 2 2 5 2 3" xfId="12343" xr:uid="{C4F1FF1D-F26E-45EA-AE51-2DF01F1B3BA1}"/>
    <cellStyle name="Normal 4 3 2 2 2 2 5 3" xfId="5987" xr:uid="{00000000-0005-0000-0000-00002A140000}"/>
    <cellStyle name="Normal 4 3 2 2 2 2 5 3 2" xfId="14416" xr:uid="{3DD3A061-5CD1-47E3-A959-372E128822AF}"/>
    <cellStyle name="Normal 4 3 2 2 2 2 5 4" xfId="10198" xr:uid="{E81DC30E-FF19-45BE-BABC-270D3F08F60F}"/>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5D2CFBAE-0D1B-4F1B-A2E4-0AB6A079BB49}"/>
    <cellStyle name="Normal 4 3 2 2 2 2 6 2 3" xfId="12756" xr:uid="{B7FDB948-93BE-4161-8EF0-7160B101FC1D}"/>
    <cellStyle name="Normal 4 3 2 2 2 2 6 3" xfId="6400" xr:uid="{00000000-0005-0000-0000-00002E140000}"/>
    <cellStyle name="Normal 4 3 2 2 2 2 6 3 2" xfId="14829" xr:uid="{FC66A425-0F4D-453F-B9A0-9269110C65CD}"/>
    <cellStyle name="Normal 4 3 2 2 2 2 6 4" xfId="10611" xr:uid="{52493BC1-B244-4ACD-9D51-ECABDD65CAF3}"/>
    <cellStyle name="Normal 4 3 2 2 2 2 7" xfId="2528" xr:uid="{00000000-0005-0000-0000-00002F140000}"/>
    <cellStyle name="Normal 4 3 2 2 2 2 7 2" xfId="6813" xr:uid="{00000000-0005-0000-0000-000030140000}"/>
    <cellStyle name="Normal 4 3 2 2 2 2 7 2 2" xfId="15242" xr:uid="{2247EDEE-3F0E-42A9-8EB3-9EB1F92AC68C}"/>
    <cellStyle name="Normal 4 3 2 2 2 2 7 3" xfId="11024" xr:uid="{48CF121B-2B2A-49F6-8C36-FB24625641D2}"/>
    <cellStyle name="Normal 4 3 2 2 2 2 8" xfId="4748" xr:uid="{00000000-0005-0000-0000-000031140000}"/>
    <cellStyle name="Normal 4 3 2 2 2 2 8 2" xfId="13177" xr:uid="{0E9CCE4A-C7A5-428E-8C7C-B2D5BE51F01F}"/>
    <cellStyle name="Normal 4 3 2 2 2 2 9" xfId="8959" xr:uid="{F5473B45-0768-4E7D-BABF-A2CFB84AA18D}"/>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EF4DFF46-30AA-41A6-92EA-9AD51F95F737}"/>
    <cellStyle name="Normal 4 3 2 2 2 3 2 2 3" xfId="11519" xr:uid="{308EC8FC-0DC4-481D-BC06-1EEAE3C06D79}"/>
    <cellStyle name="Normal 4 3 2 2 2 3 2 3" xfId="5163" xr:uid="{00000000-0005-0000-0000-000036140000}"/>
    <cellStyle name="Normal 4 3 2 2 2 3 2 3 2" xfId="13592" xr:uid="{D5A9D69A-312C-4D2D-80F4-33B1F20964F7}"/>
    <cellStyle name="Normal 4 3 2 2 2 3 2 4" xfId="9374" xr:uid="{D1BB058E-8D61-4F8F-83DD-833125A9B8B3}"/>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047CC583-ABD2-45F9-9E37-112D261773DF}"/>
    <cellStyle name="Normal 4 3 2 2 2 3 3 2 3" xfId="11932" xr:uid="{6A091876-A4D9-4E70-BF83-6A7FF7BC6B04}"/>
    <cellStyle name="Normal 4 3 2 2 2 3 3 3" xfId="5576" xr:uid="{00000000-0005-0000-0000-00003A140000}"/>
    <cellStyle name="Normal 4 3 2 2 2 3 3 3 2" xfId="14005" xr:uid="{E33B2825-2950-4EA4-9EE5-8036B84D5708}"/>
    <cellStyle name="Normal 4 3 2 2 2 3 3 4" xfId="9787" xr:uid="{EE5DD943-8D76-4E14-B807-0EE72C77BAAE}"/>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499EFCA1-0777-4A4D-B3D7-40D0D754BBC2}"/>
    <cellStyle name="Normal 4 3 2 2 2 3 4 2 3" xfId="12345" xr:uid="{F70134DC-E8B3-4AA0-8A2B-B94CFC781769}"/>
    <cellStyle name="Normal 4 3 2 2 2 3 4 3" xfId="5989" xr:uid="{00000000-0005-0000-0000-00003E140000}"/>
    <cellStyle name="Normal 4 3 2 2 2 3 4 3 2" xfId="14418" xr:uid="{35C36577-07CC-4B20-9FFD-41006F13DBE0}"/>
    <cellStyle name="Normal 4 3 2 2 2 3 4 4" xfId="10200" xr:uid="{176FC393-0134-49BD-8B07-781EE7509EB6}"/>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4C15D585-014C-4F86-971B-BC5BBB47EBC5}"/>
    <cellStyle name="Normal 4 3 2 2 2 3 5 2 3" xfId="12758" xr:uid="{1E0C3DEE-028B-4796-8186-315622BC2967}"/>
    <cellStyle name="Normal 4 3 2 2 2 3 5 3" xfId="6402" xr:uid="{00000000-0005-0000-0000-000042140000}"/>
    <cellStyle name="Normal 4 3 2 2 2 3 5 3 2" xfId="14831" xr:uid="{C92DD9EE-90FA-45EC-8EB8-1041A65BD4A7}"/>
    <cellStyle name="Normal 4 3 2 2 2 3 5 4" xfId="10613" xr:uid="{B3BA8A01-3641-4834-9D02-BFBC42DC2B87}"/>
    <cellStyle name="Normal 4 3 2 2 2 3 6" xfId="2530" xr:uid="{00000000-0005-0000-0000-000043140000}"/>
    <cellStyle name="Normal 4 3 2 2 2 3 6 2" xfId="6815" xr:uid="{00000000-0005-0000-0000-000044140000}"/>
    <cellStyle name="Normal 4 3 2 2 2 3 6 2 2" xfId="15244" xr:uid="{410D2787-122D-4D35-86DF-7D45EDB4075F}"/>
    <cellStyle name="Normal 4 3 2 2 2 3 6 3" xfId="11026" xr:uid="{5CC0655F-7F3C-482B-93BA-C091DBC4BAF4}"/>
    <cellStyle name="Normal 4 3 2 2 2 3 7" xfId="4750" xr:uid="{00000000-0005-0000-0000-000045140000}"/>
    <cellStyle name="Normal 4 3 2 2 2 3 7 2" xfId="13179" xr:uid="{DAEA9BF5-425D-434B-94E1-83139B9D78CC}"/>
    <cellStyle name="Normal 4 3 2 2 2 3 8" xfId="8961" xr:uid="{1E1D11B7-B04B-4A35-A86A-814D0CDFEF39}"/>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26C01A8D-D80E-401B-9F34-EDF63414E969}"/>
    <cellStyle name="Normal 4 3 2 2 2 4 2 3" xfId="11516" xr:uid="{955EBE3A-8518-4BFB-B4BA-77DA72EA6FDD}"/>
    <cellStyle name="Normal 4 3 2 2 2 4 3" xfId="5160" xr:uid="{00000000-0005-0000-0000-000049140000}"/>
    <cellStyle name="Normal 4 3 2 2 2 4 3 2" xfId="13589" xr:uid="{CFAEFE17-6B7C-42AA-8EF2-1E6843326C74}"/>
    <cellStyle name="Normal 4 3 2 2 2 4 4" xfId="9371" xr:uid="{FAA1C0F1-35FF-41E2-B97C-429CC1805A3B}"/>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DCE51482-9600-43AE-908A-8A1922D0AE0B}"/>
    <cellStyle name="Normal 4 3 2 2 2 5 2 3" xfId="11929" xr:uid="{7536EC72-135C-4443-B6A7-572623A7DA36}"/>
    <cellStyle name="Normal 4 3 2 2 2 5 3" xfId="5573" xr:uid="{00000000-0005-0000-0000-00004D140000}"/>
    <cellStyle name="Normal 4 3 2 2 2 5 3 2" xfId="14002" xr:uid="{58EEE3D4-A6AC-46FB-80CD-33DBD9F4F927}"/>
    <cellStyle name="Normal 4 3 2 2 2 5 4" xfId="9784" xr:uid="{DDC778BB-9688-4E54-B636-035BD5C13E1B}"/>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41421B8B-9129-44F2-9FC4-F28D182F1065}"/>
    <cellStyle name="Normal 4 3 2 2 2 6 2 3" xfId="12342" xr:uid="{9935BA23-1586-459D-AD57-37DE9EF685FF}"/>
    <cellStyle name="Normal 4 3 2 2 2 6 3" xfId="5986" xr:uid="{00000000-0005-0000-0000-000051140000}"/>
    <cellStyle name="Normal 4 3 2 2 2 6 3 2" xfId="14415" xr:uid="{3B3A3759-6D5E-4682-8F60-7BCCCB8A175B}"/>
    <cellStyle name="Normal 4 3 2 2 2 6 4" xfId="10197" xr:uid="{4F8559B0-5FC4-40FE-A5B2-6B3CA0813673}"/>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3D70998A-C313-4B1F-88B0-EE9413C1C773}"/>
    <cellStyle name="Normal 4 3 2 2 2 7 2 3" xfId="12755" xr:uid="{B7541A55-EC09-4B52-9C82-B98C62A168EC}"/>
    <cellStyle name="Normal 4 3 2 2 2 7 3" xfId="6399" xr:uid="{00000000-0005-0000-0000-000055140000}"/>
    <cellStyle name="Normal 4 3 2 2 2 7 3 2" xfId="14828" xr:uid="{F3AF7B14-4DBC-400A-8BF4-155D46C7CFD7}"/>
    <cellStyle name="Normal 4 3 2 2 2 7 4" xfId="10610" xr:uid="{C7B7CCB0-3437-4BAE-AA63-1FE77C348C7B}"/>
    <cellStyle name="Normal 4 3 2 2 2 8" xfId="2527" xr:uid="{00000000-0005-0000-0000-000056140000}"/>
    <cellStyle name="Normal 4 3 2 2 2 8 2" xfId="6812" xr:uid="{00000000-0005-0000-0000-000057140000}"/>
    <cellStyle name="Normal 4 3 2 2 2 8 2 2" xfId="15241" xr:uid="{22490C8D-8F47-4248-A9C1-6BE2F0488494}"/>
    <cellStyle name="Normal 4 3 2 2 2 8 3" xfId="11023" xr:uid="{1C7EC173-1EAA-470A-A73D-DFF394975568}"/>
    <cellStyle name="Normal 4 3 2 2 2 9" xfId="4747" xr:uid="{00000000-0005-0000-0000-000058140000}"/>
    <cellStyle name="Normal 4 3 2 2 2 9 2" xfId="13176" xr:uid="{B2C4D69E-D450-4946-832F-BE624C3C06D8}"/>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37190A39-A8B0-49C0-BDFF-EC4CA2879C09}"/>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0CEF78C5-AE45-4AFE-B63E-331E0D706016}"/>
    <cellStyle name="Normal 4 3 3 2 2 2 2 3" xfId="11522" xr:uid="{72753675-E3FA-4BAD-9349-987E63152418}"/>
    <cellStyle name="Normal 4 3 3 2 2 2 3" xfId="5166" xr:uid="{00000000-0005-0000-0000-000062140000}"/>
    <cellStyle name="Normal 4 3 3 2 2 2 3 2" xfId="13595" xr:uid="{8AF399E0-6CC8-477B-9499-EBD73D9524C3}"/>
    <cellStyle name="Normal 4 3 3 2 2 2 4" xfId="9377" xr:uid="{0DB38C34-8757-46BC-A172-C14AB5015959}"/>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20D0B731-52FA-4B63-ACD5-F922C072CBAA}"/>
    <cellStyle name="Normal 4 3 3 2 2 3 2 3" xfId="11935" xr:uid="{EA7FF7CD-1F3A-4240-AD50-1968606C8946}"/>
    <cellStyle name="Normal 4 3 3 2 2 3 3" xfId="5579" xr:uid="{00000000-0005-0000-0000-000066140000}"/>
    <cellStyle name="Normal 4 3 3 2 2 3 3 2" xfId="14008" xr:uid="{41F70976-8F96-453D-B837-CA1223BD705A}"/>
    <cellStyle name="Normal 4 3 3 2 2 3 4" xfId="9790" xr:uid="{1FF9F279-FCA7-489E-BC94-9661F237095D}"/>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F08800D0-A1A1-42EE-990B-80511C6CFBC4}"/>
    <cellStyle name="Normal 4 3 3 2 2 4 2 3" xfId="12348" xr:uid="{7530761F-0B56-4FFE-9462-4385087371F3}"/>
    <cellStyle name="Normal 4 3 3 2 2 4 3" xfId="5992" xr:uid="{00000000-0005-0000-0000-00006A140000}"/>
    <cellStyle name="Normal 4 3 3 2 2 4 3 2" xfId="14421" xr:uid="{7CD96C53-EFFA-4761-A7B0-EF662F400778}"/>
    <cellStyle name="Normal 4 3 3 2 2 4 4" xfId="10203" xr:uid="{09CB1C18-E0AA-47E6-9424-23243E84A974}"/>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9BD4C5F6-1615-4C69-B927-9F7B22D03C10}"/>
    <cellStyle name="Normal 4 3 3 2 2 5 2 3" xfId="12761" xr:uid="{56F0F4A7-A55E-44B2-B9D3-84C2F982AD6E}"/>
    <cellStyle name="Normal 4 3 3 2 2 5 3" xfId="6405" xr:uid="{00000000-0005-0000-0000-00006E140000}"/>
    <cellStyle name="Normal 4 3 3 2 2 5 3 2" xfId="14834" xr:uid="{5ADB8437-CCDB-49CA-A762-2DFCBA9C24DA}"/>
    <cellStyle name="Normal 4 3 3 2 2 5 4" xfId="10616" xr:uid="{236E6B58-4F5A-4688-A934-E596E5EF31B2}"/>
    <cellStyle name="Normal 4 3 3 2 2 6" xfId="2533" xr:uid="{00000000-0005-0000-0000-00006F140000}"/>
    <cellStyle name="Normal 4 3 3 2 2 6 2" xfId="6818" xr:uid="{00000000-0005-0000-0000-000070140000}"/>
    <cellStyle name="Normal 4 3 3 2 2 6 2 2" xfId="15247" xr:uid="{A3718448-AB35-48B9-BF65-473C40D8F71F}"/>
    <cellStyle name="Normal 4 3 3 2 2 6 3" xfId="11029" xr:uid="{2D3C5A49-1004-4E44-9FEE-D0FDAB11A7F8}"/>
    <cellStyle name="Normal 4 3 3 2 2 7" xfId="4753" xr:uid="{00000000-0005-0000-0000-000071140000}"/>
    <cellStyle name="Normal 4 3 3 2 2 7 2" xfId="13182" xr:uid="{AD49A50E-8AB0-4DF3-9D20-62553BE6E6B8}"/>
    <cellStyle name="Normal 4 3 3 2 2 8" xfId="8964" xr:uid="{847D1F4C-78CE-4F9A-8F7D-D03174D86F4D}"/>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8ED655C2-80C2-4DEE-ABC2-A88CF5943458}"/>
    <cellStyle name="Normal 4 3 3 2 3 2 3" xfId="11521" xr:uid="{650B0DE0-899F-4C42-B18B-C0DB768F8E63}"/>
    <cellStyle name="Normal 4 3 3 2 3 3" xfId="5165" xr:uid="{00000000-0005-0000-0000-000075140000}"/>
    <cellStyle name="Normal 4 3 3 2 3 3 2" xfId="13594" xr:uid="{6DB448A4-4ADD-4698-A574-B4EEAC25F769}"/>
    <cellStyle name="Normal 4 3 3 2 3 4" xfId="9376" xr:uid="{43A968B0-E015-4D58-9D7A-39B802CD3D3B}"/>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E62CB084-739F-4026-96EC-96CCCFA93E60}"/>
    <cellStyle name="Normal 4 3 3 2 4 2 3" xfId="11934" xr:uid="{B1009B7B-3234-492A-9D75-079ECD3C41E6}"/>
    <cellStyle name="Normal 4 3 3 2 4 3" xfId="5578" xr:uid="{00000000-0005-0000-0000-000079140000}"/>
    <cellStyle name="Normal 4 3 3 2 4 3 2" xfId="14007" xr:uid="{F54698E4-2AF5-4C1E-A504-F40053AD30C8}"/>
    <cellStyle name="Normal 4 3 3 2 4 4" xfId="9789" xr:uid="{DA8CE6AC-2F9B-473D-80E3-38760719AC39}"/>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A332700E-FFCB-408A-9670-7905287AF73B}"/>
    <cellStyle name="Normal 4 3 3 2 5 2 3" xfId="12347" xr:uid="{5CFC6331-22A6-431D-AB9B-BB17F33A333E}"/>
    <cellStyle name="Normal 4 3 3 2 5 3" xfId="5991" xr:uid="{00000000-0005-0000-0000-00007D140000}"/>
    <cellStyle name="Normal 4 3 3 2 5 3 2" xfId="14420" xr:uid="{D4F7C841-4DC5-4FC4-8864-56397ADC6C78}"/>
    <cellStyle name="Normal 4 3 3 2 5 4" xfId="10202" xr:uid="{89793EB1-7C7D-4EB7-AC18-926A1B4CABD2}"/>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021A772A-5BFC-4F8E-A590-D7D3BBDE21E3}"/>
    <cellStyle name="Normal 4 3 3 2 6 2 3" xfId="12760" xr:uid="{60D23805-D320-43BB-84D2-482DE442D8A2}"/>
    <cellStyle name="Normal 4 3 3 2 6 3" xfId="6404" xr:uid="{00000000-0005-0000-0000-000081140000}"/>
    <cellStyle name="Normal 4 3 3 2 6 3 2" xfId="14833" xr:uid="{DFC98CE4-2610-4D33-8161-7AF5B1222C5E}"/>
    <cellStyle name="Normal 4 3 3 2 6 4" xfId="10615" xr:uid="{6EAE83D3-D56F-41A5-98A4-904F8C7D3683}"/>
    <cellStyle name="Normal 4 3 3 2 7" xfId="2532" xr:uid="{00000000-0005-0000-0000-000082140000}"/>
    <cellStyle name="Normal 4 3 3 2 7 2" xfId="6817" xr:uid="{00000000-0005-0000-0000-000083140000}"/>
    <cellStyle name="Normal 4 3 3 2 7 2 2" xfId="15246" xr:uid="{F6668999-2B0E-4545-B2DA-5598A0BCDEA5}"/>
    <cellStyle name="Normal 4 3 3 2 7 3" xfId="11028" xr:uid="{1A93BFF6-B189-4EE2-AB8A-F7334C746D86}"/>
    <cellStyle name="Normal 4 3 3 2 8" xfId="4752" xr:uid="{00000000-0005-0000-0000-000084140000}"/>
    <cellStyle name="Normal 4 3 3 2 8 2" xfId="13181" xr:uid="{F3A8B4DE-4BE3-4D19-9DDA-07812567EFB7}"/>
    <cellStyle name="Normal 4 3 3 2 9" xfId="8963" xr:uid="{E84080A2-28CC-4787-95E9-5F57B68682DA}"/>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67F6E443-C390-4A3B-B566-9E7C5AB64F40}"/>
    <cellStyle name="Normal 4 3 3 3 2 2 3" xfId="11523" xr:uid="{99BC6663-E070-4446-AA45-6D3A12290D26}"/>
    <cellStyle name="Normal 4 3 3 3 2 3" xfId="5167" xr:uid="{00000000-0005-0000-0000-000089140000}"/>
    <cellStyle name="Normal 4 3 3 3 2 3 2" xfId="13596" xr:uid="{6651E693-EB76-41CD-B74B-917210C885B3}"/>
    <cellStyle name="Normal 4 3 3 3 2 4" xfId="9378" xr:uid="{E96DF59B-B70B-492B-8FE3-5EB242F763CB}"/>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D2C9C28C-1FF5-42DD-9F6B-0747A9ABA7AD}"/>
    <cellStyle name="Normal 4 3 3 3 3 2 3" xfId="11936" xr:uid="{933742A0-AC41-4DB7-B528-1C8E9FE770EE}"/>
    <cellStyle name="Normal 4 3 3 3 3 3" xfId="5580" xr:uid="{00000000-0005-0000-0000-00008D140000}"/>
    <cellStyle name="Normal 4 3 3 3 3 3 2" xfId="14009" xr:uid="{FF06C242-229E-4078-8322-C1DAEEDC68B1}"/>
    <cellStyle name="Normal 4 3 3 3 3 4" xfId="9791" xr:uid="{6A430DD8-7B0D-4EFB-B094-9F304D888612}"/>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AB7694BC-0F53-4EF5-A963-FDB5CCA273D5}"/>
    <cellStyle name="Normal 4 3 3 3 4 2 3" xfId="12349" xr:uid="{D54DCC2A-E648-43CD-978C-83EB2A7B737D}"/>
    <cellStyle name="Normal 4 3 3 3 4 3" xfId="5993" xr:uid="{00000000-0005-0000-0000-000091140000}"/>
    <cellStyle name="Normal 4 3 3 3 4 3 2" xfId="14422" xr:uid="{A524AB6A-DE9B-477A-9CEF-4891D8FA3CFB}"/>
    <cellStyle name="Normal 4 3 3 3 4 4" xfId="10204" xr:uid="{7032106A-38D9-4A98-9BB8-2CDD683AD480}"/>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D3FC6B8B-7337-49DC-86EC-B30B487AB857}"/>
    <cellStyle name="Normal 4 3 3 3 5 2 3" xfId="12762" xr:uid="{2CBDB3F3-BE9B-4C5D-BA47-6B95D6B78CCC}"/>
    <cellStyle name="Normal 4 3 3 3 5 3" xfId="6406" xr:uid="{00000000-0005-0000-0000-000095140000}"/>
    <cellStyle name="Normal 4 3 3 3 5 3 2" xfId="14835" xr:uid="{B514CC74-66A9-4E9A-BCF2-CE3B1247B409}"/>
    <cellStyle name="Normal 4 3 3 3 5 4" xfId="10617" xr:uid="{85933B96-34E2-471B-BF4C-6C64BB62F5B3}"/>
    <cellStyle name="Normal 4 3 3 3 6" xfId="2534" xr:uid="{00000000-0005-0000-0000-000096140000}"/>
    <cellStyle name="Normal 4 3 3 3 6 2" xfId="6819" xr:uid="{00000000-0005-0000-0000-000097140000}"/>
    <cellStyle name="Normal 4 3 3 3 6 2 2" xfId="15248" xr:uid="{1FFCDD64-4378-4564-BE12-4E96B30CB747}"/>
    <cellStyle name="Normal 4 3 3 3 6 3" xfId="11030" xr:uid="{161A2608-666F-4297-B4AA-E793F9164FA2}"/>
    <cellStyle name="Normal 4 3 3 3 7" xfId="4754" xr:uid="{00000000-0005-0000-0000-000098140000}"/>
    <cellStyle name="Normal 4 3 3 3 7 2" xfId="13183" xr:uid="{7FD333D3-2376-4EDA-88BF-B51C996F25CF}"/>
    <cellStyle name="Normal 4 3 3 3 8" xfId="8965" xr:uid="{2BB3C8B2-CD3D-4699-A36A-7F7C3957C925}"/>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472861D1-763E-4752-8D48-0E0FC0E68241}"/>
    <cellStyle name="Normal 4 3 3 4 2 3" xfId="11520" xr:uid="{349DFD8F-FF22-4591-A2BF-D9F6C7AC2F9C}"/>
    <cellStyle name="Normal 4 3 3 4 3" xfId="5164" xr:uid="{00000000-0005-0000-0000-00009C140000}"/>
    <cellStyle name="Normal 4 3 3 4 3 2" xfId="13593" xr:uid="{34002DD3-1F21-4405-B701-956E5A34E163}"/>
    <cellStyle name="Normal 4 3 3 4 4" xfId="9375" xr:uid="{36339A08-571B-41C0-B0DC-021DD3234152}"/>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DA8EC1D6-7295-4B5A-8BBD-5036F0916A56}"/>
    <cellStyle name="Normal 4 3 3 5 2 3" xfId="11933" xr:uid="{55F3859F-4E87-4601-9C2E-C33E6EF9D690}"/>
    <cellStyle name="Normal 4 3 3 5 3" xfId="5577" xr:uid="{00000000-0005-0000-0000-0000A0140000}"/>
    <cellStyle name="Normal 4 3 3 5 3 2" xfId="14006" xr:uid="{3E062D46-4174-439A-ABEC-9EF87491D1BB}"/>
    <cellStyle name="Normal 4 3 3 5 4" xfId="9788" xr:uid="{81FD86D8-EA22-4214-868D-5C6858AF6F8E}"/>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081B441B-FE0D-4A16-9C47-EE46E7C33F03}"/>
    <cellStyle name="Normal 4 3 3 6 2 3" xfId="12346" xr:uid="{B00379C0-D1D5-41C6-8E60-7143A1668CBA}"/>
    <cellStyle name="Normal 4 3 3 6 3" xfId="5990" xr:uid="{00000000-0005-0000-0000-0000A4140000}"/>
    <cellStyle name="Normal 4 3 3 6 3 2" xfId="14419" xr:uid="{DD477D17-A619-449D-9EC4-AD06A4063531}"/>
    <cellStyle name="Normal 4 3 3 6 4" xfId="10201" xr:uid="{E9F3ED59-5EDE-4A64-8415-B8402C6F1A8A}"/>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A6F731FE-B35B-4AA8-8BA1-4F2BCF98ABB5}"/>
    <cellStyle name="Normal 4 3 3 7 2 3" xfId="12759" xr:uid="{3B4C2AE0-E55D-422C-AD39-8ADC012860F5}"/>
    <cellStyle name="Normal 4 3 3 7 3" xfId="6403" xr:uid="{00000000-0005-0000-0000-0000A8140000}"/>
    <cellStyle name="Normal 4 3 3 7 3 2" xfId="14832" xr:uid="{C532715A-C52D-4D5D-BC30-E17FCBF1827C}"/>
    <cellStyle name="Normal 4 3 3 7 4" xfId="10614" xr:uid="{AE6BFB58-038A-4BE1-935B-231E045E40C9}"/>
    <cellStyle name="Normal 4 3 3 8" xfId="2531" xr:uid="{00000000-0005-0000-0000-0000A9140000}"/>
    <cellStyle name="Normal 4 3 3 8 2" xfId="6816" xr:uid="{00000000-0005-0000-0000-0000AA140000}"/>
    <cellStyle name="Normal 4 3 3 8 2 2" xfId="15245" xr:uid="{F850242B-4301-4A08-A13D-D1FF8EF5DB35}"/>
    <cellStyle name="Normal 4 3 3 8 3" xfId="11027" xr:uid="{84E5B28B-7254-4B6E-BC0A-3C1544BDB1BC}"/>
    <cellStyle name="Normal 4 3 3 9" xfId="4751" xr:uid="{00000000-0005-0000-0000-0000AB140000}"/>
    <cellStyle name="Normal 4 3 3 9 2" xfId="13180" xr:uid="{1D38CC4D-36D2-4EDB-8F85-700BB6A7C645}"/>
    <cellStyle name="Normal 4 3 4" xfId="843" xr:uid="{00000000-0005-0000-0000-0000AC140000}"/>
    <cellStyle name="Normal 4 3 4 2" xfId="3080" xr:uid="{00000000-0005-0000-0000-0000AD140000}"/>
    <cellStyle name="Normal 4 3 4 2 2" xfId="7304" xr:uid="{00000000-0005-0000-0000-0000AE140000}"/>
    <cellStyle name="Normal 4 3 4 2 2 2" xfId="15733" xr:uid="{21AE2EA3-A628-43E7-85CA-4E2C2E40FCF4}"/>
    <cellStyle name="Normal 4 3 4 2 3" xfId="11515" xr:uid="{D50D8F41-DA2C-43AC-8BC6-406D4D1B217C}"/>
    <cellStyle name="Normal 4 3 4 3" xfId="5159" xr:uid="{00000000-0005-0000-0000-0000AF140000}"/>
    <cellStyle name="Normal 4 3 4 3 2" xfId="13588" xr:uid="{AC42674A-9C3C-406C-B2ED-EB18B378A23F}"/>
    <cellStyle name="Normal 4 3 4 4" xfId="9370" xr:uid="{4B2E29AD-ED16-43D2-A822-0A559FEDC524}"/>
    <cellStyle name="Normal 4 3 5" xfId="1263" xr:uid="{00000000-0005-0000-0000-0000B0140000}"/>
    <cellStyle name="Normal 4 3 5 2" xfId="3493" xr:uid="{00000000-0005-0000-0000-0000B1140000}"/>
    <cellStyle name="Normal 4 3 5 2 2" xfId="7717" xr:uid="{00000000-0005-0000-0000-0000B2140000}"/>
    <cellStyle name="Normal 4 3 5 2 2 2" xfId="16146" xr:uid="{5A58A4E2-174C-4447-A778-AF59832C35D8}"/>
    <cellStyle name="Normal 4 3 5 2 3" xfId="11928" xr:uid="{F5522610-CE57-4B0A-82EB-9B0F3BC92FC3}"/>
    <cellStyle name="Normal 4 3 5 3" xfId="5572" xr:uid="{00000000-0005-0000-0000-0000B3140000}"/>
    <cellStyle name="Normal 4 3 5 3 2" xfId="14001" xr:uid="{EC05D818-58A9-4090-A5BE-477D07A2CE90}"/>
    <cellStyle name="Normal 4 3 5 4" xfId="9783" xr:uid="{F50342C3-EB1A-4BCF-A0A3-3996EA0B823C}"/>
    <cellStyle name="Normal 4 3 6" xfId="1676" xr:uid="{00000000-0005-0000-0000-0000B4140000}"/>
    <cellStyle name="Normal 4 3 6 2" xfId="3906" xr:uid="{00000000-0005-0000-0000-0000B5140000}"/>
    <cellStyle name="Normal 4 3 6 2 2" xfId="8130" xr:uid="{00000000-0005-0000-0000-0000B6140000}"/>
    <cellStyle name="Normal 4 3 6 2 2 2" xfId="16559" xr:uid="{3C2298B3-8D51-4409-8DAF-AD2339006803}"/>
    <cellStyle name="Normal 4 3 6 2 3" xfId="12341" xr:uid="{FCE6CC2D-A064-4942-8E7F-38ECCFB8CE11}"/>
    <cellStyle name="Normal 4 3 6 3" xfId="5985" xr:uid="{00000000-0005-0000-0000-0000B7140000}"/>
    <cellStyle name="Normal 4 3 6 3 2" xfId="14414" xr:uid="{2EFF8630-CE82-4563-8787-3E54D995CC45}"/>
    <cellStyle name="Normal 4 3 6 4" xfId="10196" xr:uid="{04D538F9-E46E-4651-9E03-C5CC3D3223D1}"/>
    <cellStyle name="Normal 4 3 7" xfId="2090" xr:uid="{00000000-0005-0000-0000-0000B8140000}"/>
    <cellStyle name="Normal 4 3 7 2" xfId="4319" xr:uid="{00000000-0005-0000-0000-0000B9140000}"/>
    <cellStyle name="Normal 4 3 7 2 2" xfId="8543" xr:uid="{00000000-0005-0000-0000-0000BA140000}"/>
    <cellStyle name="Normal 4 3 7 2 2 2" xfId="16972" xr:uid="{5787C99D-8671-4AAF-B1C8-AC180AC96847}"/>
    <cellStyle name="Normal 4 3 7 2 3" xfId="12754" xr:uid="{2808456E-C08D-4748-9B53-504106F82B84}"/>
    <cellStyle name="Normal 4 3 7 3" xfId="6398" xr:uid="{00000000-0005-0000-0000-0000BB140000}"/>
    <cellStyle name="Normal 4 3 7 3 2" xfId="14827" xr:uid="{1C93C7DA-CF73-49EF-87FC-DB34BF382D1B}"/>
    <cellStyle name="Normal 4 3 7 4" xfId="10609" xr:uid="{201D8422-AA43-443D-9157-D884A0E3A472}"/>
    <cellStyle name="Normal 4 3 8" xfId="2526" xr:uid="{00000000-0005-0000-0000-0000BC140000}"/>
    <cellStyle name="Normal 4 3 8 2" xfId="6811" xr:uid="{00000000-0005-0000-0000-0000BD140000}"/>
    <cellStyle name="Normal 4 3 8 2 2" xfId="15240" xr:uid="{7B836B51-37AD-4546-B740-8EF7A075D97D}"/>
    <cellStyle name="Normal 4 3 8 3" xfId="11022" xr:uid="{3D04C0BA-F643-4B49-917F-B4FA9966ED6E}"/>
    <cellStyle name="Normal 4 3 9" xfId="4746" xr:uid="{00000000-0005-0000-0000-0000BE140000}"/>
    <cellStyle name="Normal 4 3 9 2" xfId="13175" xr:uid="{C1BD5CA5-6491-4D6A-B0F5-0DC82AF8F389}"/>
    <cellStyle name="Normal 4 4" xfId="378" xr:uid="{00000000-0005-0000-0000-0000BF140000}"/>
    <cellStyle name="Normal 4 4 10" xfId="2535" xr:uid="{00000000-0005-0000-0000-0000C0140000}"/>
    <cellStyle name="Normal 4 4 10 2" xfId="6820" xr:uid="{00000000-0005-0000-0000-0000C1140000}"/>
    <cellStyle name="Normal 4 4 10 2 2" xfId="15249" xr:uid="{537F3A61-5D44-4812-A92A-E145F11B1560}"/>
    <cellStyle name="Normal 4 4 10 3" xfId="11031" xr:uid="{ABDA53F7-F8C1-426F-9B3D-6131B58C4526}"/>
    <cellStyle name="Normal 4 4 11" xfId="4755" xr:uid="{00000000-0005-0000-0000-0000C2140000}"/>
    <cellStyle name="Normal 4 4 11 2" xfId="13184" xr:uid="{F54FB9AE-C7B9-48AA-B3B3-7B5135711AE6}"/>
    <cellStyle name="Normal 4 4 12" xfId="8966" xr:uid="{01D081F2-062D-4CC0-91E5-CE045EAB9985}"/>
    <cellStyle name="Normal 4 4 2" xfId="379" xr:uid="{00000000-0005-0000-0000-0000C3140000}"/>
    <cellStyle name="Normal 4 4 2 10" xfId="4756" xr:uid="{00000000-0005-0000-0000-0000C4140000}"/>
    <cellStyle name="Normal 4 4 2 10 2" xfId="13185" xr:uid="{E2AD2809-2E2C-4836-811E-5787C5EA5EE2}"/>
    <cellStyle name="Normal 4 4 2 11" xfId="8967" xr:uid="{FC7EBAEF-5283-496D-AEB0-145E9BBB0E3A}"/>
    <cellStyle name="Normal 4 4 2 2" xfId="380" xr:uid="{00000000-0005-0000-0000-0000C5140000}"/>
    <cellStyle name="Normal 4 4 2 2 10" xfId="8968" xr:uid="{AAB28199-BA94-4EAE-8CE9-E196F9411157}"/>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03CC68E3-D450-4EF9-A48F-12E25B5015DC}"/>
    <cellStyle name="Normal 4 4 2 2 2 2 2 2 3" xfId="11528" xr:uid="{6CED166A-404F-4BA7-AD15-D94DE39E0553}"/>
    <cellStyle name="Normal 4 4 2 2 2 2 2 3" xfId="5172" xr:uid="{00000000-0005-0000-0000-0000CB140000}"/>
    <cellStyle name="Normal 4 4 2 2 2 2 2 3 2" xfId="13601" xr:uid="{9576924B-0A7B-42D8-8C08-FD9E3B1717FE}"/>
    <cellStyle name="Normal 4 4 2 2 2 2 2 4" xfId="9383" xr:uid="{64051434-2C90-4E6C-A19C-21881EDBDCE3}"/>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4E3DAA37-9347-4863-9760-8FA7B550789E}"/>
    <cellStyle name="Normal 4 4 2 2 2 2 3 2 3" xfId="11941" xr:uid="{64453D51-EEB7-443D-AC55-318ABEC9857B}"/>
    <cellStyle name="Normal 4 4 2 2 2 2 3 3" xfId="5585" xr:uid="{00000000-0005-0000-0000-0000CF140000}"/>
    <cellStyle name="Normal 4 4 2 2 2 2 3 3 2" xfId="14014" xr:uid="{2E2E85C9-EB5E-44C8-8B9F-40E95DC51B0E}"/>
    <cellStyle name="Normal 4 4 2 2 2 2 3 4" xfId="9796" xr:uid="{54907592-0CBB-41D6-AD78-47E262C847B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F3E6FB9F-195C-4985-AE31-AACFCD3ABE29}"/>
    <cellStyle name="Normal 4 4 2 2 2 2 4 2 3" xfId="12354" xr:uid="{E21C0758-A0A6-4F8C-8AAE-B9D4FD4F57CE}"/>
    <cellStyle name="Normal 4 4 2 2 2 2 4 3" xfId="5998" xr:uid="{00000000-0005-0000-0000-0000D3140000}"/>
    <cellStyle name="Normal 4 4 2 2 2 2 4 3 2" xfId="14427" xr:uid="{FD050244-A5F7-428E-AEE8-AA4E9CDF9273}"/>
    <cellStyle name="Normal 4 4 2 2 2 2 4 4" xfId="10209" xr:uid="{0F81FD3A-1B85-435F-83A2-E31D6016C4A6}"/>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3A568389-8C25-4B68-B0C8-F0FA096072E4}"/>
    <cellStyle name="Normal 4 4 2 2 2 2 5 2 3" xfId="12767" xr:uid="{D12E84D3-7197-44E7-872D-F7EB253DAABD}"/>
    <cellStyle name="Normal 4 4 2 2 2 2 5 3" xfId="6411" xr:uid="{00000000-0005-0000-0000-0000D7140000}"/>
    <cellStyle name="Normal 4 4 2 2 2 2 5 3 2" xfId="14840" xr:uid="{209FE45A-3BA3-444F-B3AB-4A5C7612604D}"/>
    <cellStyle name="Normal 4 4 2 2 2 2 5 4" xfId="10622" xr:uid="{CDD9DCE7-8500-43F5-9C2D-C1C9E820F66C}"/>
    <cellStyle name="Normal 4 4 2 2 2 2 6" xfId="2539" xr:uid="{00000000-0005-0000-0000-0000D8140000}"/>
    <cellStyle name="Normal 4 4 2 2 2 2 6 2" xfId="6824" xr:uid="{00000000-0005-0000-0000-0000D9140000}"/>
    <cellStyle name="Normal 4 4 2 2 2 2 6 2 2" xfId="15253" xr:uid="{74DCC2FA-FE9C-4DC8-8DC3-79FD45F57AB9}"/>
    <cellStyle name="Normal 4 4 2 2 2 2 6 3" xfId="11035" xr:uid="{91AE00CD-7375-403D-951A-D3C5A26C65EA}"/>
    <cellStyle name="Normal 4 4 2 2 2 2 7" xfId="4759" xr:uid="{00000000-0005-0000-0000-0000DA140000}"/>
    <cellStyle name="Normal 4 4 2 2 2 2 7 2" xfId="13188" xr:uid="{A7AA5EA2-BD9A-4767-AC2A-373493EEC2A5}"/>
    <cellStyle name="Normal 4 4 2 2 2 2 8" xfId="8970" xr:uid="{04A74150-94BF-4B62-9BF2-C1F483590508}"/>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BA6C7825-6AC9-434F-9B75-9BEDFB204690}"/>
    <cellStyle name="Normal 4 4 2 2 2 3 2 3" xfId="11527" xr:uid="{33272476-5E64-4EE5-9826-61ACC49EBB6D}"/>
    <cellStyle name="Normal 4 4 2 2 2 3 3" xfId="5171" xr:uid="{00000000-0005-0000-0000-0000DE140000}"/>
    <cellStyle name="Normal 4 4 2 2 2 3 3 2" xfId="13600" xr:uid="{B8896A76-EFDF-4069-BA0F-A8AF15E8A0C9}"/>
    <cellStyle name="Normal 4 4 2 2 2 3 4" xfId="9382" xr:uid="{5B7587BA-E73F-4815-9097-82215D427B39}"/>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64077FFD-A2EE-4F9A-9C7A-6A580067A736}"/>
    <cellStyle name="Normal 4 4 2 2 2 4 2 3" xfId="11940" xr:uid="{C1B5C9AD-3CA8-408B-AEE5-348F1B00BDBE}"/>
    <cellStyle name="Normal 4 4 2 2 2 4 3" xfId="5584" xr:uid="{00000000-0005-0000-0000-0000E2140000}"/>
    <cellStyle name="Normal 4 4 2 2 2 4 3 2" xfId="14013" xr:uid="{6E3738FD-E0FA-4CAD-AE7B-ED4510100968}"/>
    <cellStyle name="Normal 4 4 2 2 2 4 4" xfId="9795" xr:uid="{406C7149-0444-4120-90D4-25FC9992FD74}"/>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76DED473-6BAB-4B7D-96F9-55B936C29A6E}"/>
    <cellStyle name="Normal 4 4 2 2 2 5 2 3" xfId="12353" xr:uid="{482E9E84-01E0-46F3-A2CA-D74A11C43852}"/>
    <cellStyle name="Normal 4 4 2 2 2 5 3" xfId="5997" xr:uid="{00000000-0005-0000-0000-0000E6140000}"/>
    <cellStyle name="Normal 4 4 2 2 2 5 3 2" xfId="14426" xr:uid="{2AC6A207-4933-4686-95F8-DE042DEE3345}"/>
    <cellStyle name="Normal 4 4 2 2 2 5 4" xfId="10208" xr:uid="{9D003E4A-7363-44FD-9BE6-CDCA8DBCCCDB}"/>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6D4787AE-D58F-47FA-BBED-934CC783C7DF}"/>
    <cellStyle name="Normal 4 4 2 2 2 6 2 3" xfId="12766" xr:uid="{7AAD8D98-30E4-4C70-858A-FB6E38303646}"/>
    <cellStyle name="Normal 4 4 2 2 2 6 3" xfId="6410" xr:uid="{00000000-0005-0000-0000-0000EA140000}"/>
    <cellStyle name="Normal 4 4 2 2 2 6 3 2" xfId="14839" xr:uid="{FBAF8EFA-0F48-40EB-92D7-9BE232EFD21D}"/>
    <cellStyle name="Normal 4 4 2 2 2 6 4" xfId="10621" xr:uid="{4689E04C-7741-452D-97AF-6F35FA800316}"/>
    <cellStyle name="Normal 4 4 2 2 2 7" xfId="2538" xr:uid="{00000000-0005-0000-0000-0000EB140000}"/>
    <cellStyle name="Normal 4 4 2 2 2 7 2" xfId="6823" xr:uid="{00000000-0005-0000-0000-0000EC140000}"/>
    <cellStyle name="Normal 4 4 2 2 2 7 2 2" xfId="15252" xr:uid="{6BBC7176-4ECD-4C33-9534-6D28E609CB44}"/>
    <cellStyle name="Normal 4 4 2 2 2 7 3" xfId="11034" xr:uid="{99DB7695-EEA0-4D2B-A5C1-2ECE8C7D7607}"/>
    <cellStyle name="Normal 4 4 2 2 2 8" xfId="4758" xr:uid="{00000000-0005-0000-0000-0000ED140000}"/>
    <cellStyle name="Normal 4 4 2 2 2 8 2" xfId="13187" xr:uid="{5A2197DA-4CB0-49C3-81EC-E13AEF84ED1C}"/>
    <cellStyle name="Normal 4 4 2 2 2 9" xfId="8969" xr:uid="{C89FB008-2CBD-4FC9-BE8B-9BB566DF2BAA}"/>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48585ECD-C375-4AFD-9261-90557A5338CD}"/>
    <cellStyle name="Normal 4 4 2 2 3 2 2 3" xfId="11529" xr:uid="{5F85F8F9-394C-4157-A1B4-FB8DC1E42101}"/>
    <cellStyle name="Normal 4 4 2 2 3 2 3" xfId="5173" xr:uid="{00000000-0005-0000-0000-0000F2140000}"/>
    <cellStyle name="Normal 4 4 2 2 3 2 3 2" xfId="13602" xr:uid="{E861547A-7456-4FEA-8A99-45322023D264}"/>
    <cellStyle name="Normal 4 4 2 2 3 2 4" xfId="9384" xr:uid="{98D4752F-6FEB-4AEA-8966-47CF1AA0C64F}"/>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19028F82-8FC6-4EB4-92B4-7FDB40946AD7}"/>
    <cellStyle name="Normal 4 4 2 2 3 3 2 3" xfId="11942" xr:uid="{1D0B1205-186D-4D4C-B4FD-29039995F6F1}"/>
    <cellStyle name="Normal 4 4 2 2 3 3 3" xfId="5586" xr:uid="{00000000-0005-0000-0000-0000F6140000}"/>
    <cellStyle name="Normal 4 4 2 2 3 3 3 2" xfId="14015" xr:uid="{254CB5B2-FCDC-4679-9200-3B31693182EA}"/>
    <cellStyle name="Normal 4 4 2 2 3 3 4" xfId="9797" xr:uid="{BE9C5991-003E-44DC-8837-56A0D9A30789}"/>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5AB48CED-490F-481A-83D9-F7016ADE332E}"/>
    <cellStyle name="Normal 4 4 2 2 3 4 2 3" xfId="12355" xr:uid="{F180654E-3B16-4DB0-B4A1-0571A8D01457}"/>
    <cellStyle name="Normal 4 4 2 2 3 4 3" xfId="5999" xr:uid="{00000000-0005-0000-0000-0000FA140000}"/>
    <cellStyle name="Normal 4 4 2 2 3 4 3 2" xfId="14428" xr:uid="{B0EBE51D-3DC3-4AF3-8192-0ED82C51B838}"/>
    <cellStyle name="Normal 4 4 2 2 3 4 4" xfId="10210" xr:uid="{CC835416-176B-4382-9949-6A0EB7F9717E}"/>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906AF9FF-B897-408D-A305-5D4707270240}"/>
    <cellStyle name="Normal 4 4 2 2 3 5 2 3" xfId="12768" xr:uid="{2A7E47E5-CC7E-45E1-A4B0-F4B50C72EFB2}"/>
    <cellStyle name="Normal 4 4 2 2 3 5 3" xfId="6412" xr:uid="{00000000-0005-0000-0000-0000FE140000}"/>
    <cellStyle name="Normal 4 4 2 2 3 5 3 2" xfId="14841" xr:uid="{93B49167-5D8F-4D98-837F-9D60BDF59215}"/>
    <cellStyle name="Normal 4 4 2 2 3 5 4" xfId="10623" xr:uid="{FF5F6411-00D8-4EAB-80CD-BD55409556CA}"/>
    <cellStyle name="Normal 4 4 2 2 3 6" xfId="2540" xr:uid="{00000000-0005-0000-0000-0000FF140000}"/>
    <cellStyle name="Normal 4 4 2 2 3 6 2" xfId="6825" xr:uid="{00000000-0005-0000-0000-000000150000}"/>
    <cellStyle name="Normal 4 4 2 2 3 6 2 2" xfId="15254" xr:uid="{85435995-BE37-44B8-B66A-B7A2D3958A99}"/>
    <cellStyle name="Normal 4 4 2 2 3 6 3" xfId="11036" xr:uid="{F7E5CA8B-9EFC-4987-A6C1-84F41757E338}"/>
    <cellStyle name="Normal 4 4 2 2 3 7" xfId="4760" xr:uid="{00000000-0005-0000-0000-000001150000}"/>
    <cellStyle name="Normal 4 4 2 2 3 7 2" xfId="13189" xr:uid="{99172216-CD4D-4B63-9B59-8D2B0EA43442}"/>
    <cellStyle name="Normal 4 4 2 2 3 8" xfId="8971" xr:uid="{845CE344-4831-42E8-A49E-15A77C0630C3}"/>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BF0BC672-1F9A-46C0-81A9-F2B44CF79C2B}"/>
    <cellStyle name="Normal 4 4 2 2 4 2 3" xfId="11526" xr:uid="{254178F0-EF20-4EBA-B3E9-328906AF29A7}"/>
    <cellStyle name="Normal 4 4 2 2 4 3" xfId="5170" xr:uid="{00000000-0005-0000-0000-000005150000}"/>
    <cellStyle name="Normal 4 4 2 2 4 3 2" xfId="13599" xr:uid="{EFA621BE-CA2F-4B2A-B08C-888840EEEEAE}"/>
    <cellStyle name="Normal 4 4 2 2 4 4" xfId="9381" xr:uid="{67D25FE2-40AF-4675-9919-8E9E72B96634}"/>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E3B46F2D-714C-4314-8606-A26AFC26AFCE}"/>
    <cellStyle name="Normal 4 4 2 2 5 2 3" xfId="11939" xr:uid="{1142CB01-3D6D-414E-8833-459CECC40F87}"/>
    <cellStyle name="Normal 4 4 2 2 5 3" xfId="5583" xr:uid="{00000000-0005-0000-0000-000009150000}"/>
    <cellStyle name="Normal 4 4 2 2 5 3 2" xfId="14012" xr:uid="{6504573F-8B0F-4DA7-A9A0-9C2E86702B21}"/>
    <cellStyle name="Normal 4 4 2 2 5 4" xfId="9794" xr:uid="{08A72329-2D6B-4F76-B8C3-13AA83026EA4}"/>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0A0F3539-EFCD-499A-9555-BF9C129FDD7B}"/>
    <cellStyle name="Normal 4 4 2 2 6 2 3" xfId="12352" xr:uid="{458C963A-2DC3-423A-BA62-BE33425E9AB7}"/>
    <cellStyle name="Normal 4 4 2 2 6 3" xfId="5996" xr:uid="{00000000-0005-0000-0000-00000D150000}"/>
    <cellStyle name="Normal 4 4 2 2 6 3 2" xfId="14425" xr:uid="{68626D8B-D3D5-4016-9E42-704F8B26F201}"/>
    <cellStyle name="Normal 4 4 2 2 6 4" xfId="10207" xr:uid="{100AB6C5-ED37-4D0B-B993-945AE39A32AB}"/>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E288D266-88BC-4533-B9D0-DBB33E9F760F}"/>
    <cellStyle name="Normal 4 4 2 2 7 2 3" xfId="12765" xr:uid="{F638379F-1A8E-4ACC-91BF-209EC77E1F72}"/>
    <cellStyle name="Normal 4 4 2 2 7 3" xfId="6409" xr:uid="{00000000-0005-0000-0000-000011150000}"/>
    <cellStyle name="Normal 4 4 2 2 7 3 2" xfId="14838" xr:uid="{1D23E7E6-6FB7-487D-85EE-6842C06E2A53}"/>
    <cellStyle name="Normal 4 4 2 2 7 4" xfId="10620" xr:uid="{15B18F1A-7418-4323-B3F9-0D4A899C176B}"/>
    <cellStyle name="Normal 4 4 2 2 8" xfId="2537" xr:uid="{00000000-0005-0000-0000-000012150000}"/>
    <cellStyle name="Normal 4 4 2 2 8 2" xfId="6822" xr:uid="{00000000-0005-0000-0000-000013150000}"/>
    <cellStyle name="Normal 4 4 2 2 8 2 2" xfId="15251" xr:uid="{B1B0D274-5F0D-4F98-9B11-196BAA0EC614}"/>
    <cellStyle name="Normal 4 4 2 2 8 3" xfId="11033" xr:uid="{6466473F-725C-46E1-874B-74EF9F4B205D}"/>
    <cellStyle name="Normal 4 4 2 2 9" xfId="4757" xr:uid="{00000000-0005-0000-0000-000014150000}"/>
    <cellStyle name="Normal 4 4 2 2 9 2" xfId="13186" xr:uid="{ECFB0EAC-05A1-44C5-9B38-BC05411D3D5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9ACB5387-FE57-400E-A538-063BA94A636E}"/>
    <cellStyle name="Normal 4 4 2 3 2 2 2 3" xfId="11531" xr:uid="{81D6A891-A713-409D-9F25-D9C8753C9F13}"/>
    <cellStyle name="Normal 4 4 2 3 2 2 3" xfId="5175" xr:uid="{00000000-0005-0000-0000-00001A150000}"/>
    <cellStyle name="Normal 4 4 2 3 2 2 3 2" xfId="13604" xr:uid="{BE7BB1A1-751A-43DE-BF4B-08F2C284C55A}"/>
    <cellStyle name="Normal 4 4 2 3 2 2 4" xfId="9386" xr:uid="{5B3464EA-A310-437C-8701-82ADCD6933C8}"/>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6C5300B3-43C4-43EF-97D9-341BB3B44BC2}"/>
    <cellStyle name="Normal 4 4 2 3 2 3 2 3" xfId="11944" xr:uid="{EC4D193E-BBAD-4025-A5B9-C40BD14E197A}"/>
    <cellStyle name="Normal 4 4 2 3 2 3 3" xfId="5588" xr:uid="{00000000-0005-0000-0000-00001E150000}"/>
    <cellStyle name="Normal 4 4 2 3 2 3 3 2" xfId="14017" xr:uid="{47EEEBCB-01E2-471D-997E-66A887DC9A82}"/>
    <cellStyle name="Normal 4 4 2 3 2 3 4" xfId="9799" xr:uid="{ACB7D61E-129C-457F-A0B3-9BA7AAA712D9}"/>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BBACA68A-FEAD-42CA-8F4D-2D8796C5523F}"/>
    <cellStyle name="Normal 4 4 2 3 2 4 2 3" xfId="12357" xr:uid="{A0961584-4830-4CF7-8D2D-96AA572EB6F8}"/>
    <cellStyle name="Normal 4 4 2 3 2 4 3" xfId="6001" xr:uid="{00000000-0005-0000-0000-000022150000}"/>
    <cellStyle name="Normal 4 4 2 3 2 4 3 2" xfId="14430" xr:uid="{4173E135-142F-4CE4-9099-90E9246ED67E}"/>
    <cellStyle name="Normal 4 4 2 3 2 4 4" xfId="10212" xr:uid="{A00BF1F6-194F-40E6-87AB-66BA98C9E14C}"/>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46B595E4-FAEA-4629-94CA-ED57440734F4}"/>
    <cellStyle name="Normal 4 4 2 3 2 5 2 3" xfId="12770" xr:uid="{DB869B81-DB4B-432F-9C04-DAA4211ECB49}"/>
    <cellStyle name="Normal 4 4 2 3 2 5 3" xfId="6414" xr:uid="{00000000-0005-0000-0000-000026150000}"/>
    <cellStyle name="Normal 4 4 2 3 2 5 3 2" xfId="14843" xr:uid="{5DC9DFA9-47D6-43A3-A15C-9D2A4379BCA9}"/>
    <cellStyle name="Normal 4 4 2 3 2 5 4" xfId="10625" xr:uid="{FFFA97C9-648A-4A67-900A-FE73D1072F21}"/>
    <cellStyle name="Normal 4 4 2 3 2 6" xfId="2542" xr:uid="{00000000-0005-0000-0000-000027150000}"/>
    <cellStyle name="Normal 4 4 2 3 2 6 2" xfId="6827" xr:uid="{00000000-0005-0000-0000-000028150000}"/>
    <cellStyle name="Normal 4 4 2 3 2 6 2 2" xfId="15256" xr:uid="{2CDE9517-0BE3-468A-A40A-7BE0E0447DD1}"/>
    <cellStyle name="Normal 4 4 2 3 2 6 3" xfId="11038" xr:uid="{703EA048-87EB-4B1E-90F7-5D35C0972C63}"/>
    <cellStyle name="Normal 4 4 2 3 2 7" xfId="4762" xr:uid="{00000000-0005-0000-0000-000029150000}"/>
    <cellStyle name="Normal 4 4 2 3 2 7 2" xfId="13191" xr:uid="{09C7E291-F417-4C53-A357-A021FAB3CC89}"/>
    <cellStyle name="Normal 4 4 2 3 2 8" xfId="8973" xr:uid="{C3A4D963-C333-4394-A122-97BFEC18E7DB}"/>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62A26336-93B1-4659-8AE1-A501F75934E4}"/>
    <cellStyle name="Normal 4 4 2 3 3 2 3" xfId="11530" xr:uid="{138002C5-1125-4848-8676-02079995B449}"/>
    <cellStyle name="Normal 4 4 2 3 3 3" xfId="5174" xr:uid="{00000000-0005-0000-0000-00002D150000}"/>
    <cellStyle name="Normal 4 4 2 3 3 3 2" xfId="13603" xr:uid="{1F6DCCC4-C119-421D-AF72-A3919CB2C155}"/>
    <cellStyle name="Normal 4 4 2 3 3 4" xfId="9385" xr:uid="{95291818-CE3D-4ACF-9CA7-5E7A15066E56}"/>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D3F1698E-5CC5-47AB-B94F-97EEF20D6576}"/>
    <cellStyle name="Normal 4 4 2 3 4 2 3" xfId="11943" xr:uid="{A6586C1B-A8D0-4CA5-B942-C52DFB6F84A0}"/>
    <cellStyle name="Normal 4 4 2 3 4 3" xfId="5587" xr:uid="{00000000-0005-0000-0000-000031150000}"/>
    <cellStyle name="Normal 4 4 2 3 4 3 2" xfId="14016" xr:uid="{5B0AD661-0CCD-4A9A-B8C2-762FE54B8D01}"/>
    <cellStyle name="Normal 4 4 2 3 4 4" xfId="9798" xr:uid="{7CEAF917-8155-492B-97B1-9EB25425BCB2}"/>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BC36C79A-F6CF-45CB-AB07-9A1D65521F8F}"/>
    <cellStyle name="Normal 4 4 2 3 5 2 3" xfId="12356" xr:uid="{5DAFAEC5-E2EC-4D3B-A5B9-B39FA650F8E6}"/>
    <cellStyle name="Normal 4 4 2 3 5 3" xfId="6000" xr:uid="{00000000-0005-0000-0000-000035150000}"/>
    <cellStyle name="Normal 4 4 2 3 5 3 2" xfId="14429" xr:uid="{4C5DF9B8-32AD-4B87-8E7D-1B4D0D43FB06}"/>
    <cellStyle name="Normal 4 4 2 3 5 4" xfId="10211" xr:uid="{5AD08939-F257-4438-BE4B-7374E9CBEC6D}"/>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8222B0DB-BC58-4341-92FA-E777B7E56BD6}"/>
    <cellStyle name="Normal 4 4 2 3 6 2 3" xfId="12769" xr:uid="{71725304-2EC5-49D5-84BF-2FB235A51F00}"/>
    <cellStyle name="Normal 4 4 2 3 6 3" xfId="6413" xr:uid="{00000000-0005-0000-0000-000039150000}"/>
    <cellStyle name="Normal 4 4 2 3 6 3 2" xfId="14842" xr:uid="{B866E5A8-11FA-4F43-9924-445140B366EF}"/>
    <cellStyle name="Normal 4 4 2 3 6 4" xfId="10624" xr:uid="{80926A36-9F16-4758-848C-78A8D14482ED}"/>
    <cellStyle name="Normal 4 4 2 3 7" xfId="2541" xr:uid="{00000000-0005-0000-0000-00003A150000}"/>
    <cellStyle name="Normal 4 4 2 3 7 2" xfId="6826" xr:uid="{00000000-0005-0000-0000-00003B150000}"/>
    <cellStyle name="Normal 4 4 2 3 7 2 2" xfId="15255" xr:uid="{39161ADD-8F44-46F0-8A60-5893128E7543}"/>
    <cellStyle name="Normal 4 4 2 3 7 3" xfId="11037" xr:uid="{2D52B072-825E-4D2B-9333-306E3447AC23}"/>
    <cellStyle name="Normal 4 4 2 3 8" xfId="4761" xr:uid="{00000000-0005-0000-0000-00003C150000}"/>
    <cellStyle name="Normal 4 4 2 3 8 2" xfId="13190" xr:uid="{C6CB4D33-BF2B-4C2E-B542-86AB3CFCB2C3}"/>
    <cellStyle name="Normal 4 4 2 3 9" xfId="8972" xr:uid="{E6CAD05E-4964-45D5-AC4C-1EC800CDC71D}"/>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B3898232-930E-44AF-82DC-23BBED2ED99C}"/>
    <cellStyle name="Normal 4 4 2 4 2 2 3" xfId="11532" xr:uid="{68D0AD98-8DA9-4BE1-A8DF-AF97B91A31E3}"/>
    <cellStyle name="Normal 4 4 2 4 2 3" xfId="5176" xr:uid="{00000000-0005-0000-0000-000041150000}"/>
    <cellStyle name="Normal 4 4 2 4 2 3 2" xfId="13605" xr:uid="{76C63B26-C635-4A0C-9F1A-99B3DC019ADF}"/>
    <cellStyle name="Normal 4 4 2 4 2 4" xfId="9387" xr:uid="{2FBE103C-DBAB-448B-A324-99306A6055BE}"/>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D9AAF85B-4ECB-4B36-93A4-8DD37B244569}"/>
    <cellStyle name="Normal 4 4 2 4 3 2 3" xfId="11945" xr:uid="{FCE26436-E13F-4D28-8D99-CBF6E94CD883}"/>
    <cellStyle name="Normal 4 4 2 4 3 3" xfId="5589" xr:uid="{00000000-0005-0000-0000-000045150000}"/>
    <cellStyle name="Normal 4 4 2 4 3 3 2" xfId="14018" xr:uid="{3BDEE231-B44E-46EC-8D36-5E46EC5F7537}"/>
    <cellStyle name="Normal 4 4 2 4 3 4" xfId="9800" xr:uid="{D5B75F6E-1884-4C67-AC4D-891F4FD9DA85}"/>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3BFB941E-4E7C-4006-AE8B-D8A6A08CB9DE}"/>
    <cellStyle name="Normal 4 4 2 4 4 2 3" xfId="12358" xr:uid="{555B8AEC-36F4-4A47-BB87-4D294E512806}"/>
    <cellStyle name="Normal 4 4 2 4 4 3" xfId="6002" xr:uid="{00000000-0005-0000-0000-000049150000}"/>
    <cellStyle name="Normal 4 4 2 4 4 3 2" xfId="14431" xr:uid="{19FAE1F2-51D7-4C89-8E03-DE446FF20CE2}"/>
    <cellStyle name="Normal 4 4 2 4 4 4" xfId="10213" xr:uid="{92D21575-7ECE-4AE0-97A7-A82DABCE4AEF}"/>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CD948E1C-E5CA-4220-8B3B-B9BB99C0124F}"/>
    <cellStyle name="Normal 4 4 2 4 5 2 3" xfId="12771" xr:uid="{7F0B055F-1247-4C1D-AF87-292E73532EBD}"/>
    <cellStyle name="Normal 4 4 2 4 5 3" xfId="6415" xr:uid="{00000000-0005-0000-0000-00004D150000}"/>
    <cellStyle name="Normal 4 4 2 4 5 3 2" xfId="14844" xr:uid="{52B82643-DE4E-4CDF-869B-94806ECA6F4A}"/>
    <cellStyle name="Normal 4 4 2 4 5 4" xfId="10626" xr:uid="{C097471A-5B15-487D-AE48-86910CAC8036}"/>
    <cellStyle name="Normal 4 4 2 4 6" xfId="2543" xr:uid="{00000000-0005-0000-0000-00004E150000}"/>
    <cellStyle name="Normal 4 4 2 4 6 2" xfId="6828" xr:uid="{00000000-0005-0000-0000-00004F150000}"/>
    <cellStyle name="Normal 4 4 2 4 6 2 2" xfId="15257" xr:uid="{DBB9853B-E45A-47AD-86BD-C15D79412C71}"/>
    <cellStyle name="Normal 4 4 2 4 6 3" xfId="11039" xr:uid="{4C1EC943-16DB-44C3-AD11-5EF108513AC2}"/>
    <cellStyle name="Normal 4 4 2 4 7" xfId="4763" xr:uid="{00000000-0005-0000-0000-000050150000}"/>
    <cellStyle name="Normal 4 4 2 4 7 2" xfId="13192" xr:uid="{986A2D63-FA31-4CAB-AD30-78E00D471BC7}"/>
    <cellStyle name="Normal 4 4 2 4 8" xfId="8974" xr:uid="{BB96C601-3167-4C9A-ADAB-9C3E7B006DED}"/>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270679FF-E8B2-465A-93F1-C595E7EBEBF8}"/>
    <cellStyle name="Normal 4 4 2 5 2 3" xfId="11525" xr:uid="{CE34BC58-CF1D-4AFC-9F10-5F4EB3CE8878}"/>
    <cellStyle name="Normal 4 4 2 5 3" xfId="5169" xr:uid="{00000000-0005-0000-0000-000054150000}"/>
    <cellStyle name="Normal 4 4 2 5 3 2" xfId="13598" xr:uid="{BA465FE0-0E9E-47AA-87AB-524009311C39}"/>
    <cellStyle name="Normal 4 4 2 5 4" xfId="9380" xr:uid="{41E939F1-7F4D-416C-B7E0-8C9B1FF33885}"/>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43426B2A-727F-4D96-8557-669DC5A12541}"/>
    <cellStyle name="Normal 4 4 2 6 2 3" xfId="11938" xr:uid="{0737F888-232D-41F7-B35D-E51685F8B236}"/>
    <cellStyle name="Normal 4 4 2 6 3" xfId="5582" xr:uid="{00000000-0005-0000-0000-000058150000}"/>
    <cellStyle name="Normal 4 4 2 6 3 2" xfId="14011" xr:uid="{C2BD99E3-A811-46BC-B0C9-0FFC1C11390F}"/>
    <cellStyle name="Normal 4 4 2 6 4" xfId="9793" xr:uid="{32B5C6B0-9530-4253-A7B8-EE27BFEB8DB5}"/>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A3297865-A72F-410B-B37C-2F1F74F3DE1C}"/>
    <cellStyle name="Normal 4 4 2 7 2 3" xfId="12351" xr:uid="{CC95B81B-1C28-48A8-A030-0F8B548FDFDF}"/>
    <cellStyle name="Normal 4 4 2 7 3" xfId="5995" xr:uid="{00000000-0005-0000-0000-00005C150000}"/>
    <cellStyle name="Normal 4 4 2 7 3 2" xfId="14424" xr:uid="{7296E3FA-30D6-4276-8404-26EF479E917A}"/>
    <cellStyle name="Normal 4 4 2 7 4" xfId="10206" xr:uid="{09EB1481-1BFB-4A84-BC13-B7D9F1457276}"/>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5F8836E8-07FB-45AD-BF35-6E163D612764}"/>
    <cellStyle name="Normal 4 4 2 8 2 3" xfId="12764" xr:uid="{5A426629-AAF0-4851-8BCF-8B9D6D9CEB03}"/>
    <cellStyle name="Normal 4 4 2 8 3" xfId="6408" xr:uid="{00000000-0005-0000-0000-000060150000}"/>
    <cellStyle name="Normal 4 4 2 8 3 2" xfId="14837" xr:uid="{35D92631-B557-405A-A0F1-D0EAF3E5F8E6}"/>
    <cellStyle name="Normal 4 4 2 8 4" xfId="10619" xr:uid="{52A782D9-A3C5-4FE5-A7A3-DE993798170F}"/>
    <cellStyle name="Normal 4 4 2 9" xfId="2536" xr:uid="{00000000-0005-0000-0000-000061150000}"/>
    <cellStyle name="Normal 4 4 2 9 2" xfId="6821" xr:uid="{00000000-0005-0000-0000-000062150000}"/>
    <cellStyle name="Normal 4 4 2 9 2 2" xfId="15250" xr:uid="{D3C28FE7-9121-45C1-A68D-85E56D5BC91E}"/>
    <cellStyle name="Normal 4 4 2 9 3" xfId="11032" xr:uid="{35799926-483B-402F-B133-70CD69E1D921}"/>
    <cellStyle name="Normal 4 4 3" xfId="387" xr:uid="{00000000-0005-0000-0000-000063150000}"/>
    <cellStyle name="Normal 4 4 3 10" xfId="8975" xr:uid="{1F4B6E9E-89F1-4607-8000-B16EB63E93E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4391E49C-B46E-4005-AAB2-1BDC967C9F12}"/>
    <cellStyle name="Normal 4 4 3 2 2 2 2 3" xfId="11535" xr:uid="{B2EB64DF-2D86-454C-950C-A3956BA45E8B}"/>
    <cellStyle name="Normal 4 4 3 2 2 2 3" xfId="5179" xr:uid="{00000000-0005-0000-0000-000069150000}"/>
    <cellStyle name="Normal 4 4 3 2 2 2 3 2" xfId="13608" xr:uid="{F4539144-66B4-4414-B839-A2C2F220A00F}"/>
    <cellStyle name="Normal 4 4 3 2 2 2 4" xfId="9390" xr:uid="{3084F335-CDB2-4F2D-8DC9-FA2902FD01E7}"/>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42178B4C-8415-466B-9639-5BE5F53C1BF1}"/>
    <cellStyle name="Normal 4 4 3 2 2 3 2 3" xfId="11948" xr:uid="{6C6DA6D9-E98E-4A3B-839A-CE39075B3C5F}"/>
    <cellStyle name="Normal 4 4 3 2 2 3 3" xfId="5592" xr:uid="{00000000-0005-0000-0000-00006D150000}"/>
    <cellStyle name="Normal 4 4 3 2 2 3 3 2" xfId="14021" xr:uid="{6F7FCBAE-0B4B-45A3-BE69-D4D4DC7E0614}"/>
    <cellStyle name="Normal 4 4 3 2 2 3 4" xfId="9803" xr:uid="{AF77E083-3A96-4045-95D4-6FA146938696}"/>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19084876-DF6D-40DA-9B20-CB3127770CBC}"/>
    <cellStyle name="Normal 4 4 3 2 2 4 2 3" xfId="12361" xr:uid="{6C9EC6E5-BB38-4D82-87F7-AB289243F1C6}"/>
    <cellStyle name="Normal 4 4 3 2 2 4 3" xfId="6005" xr:uid="{00000000-0005-0000-0000-000071150000}"/>
    <cellStyle name="Normal 4 4 3 2 2 4 3 2" xfId="14434" xr:uid="{372D688A-7C63-4B99-BD73-FF2535A2CFE3}"/>
    <cellStyle name="Normal 4 4 3 2 2 4 4" xfId="10216" xr:uid="{96635CA3-8DF4-4F5E-B90E-BF28AA69BFF4}"/>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4B4D0F80-515F-439E-BEC8-B9306EF5E614}"/>
    <cellStyle name="Normal 4 4 3 2 2 5 2 3" xfId="12774" xr:uid="{AB709588-9053-45E2-93D2-8CD8E68EBB20}"/>
    <cellStyle name="Normal 4 4 3 2 2 5 3" xfId="6418" xr:uid="{00000000-0005-0000-0000-000075150000}"/>
    <cellStyle name="Normal 4 4 3 2 2 5 3 2" xfId="14847" xr:uid="{2216720B-DF44-45D3-99AA-551CE73D786A}"/>
    <cellStyle name="Normal 4 4 3 2 2 5 4" xfId="10629" xr:uid="{00B6AFFD-1A4C-40FA-8F00-3ADBF0EA9D24}"/>
    <cellStyle name="Normal 4 4 3 2 2 6" xfId="2546" xr:uid="{00000000-0005-0000-0000-000076150000}"/>
    <cellStyle name="Normal 4 4 3 2 2 6 2" xfId="6831" xr:uid="{00000000-0005-0000-0000-000077150000}"/>
    <cellStyle name="Normal 4 4 3 2 2 6 2 2" xfId="15260" xr:uid="{7880CE5F-D910-46F1-9E94-7C0659EB389E}"/>
    <cellStyle name="Normal 4 4 3 2 2 6 3" xfId="11042" xr:uid="{59299385-680A-44EF-BFDC-12B937A9B114}"/>
    <cellStyle name="Normal 4 4 3 2 2 7" xfId="4766" xr:uid="{00000000-0005-0000-0000-000078150000}"/>
    <cellStyle name="Normal 4 4 3 2 2 7 2" xfId="13195" xr:uid="{454D5DBB-A958-4FF9-988D-81FAC0A63E92}"/>
    <cellStyle name="Normal 4 4 3 2 2 8" xfId="8977" xr:uid="{39974726-2334-4553-A841-AA31BF826CB3}"/>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1127C7BF-E5A8-4414-B226-25441C4D69E8}"/>
    <cellStyle name="Normal 4 4 3 2 3 2 3" xfId="11534" xr:uid="{BBD414F4-F4F5-417E-B7C5-58033E31E27D}"/>
    <cellStyle name="Normal 4 4 3 2 3 3" xfId="5178" xr:uid="{00000000-0005-0000-0000-00007C150000}"/>
    <cellStyle name="Normal 4 4 3 2 3 3 2" xfId="13607" xr:uid="{FE63C5F8-7E9E-4113-A866-860D53C54045}"/>
    <cellStyle name="Normal 4 4 3 2 3 4" xfId="9389" xr:uid="{BC161F0D-FB88-44D4-9ECA-D9EA573985A7}"/>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E0BF2E02-3EA8-44D3-957B-2F8C6A32756A}"/>
    <cellStyle name="Normal 4 4 3 2 4 2 3" xfId="11947" xr:uid="{615F87A5-D48F-4795-9967-81F5456F70EA}"/>
    <cellStyle name="Normal 4 4 3 2 4 3" xfId="5591" xr:uid="{00000000-0005-0000-0000-000080150000}"/>
    <cellStyle name="Normal 4 4 3 2 4 3 2" xfId="14020" xr:uid="{D04A7B94-B7C6-49D1-8C57-DAAA1FD7DE9D}"/>
    <cellStyle name="Normal 4 4 3 2 4 4" xfId="9802" xr:uid="{0DE9F024-FBCB-44FA-AAC3-8523CA152901}"/>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7AA882A8-EFCC-4DD4-A3DF-B3B5F1120FAB}"/>
    <cellStyle name="Normal 4 4 3 2 5 2 3" xfId="12360" xr:uid="{21989A1B-A02B-4C30-9E55-C113B7A168BA}"/>
    <cellStyle name="Normal 4 4 3 2 5 3" xfId="6004" xr:uid="{00000000-0005-0000-0000-000084150000}"/>
    <cellStyle name="Normal 4 4 3 2 5 3 2" xfId="14433" xr:uid="{4FD49C9A-86E0-4BE7-AF1A-83E84771314F}"/>
    <cellStyle name="Normal 4 4 3 2 5 4" xfId="10215" xr:uid="{F7EB0D40-2722-4798-926A-223404DE257A}"/>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4D691814-FE25-4F6C-8975-12D6C0D2974D}"/>
    <cellStyle name="Normal 4 4 3 2 6 2 3" xfId="12773" xr:uid="{A297C7EF-8675-4558-91BD-54A2D7B8DD61}"/>
    <cellStyle name="Normal 4 4 3 2 6 3" xfId="6417" xr:uid="{00000000-0005-0000-0000-000088150000}"/>
    <cellStyle name="Normal 4 4 3 2 6 3 2" xfId="14846" xr:uid="{2E639AA4-4E3F-4283-A24F-86B9201E519C}"/>
    <cellStyle name="Normal 4 4 3 2 6 4" xfId="10628" xr:uid="{F2109526-0E45-4935-BC50-0157C4508326}"/>
    <cellStyle name="Normal 4 4 3 2 7" xfId="2545" xr:uid="{00000000-0005-0000-0000-000089150000}"/>
    <cellStyle name="Normal 4 4 3 2 7 2" xfId="6830" xr:uid="{00000000-0005-0000-0000-00008A150000}"/>
    <cellStyle name="Normal 4 4 3 2 7 2 2" xfId="15259" xr:uid="{3B8E66C1-69BB-4C43-8073-090746D17040}"/>
    <cellStyle name="Normal 4 4 3 2 7 3" xfId="11041" xr:uid="{3202E041-8023-4C45-8963-5A2FDE4475AB}"/>
    <cellStyle name="Normal 4 4 3 2 8" xfId="4765" xr:uid="{00000000-0005-0000-0000-00008B150000}"/>
    <cellStyle name="Normal 4 4 3 2 8 2" xfId="13194" xr:uid="{B1533BF7-E198-44DB-920C-E3D82F72F4BC}"/>
    <cellStyle name="Normal 4 4 3 2 9" xfId="8976" xr:uid="{F1FAD5F4-B0BD-4581-B819-A64C72AA5584}"/>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7C9B627B-AF14-4937-B872-9FCCAA4B277C}"/>
    <cellStyle name="Normal 4 4 3 3 2 2 3" xfId="11536" xr:uid="{36AFD532-EBEA-4041-8FE7-D9E15846410E}"/>
    <cellStyle name="Normal 4 4 3 3 2 3" xfId="5180" xr:uid="{00000000-0005-0000-0000-000090150000}"/>
    <cellStyle name="Normal 4 4 3 3 2 3 2" xfId="13609" xr:uid="{FACB576B-5B2A-4E29-9D06-9FD930B9862F}"/>
    <cellStyle name="Normal 4 4 3 3 2 4" xfId="9391" xr:uid="{FE74C470-AC58-4D23-BDE7-73488C5CC051}"/>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D5AC92FD-780D-4B61-B1DF-157B48A05BED}"/>
    <cellStyle name="Normal 4 4 3 3 3 2 3" xfId="11949" xr:uid="{F5D86316-1543-4989-A74E-240B8DBF815F}"/>
    <cellStyle name="Normal 4 4 3 3 3 3" xfId="5593" xr:uid="{00000000-0005-0000-0000-000094150000}"/>
    <cellStyle name="Normal 4 4 3 3 3 3 2" xfId="14022" xr:uid="{569FC72D-F235-48A1-AFC9-B351B1401B76}"/>
    <cellStyle name="Normal 4 4 3 3 3 4" xfId="9804" xr:uid="{C64CBA66-3221-490C-8490-EEE881777B42}"/>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066B1F03-8196-494C-9678-4A919747EB3F}"/>
    <cellStyle name="Normal 4 4 3 3 4 2 3" xfId="12362" xr:uid="{31651AD7-A9CE-461B-A5C0-BF060EB6C300}"/>
    <cellStyle name="Normal 4 4 3 3 4 3" xfId="6006" xr:uid="{00000000-0005-0000-0000-000098150000}"/>
    <cellStyle name="Normal 4 4 3 3 4 3 2" xfId="14435" xr:uid="{5D5DF6E2-2AEE-4739-942B-1A77913CB87E}"/>
    <cellStyle name="Normal 4 4 3 3 4 4" xfId="10217" xr:uid="{347D00F8-C1F8-4723-A3FC-9DA6DD1BBE74}"/>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370E9741-2E45-4FB2-86EE-A0E7B3992BB3}"/>
    <cellStyle name="Normal 4 4 3 3 5 2 3" xfId="12775" xr:uid="{C7C5981C-2A40-43F6-A655-BD1795F244A5}"/>
    <cellStyle name="Normal 4 4 3 3 5 3" xfId="6419" xr:uid="{00000000-0005-0000-0000-00009C150000}"/>
    <cellStyle name="Normal 4 4 3 3 5 3 2" xfId="14848" xr:uid="{23E2823B-AF64-4DC9-BF84-6F6A2E0A2214}"/>
    <cellStyle name="Normal 4 4 3 3 5 4" xfId="10630" xr:uid="{78756B62-215E-4F29-8130-909B8EA6F5BC}"/>
    <cellStyle name="Normal 4 4 3 3 6" xfId="2547" xr:uid="{00000000-0005-0000-0000-00009D150000}"/>
    <cellStyle name="Normal 4 4 3 3 6 2" xfId="6832" xr:uid="{00000000-0005-0000-0000-00009E150000}"/>
    <cellStyle name="Normal 4 4 3 3 6 2 2" xfId="15261" xr:uid="{C4471B55-13D7-4BCB-879D-DFF44724516F}"/>
    <cellStyle name="Normal 4 4 3 3 6 3" xfId="11043" xr:uid="{B4D31EB8-A347-433C-9ADB-8BFA3F9F6A47}"/>
    <cellStyle name="Normal 4 4 3 3 7" xfId="4767" xr:uid="{00000000-0005-0000-0000-00009F150000}"/>
    <cellStyle name="Normal 4 4 3 3 7 2" xfId="13196" xr:uid="{60A9298A-7887-43AD-AD73-480DBC79A71C}"/>
    <cellStyle name="Normal 4 4 3 3 8" xfId="8978" xr:uid="{5D145B41-5F48-4FD3-9C10-2CB6CF9A8E5D}"/>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33759C4C-9B11-4FAD-A47F-AF8330D3689F}"/>
    <cellStyle name="Normal 4 4 3 4 2 3" xfId="11533" xr:uid="{2DEE027C-F5CC-4B77-B01E-594A597B97C8}"/>
    <cellStyle name="Normal 4 4 3 4 3" xfId="5177" xr:uid="{00000000-0005-0000-0000-0000A3150000}"/>
    <cellStyle name="Normal 4 4 3 4 3 2" xfId="13606" xr:uid="{C2C1EA91-5F8B-4C90-8064-5E3960033321}"/>
    <cellStyle name="Normal 4 4 3 4 4" xfId="9388" xr:uid="{BCD01AD2-4146-49B9-A23C-E5AA2A373652}"/>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A4C1D1D2-E47F-4661-9C60-C3D0558126DA}"/>
    <cellStyle name="Normal 4 4 3 5 2 3" xfId="11946" xr:uid="{1BFBF190-FD18-4EA0-B2F0-1B96B72B9C5E}"/>
    <cellStyle name="Normal 4 4 3 5 3" xfId="5590" xr:uid="{00000000-0005-0000-0000-0000A7150000}"/>
    <cellStyle name="Normal 4 4 3 5 3 2" xfId="14019" xr:uid="{81813A57-311E-409B-A6EE-E8240B1DDAF5}"/>
    <cellStyle name="Normal 4 4 3 5 4" xfId="9801" xr:uid="{170ADDE5-BEAE-44B1-8F0F-0E1B7204F693}"/>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A9F44550-9265-4B13-B841-5BDA2938C336}"/>
    <cellStyle name="Normal 4 4 3 6 2 3" xfId="12359" xr:uid="{DEC82D07-1E9D-43C5-8C84-EB0820616BD4}"/>
    <cellStyle name="Normal 4 4 3 6 3" xfId="6003" xr:uid="{00000000-0005-0000-0000-0000AB150000}"/>
    <cellStyle name="Normal 4 4 3 6 3 2" xfId="14432" xr:uid="{E07CD389-FE36-4F9C-9C4A-5C10E118DD7D}"/>
    <cellStyle name="Normal 4 4 3 6 4" xfId="10214" xr:uid="{2BF7C105-032A-4623-BFAB-53DFBD263339}"/>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E1789042-BA0E-4EFE-B248-7B6E0C7586B6}"/>
    <cellStyle name="Normal 4 4 3 7 2 3" xfId="12772" xr:uid="{DCDEDD29-DE8D-412C-8498-82C8DAB4F994}"/>
    <cellStyle name="Normal 4 4 3 7 3" xfId="6416" xr:uid="{00000000-0005-0000-0000-0000AF150000}"/>
    <cellStyle name="Normal 4 4 3 7 3 2" xfId="14845" xr:uid="{85BC503E-CFCF-45FE-935A-9E03E2B14C8F}"/>
    <cellStyle name="Normal 4 4 3 7 4" xfId="10627" xr:uid="{C282FEA0-7A6C-46CD-9BDC-F2ECD0FDCFA2}"/>
    <cellStyle name="Normal 4 4 3 8" xfId="2544" xr:uid="{00000000-0005-0000-0000-0000B0150000}"/>
    <cellStyle name="Normal 4 4 3 8 2" xfId="6829" xr:uid="{00000000-0005-0000-0000-0000B1150000}"/>
    <cellStyle name="Normal 4 4 3 8 2 2" xfId="15258" xr:uid="{5BE663AA-71D1-448A-97CD-5E690B2E33F4}"/>
    <cellStyle name="Normal 4 4 3 8 3" xfId="11040" xr:uid="{40FE5DA8-07F1-43AA-B26E-CFF770ADE3DB}"/>
    <cellStyle name="Normal 4 4 3 9" xfId="4764" xr:uid="{00000000-0005-0000-0000-0000B2150000}"/>
    <cellStyle name="Normal 4 4 3 9 2" xfId="13193" xr:uid="{F5AB8727-0485-47AE-B3C1-2C28677B4CDC}"/>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05379E6A-3B24-4663-B32F-38FCE108A81F}"/>
    <cellStyle name="Normal 4 4 4 2 2 2 3" xfId="11538" xr:uid="{6250BF38-9B81-447A-BD55-CC5C01B0DCD7}"/>
    <cellStyle name="Normal 4 4 4 2 2 3" xfId="5182" xr:uid="{00000000-0005-0000-0000-0000B8150000}"/>
    <cellStyle name="Normal 4 4 4 2 2 3 2" xfId="13611" xr:uid="{5DD3C7F6-07E3-4D1D-8C36-5D8072386DC0}"/>
    <cellStyle name="Normal 4 4 4 2 2 4" xfId="9393" xr:uid="{4B2077BE-EF74-4F86-B201-80B8A5465A11}"/>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9520CAA8-75A5-424B-8BB3-594E062567B1}"/>
    <cellStyle name="Normal 4 4 4 2 3 2 3" xfId="11951" xr:uid="{8FE57EC7-ABB2-4C0F-B3D0-EA81E7A7AACA}"/>
    <cellStyle name="Normal 4 4 4 2 3 3" xfId="5595" xr:uid="{00000000-0005-0000-0000-0000BC150000}"/>
    <cellStyle name="Normal 4 4 4 2 3 3 2" xfId="14024" xr:uid="{9ABB7C31-D5B8-4B7E-8F42-664C11F3758F}"/>
    <cellStyle name="Normal 4 4 4 2 3 4" xfId="9806" xr:uid="{E752E12D-1D0D-48D7-9DA8-6CDDFA43DA62}"/>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454AB1F1-5B53-40A0-8D79-C4DEAD6B0EEB}"/>
    <cellStyle name="Normal 4 4 4 2 4 2 3" xfId="12364" xr:uid="{E514EE85-0355-47D2-A123-92AF93B61714}"/>
    <cellStyle name="Normal 4 4 4 2 4 3" xfId="6008" xr:uid="{00000000-0005-0000-0000-0000C0150000}"/>
    <cellStyle name="Normal 4 4 4 2 4 3 2" xfId="14437" xr:uid="{EF76FF22-6294-4BDA-AE31-74636985C1A3}"/>
    <cellStyle name="Normal 4 4 4 2 4 4" xfId="10219" xr:uid="{0C675BB3-615E-4518-8D6B-0DDD78AA9BDD}"/>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F67C52B7-B026-44EB-9E10-38A27D4ADEC7}"/>
    <cellStyle name="Normal 4 4 4 2 5 2 3" xfId="12777" xr:uid="{116EB403-9E17-44D5-97DF-B0323E3ABFC8}"/>
    <cellStyle name="Normal 4 4 4 2 5 3" xfId="6421" xr:uid="{00000000-0005-0000-0000-0000C4150000}"/>
    <cellStyle name="Normal 4 4 4 2 5 3 2" xfId="14850" xr:uid="{E20E533D-A204-40B7-9E2E-7BA8F93FB1E4}"/>
    <cellStyle name="Normal 4 4 4 2 5 4" xfId="10632" xr:uid="{318A05E7-15A2-4BCC-B7FD-AF47E07D0A21}"/>
    <cellStyle name="Normal 4 4 4 2 6" xfId="2549" xr:uid="{00000000-0005-0000-0000-0000C5150000}"/>
    <cellStyle name="Normal 4 4 4 2 6 2" xfId="6834" xr:uid="{00000000-0005-0000-0000-0000C6150000}"/>
    <cellStyle name="Normal 4 4 4 2 6 2 2" xfId="15263" xr:uid="{AB206FFE-683B-4EBC-8A66-40113B7A1769}"/>
    <cellStyle name="Normal 4 4 4 2 6 3" xfId="11045" xr:uid="{346B472A-D7CE-42AB-B528-4015D0F9B0CF}"/>
    <cellStyle name="Normal 4 4 4 2 7" xfId="4769" xr:uid="{00000000-0005-0000-0000-0000C7150000}"/>
    <cellStyle name="Normal 4 4 4 2 7 2" xfId="13198" xr:uid="{FAAF44A0-1DD6-4C03-B0F0-26CCB0A35551}"/>
    <cellStyle name="Normal 4 4 4 2 8" xfId="8980" xr:uid="{0329AAD9-C61A-47AC-8955-E9942966C2BA}"/>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31C98032-20AD-4848-A3FB-AE975969B89F}"/>
    <cellStyle name="Normal 4 4 4 3 2 3" xfId="11537" xr:uid="{4192E263-FBE0-4811-9BF5-3C8CEA24CB20}"/>
    <cellStyle name="Normal 4 4 4 3 3" xfId="5181" xr:uid="{00000000-0005-0000-0000-0000CB150000}"/>
    <cellStyle name="Normal 4 4 4 3 3 2" xfId="13610" xr:uid="{8246C2A8-74FF-4B5F-909E-661E80FF1FF9}"/>
    <cellStyle name="Normal 4 4 4 3 4" xfId="9392" xr:uid="{7B1D64CE-F45F-413F-B667-B62D59B6E6D3}"/>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6A61A797-8215-4F4F-9B0B-BA6DADCC097C}"/>
    <cellStyle name="Normal 4 4 4 4 2 3" xfId="11950" xr:uid="{D82BD4EF-75A4-4AD1-A183-AE0EC529C0B3}"/>
    <cellStyle name="Normal 4 4 4 4 3" xfId="5594" xr:uid="{00000000-0005-0000-0000-0000CF150000}"/>
    <cellStyle name="Normal 4 4 4 4 3 2" xfId="14023" xr:uid="{B0168A56-99FE-4C16-8E2B-CA24D26A75F6}"/>
    <cellStyle name="Normal 4 4 4 4 4" xfId="9805" xr:uid="{0910A749-B2C4-4D7E-9941-35BA9D40218A}"/>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86A273B8-1418-4FBB-B6A3-5637D4B3504D}"/>
    <cellStyle name="Normal 4 4 4 5 2 3" xfId="12363" xr:uid="{FE6FBDA8-EE2C-4A5A-BCA5-020009D86DEF}"/>
    <cellStyle name="Normal 4 4 4 5 3" xfId="6007" xr:uid="{00000000-0005-0000-0000-0000D3150000}"/>
    <cellStyle name="Normal 4 4 4 5 3 2" xfId="14436" xr:uid="{5BDC655E-01C9-46AC-8FE3-7C9EF13DA493}"/>
    <cellStyle name="Normal 4 4 4 5 4" xfId="10218" xr:uid="{F46FBAF5-3DA1-4053-B543-11B2B7A79C57}"/>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7A171C69-E7E8-4303-84B1-BA67BD20D01A}"/>
    <cellStyle name="Normal 4 4 4 6 2 3" xfId="12776" xr:uid="{44F3955C-766D-4C0A-BAE3-858F768918B0}"/>
    <cellStyle name="Normal 4 4 4 6 3" xfId="6420" xr:uid="{00000000-0005-0000-0000-0000D7150000}"/>
    <cellStyle name="Normal 4 4 4 6 3 2" xfId="14849" xr:uid="{D3099328-5449-4682-A8F0-49A1A31E0C46}"/>
    <cellStyle name="Normal 4 4 4 6 4" xfId="10631" xr:uid="{2C2816B0-AE34-40F9-9204-EB8DD5A8BE4B}"/>
    <cellStyle name="Normal 4 4 4 7" xfId="2548" xr:uid="{00000000-0005-0000-0000-0000D8150000}"/>
    <cellStyle name="Normal 4 4 4 7 2" xfId="6833" xr:uid="{00000000-0005-0000-0000-0000D9150000}"/>
    <cellStyle name="Normal 4 4 4 7 2 2" xfId="15262" xr:uid="{82443015-CC77-4623-B5B3-743AC1E7A502}"/>
    <cellStyle name="Normal 4 4 4 7 3" xfId="11044" xr:uid="{D74D975C-494E-4990-9639-D3450178E617}"/>
    <cellStyle name="Normal 4 4 4 8" xfId="4768" xr:uid="{00000000-0005-0000-0000-0000DA150000}"/>
    <cellStyle name="Normal 4 4 4 8 2" xfId="13197" xr:uid="{F0ECB190-3E10-44D2-99E6-4728B67C0304}"/>
    <cellStyle name="Normal 4 4 4 9" xfId="8979" xr:uid="{B5802034-6A32-40D8-9EF4-C97B30465D36}"/>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7F95C96B-39D9-44B7-8EC9-D46275F99A3B}"/>
    <cellStyle name="Normal 4 4 5 2 2 3" xfId="11539" xr:uid="{F63AE710-8367-4EC9-AB73-637341F5FA14}"/>
    <cellStyle name="Normal 4 4 5 2 3" xfId="5183" xr:uid="{00000000-0005-0000-0000-0000DF150000}"/>
    <cellStyle name="Normal 4 4 5 2 3 2" xfId="13612" xr:uid="{77C5720F-5383-4A59-9003-8705265DFFF2}"/>
    <cellStyle name="Normal 4 4 5 2 4" xfId="9394" xr:uid="{33A9F4FD-D45A-4153-927A-9797F4F117BC}"/>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7A1EEED3-8668-4160-9523-5D0F5607DD02}"/>
    <cellStyle name="Normal 4 4 5 3 2 3" xfId="11952" xr:uid="{EC2E3B35-49D8-4638-95A3-B428D4765CCC}"/>
    <cellStyle name="Normal 4 4 5 3 3" xfId="5596" xr:uid="{00000000-0005-0000-0000-0000E3150000}"/>
    <cellStyle name="Normal 4 4 5 3 3 2" xfId="14025" xr:uid="{6F7ED952-1D55-498D-AC88-A41F83DF96AA}"/>
    <cellStyle name="Normal 4 4 5 3 4" xfId="9807" xr:uid="{0F85B6C2-EE13-4E4C-BAED-2865A9434C16}"/>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F244318A-5966-4CC2-85E1-0427B23BC2B4}"/>
    <cellStyle name="Normal 4 4 5 4 2 3" xfId="12365" xr:uid="{24838ED8-595A-459F-8758-830516DDD0A8}"/>
    <cellStyle name="Normal 4 4 5 4 3" xfId="6009" xr:uid="{00000000-0005-0000-0000-0000E7150000}"/>
    <cellStyle name="Normal 4 4 5 4 3 2" xfId="14438" xr:uid="{F0782869-98DA-4D63-B7E7-76439A549F37}"/>
    <cellStyle name="Normal 4 4 5 4 4" xfId="10220" xr:uid="{B5BCF1F2-A067-4AC4-A617-676E69041D49}"/>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B284B152-5DBF-4EF9-A4CD-A3B7BD5A28B7}"/>
    <cellStyle name="Normal 4 4 5 5 2 3" xfId="12778" xr:uid="{B4D2A15D-1CC5-47CF-AF94-2C045CEB5C64}"/>
    <cellStyle name="Normal 4 4 5 5 3" xfId="6422" xr:uid="{00000000-0005-0000-0000-0000EB150000}"/>
    <cellStyle name="Normal 4 4 5 5 3 2" xfId="14851" xr:uid="{967D2872-9B5A-4760-85EA-92248B67300E}"/>
    <cellStyle name="Normal 4 4 5 5 4" xfId="10633" xr:uid="{894F260C-1ADB-4C8F-BFA0-A39F9D1C83A9}"/>
    <cellStyle name="Normal 4 4 5 6" xfId="2550" xr:uid="{00000000-0005-0000-0000-0000EC150000}"/>
    <cellStyle name="Normal 4 4 5 6 2" xfId="6835" xr:uid="{00000000-0005-0000-0000-0000ED150000}"/>
    <cellStyle name="Normal 4 4 5 6 2 2" xfId="15264" xr:uid="{FAFBAD41-D238-4949-B83B-11262ECF1381}"/>
    <cellStyle name="Normal 4 4 5 6 3" xfId="11046" xr:uid="{07BFF9A6-6ECB-48D4-99D8-9A0BD923EFB1}"/>
    <cellStyle name="Normal 4 4 5 7" xfId="4770" xr:uid="{00000000-0005-0000-0000-0000EE150000}"/>
    <cellStyle name="Normal 4 4 5 7 2" xfId="13199" xr:uid="{068917CF-5394-45B3-A319-64449A1C3B9B}"/>
    <cellStyle name="Normal 4 4 5 8" xfId="8981" xr:uid="{0C5EC6B9-E5CD-4703-919B-98E189B3894E}"/>
    <cellStyle name="Normal 4 4 6" xfId="854" xr:uid="{00000000-0005-0000-0000-0000EF150000}"/>
    <cellStyle name="Normal 4 4 6 2" xfId="3089" xr:uid="{00000000-0005-0000-0000-0000F0150000}"/>
    <cellStyle name="Normal 4 4 6 2 2" xfId="7313" xr:uid="{00000000-0005-0000-0000-0000F1150000}"/>
    <cellStyle name="Normal 4 4 6 2 2 2" xfId="15742" xr:uid="{0266DCD7-FBF1-4E3C-9EF1-C780E9C98AF7}"/>
    <cellStyle name="Normal 4 4 6 2 3" xfId="11524" xr:uid="{8C188416-CEC6-47DE-A96E-EC4814513877}"/>
    <cellStyle name="Normal 4 4 6 3" xfId="5168" xr:uid="{00000000-0005-0000-0000-0000F2150000}"/>
    <cellStyle name="Normal 4 4 6 3 2" xfId="13597" xr:uid="{AB6ED789-A006-4264-B152-63CFF25B17EC}"/>
    <cellStyle name="Normal 4 4 6 4" xfId="9379" xr:uid="{50C8F7D7-D62B-4BE9-9BB6-432715052373}"/>
    <cellStyle name="Normal 4 4 7" xfId="1272" xr:uid="{00000000-0005-0000-0000-0000F3150000}"/>
    <cellStyle name="Normal 4 4 7 2" xfId="3502" xr:uid="{00000000-0005-0000-0000-0000F4150000}"/>
    <cellStyle name="Normal 4 4 7 2 2" xfId="7726" xr:uid="{00000000-0005-0000-0000-0000F5150000}"/>
    <cellStyle name="Normal 4 4 7 2 2 2" xfId="16155" xr:uid="{6955E60F-1981-400C-A40C-A01C8259A01A}"/>
    <cellStyle name="Normal 4 4 7 2 3" xfId="11937" xr:uid="{FE6A8680-905D-4E08-A572-B983E15A6C47}"/>
    <cellStyle name="Normal 4 4 7 3" xfId="5581" xr:uid="{00000000-0005-0000-0000-0000F6150000}"/>
    <cellStyle name="Normal 4 4 7 3 2" xfId="14010" xr:uid="{380F1902-FB69-461D-BB06-1ED66F8D8B78}"/>
    <cellStyle name="Normal 4 4 7 4" xfId="9792" xr:uid="{442316C2-9741-43E9-9666-5F2B8183AFD8}"/>
    <cellStyle name="Normal 4 4 8" xfId="1685" xr:uid="{00000000-0005-0000-0000-0000F7150000}"/>
    <cellStyle name="Normal 4 4 8 2" xfId="3915" xr:uid="{00000000-0005-0000-0000-0000F8150000}"/>
    <cellStyle name="Normal 4 4 8 2 2" xfId="8139" xr:uid="{00000000-0005-0000-0000-0000F9150000}"/>
    <cellStyle name="Normal 4 4 8 2 2 2" xfId="16568" xr:uid="{BAE8EE0F-ABB8-4164-B455-3FBAD21EED7B}"/>
    <cellStyle name="Normal 4 4 8 2 3" xfId="12350" xr:uid="{6D3D5ECE-587B-44B3-8D05-47D293076713}"/>
    <cellStyle name="Normal 4 4 8 3" xfId="5994" xr:uid="{00000000-0005-0000-0000-0000FA150000}"/>
    <cellStyle name="Normal 4 4 8 3 2" xfId="14423" xr:uid="{E29A2AA7-BAA7-42BA-B399-961B89A901FC}"/>
    <cellStyle name="Normal 4 4 8 4" xfId="10205" xr:uid="{3AA9BE27-878E-4430-BD2C-A3C3DF66FE1C}"/>
    <cellStyle name="Normal 4 4 9" xfId="2099" xr:uid="{00000000-0005-0000-0000-0000FB150000}"/>
    <cellStyle name="Normal 4 4 9 2" xfId="4328" xr:uid="{00000000-0005-0000-0000-0000FC150000}"/>
    <cellStyle name="Normal 4 4 9 2 2" xfId="8552" xr:uid="{00000000-0005-0000-0000-0000FD150000}"/>
    <cellStyle name="Normal 4 4 9 2 2 2" xfId="16981" xr:uid="{8BDE3231-9502-42EE-98C4-2BE6A3657F06}"/>
    <cellStyle name="Normal 4 4 9 2 3" xfId="12763" xr:uid="{A392DE4F-ECDE-48C4-B4BC-38DD0D0DE422}"/>
    <cellStyle name="Normal 4 4 9 3" xfId="6407" xr:uid="{00000000-0005-0000-0000-0000FE150000}"/>
    <cellStyle name="Normal 4 4 9 3 2" xfId="14836" xr:uid="{39D78511-DCED-4850-9369-1731C85037C7}"/>
    <cellStyle name="Normal 4 4 9 4" xfId="10618" xr:uid="{AE1E5993-DCC2-4D69-84B9-6F34F513FC52}"/>
    <cellStyle name="Normal 4 5" xfId="394" xr:uid="{00000000-0005-0000-0000-0000FF150000}"/>
    <cellStyle name="Normal 4 6" xfId="395" xr:uid="{00000000-0005-0000-0000-000000160000}"/>
    <cellStyle name="Normal 4 6 10" xfId="4771" xr:uid="{00000000-0005-0000-0000-000001160000}"/>
    <cellStyle name="Normal 4 6 10 2" xfId="13200" xr:uid="{D8CDFCE2-120E-4805-A91F-09704A39382A}"/>
    <cellStyle name="Normal 4 6 11" xfId="8982" xr:uid="{474F2CD3-955A-4E20-99B5-505DE60C868C}"/>
    <cellStyle name="Normal 4 6 2" xfId="396" xr:uid="{00000000-0005-0000-0000-000002160000}"/>
    <cellStyle name="Normal 4 6 2 10" xfId="8983" xr:uid="{0498B6CF-FD53-4F46-8FA9-8DFB860A90AC}"/>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AC3917CA-7CD0-44AD-9C6C-DC40E0F4D0C6}"/>
    <cellStyle name="Normal 4 6 2 2 2 2 2 3" xfId="11543" xr:uid="{03D612D1-6C6C-499B-B32D-BBED675466B2}"/>
    <cellStyle name="Normal 4 6 2 2 2 2 3" xfId="5187" xr:uid="{00000000-0005-0000-0000-000008160000}"/>
    <cellStyle name="Normal 4 6 2 2 2 2 3 2" xfId="13616" xr:uid="{1D711079-F3AA-4338-BDA9-FF895064CA9A}"/>
    <cellStyle name="Normal 4 6 2 2 2 2 4" xfId="9398" xr:uid="{C14297C2-B7C8-4034-81C2-74E90A63FBBD}"/>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071E5575-185D-42C4-92E1-607F46B2938F}"/>
    <cellStyle name="Normal 4 6 2 2 2 3 2 3" xfId="11956" xr:uid="{77AB652D-C345-46FD-94D4-A895ECD261C7}"/>
    <cellStyle name="Normal 4 6 2 2 2 3 3" xfId="5600" xr:uid="{00000000-0005-0000-0000-00000C160000}"/>
    <cellStyle name="Normal 4 6 2 2 2 3 3 2" xfId="14029" xr:uid="{2CC16C9B-94BD-4567-9423-22CF6BCAF097}"/>
    <cellStyle name="Normal 4 6 2 2 2 3 4" xfId="9811" xr:uid="{789EC370-1C38-459C-A0A4-C05846004FB1}"/>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445ACA34-BF5A-4830-83B8-EFFEBAA5F6EA}"/>
    <cellStyle name="Normal 4 6 2 2 2 4 2 3" xfId="12369" xr:uid="{38EBF211-9D98-4BEE-AC80-E196436D52FD}"/>
    <cellStyle name="Normal 4 6 2 2 2 4 3" xfId="6013" xr:uid="{00000000-0005-0000-0000-000010160000}"/>
    <cellStyle name="Normal 4 6 2 2 2 4 3 2" xfId="14442" xr:uid="{BA41F302-8FBA-4AC4-BE9D-5A1E5E304E3B}"/>
    <cellStyle name="Normal 4 6 2 2 2 4 4" xfId="10224" xr:uid="{97234B0D-73E4-418E-883F-051245A75D6D}"/>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0F6EC05F-89E8-4868-BE83-D0E996469CEC}"/>
    <cellStyle name="Normal 4 6 2 2 2 5 2 3" xfId="12782" xr:uid="{CE500DD0-9983-4CDD-9E4C-C6B459AE127E}"/>
    <cellStyle name="Normal 4 6 2 2 2 5 3" xfId="6426" xr:uid="{00000000-0005-0000-0000-000014160000}"/>
    <cellStyle name="Normal 4 6 2 2 2 5 3 2" xfId="14855" xr:uid="{071CCC0D-2534-476B-B22B-F6364585D474}"/>
    <cellStyle name="Normal 4 6 2 2 2 5 4" xfId="10637" xr:uid="{DF4F066D-7F97-4549-BA29-61135D3FF2D7}"/>
    <cellStyle name="Normal 4 6 2 2 2 6" xfId="2554" xr:uid="{00000000-0005-0000-0000-000015160000}"/>
    <cellStyle name="Normal 4 6 2 2 2 6 2" xfId="6839" xr:uid="{00000000-0005-0000-0000-000016160000}"/>
    <cellStyle name="Normal 4 6 2 2 2 6 2 2" xfId="15268" xr:uid="{E14276BA-7591-4280-8220-D55644B1A648}"/>
    <cellStyle name="Normal 4 6 2 2 2 6 3" xfId="11050" xr:uid="{022A5301-F7D6-425E-8A98-8BB342B25D54}"/>
    <cellStyle name="Normal 4 6 2 2 2 7" xfId="4774" xr:uid="{00000000-0005-0000-0000-000017160000}"/>
    <cellStyle name="Normal 4 6 2 2 2 7 2" xfId="13203" xr:uid="{DEC8003C-A26D-4168-9C8D-B4F4C40BCD9D}"/>
    <cellStyle name="Normal 4 6 2 2 2 8" xfId="8985" xr:uid="{35B5B62C-51E2-4B66-BF8E-1422115F57A8}"/>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58D21BD1-D34D-4BFA-A8AB-D28D93AA2CC7}"/>
    <cellStyle name="Normal 4 6 2 2 3 2 3" xfId="11542" xr:uid="{6197A6AD-5278-4046-B81E-0F6DE5881241}"/>
    <cellStyle name="Normal 4 6 2 2 3 3" xfId="5186" xr:uid="{00000000-0005-0000-0000-00001B160000}"/>
    <cellStyle name="Normal 4 6 2 2 3 3 2" xfId="13615" xr:uid="{34BACE68-2DA1-4DE4-981F-BF2F849C48F5}"/>
    <cellStyle name="Normal 4 6 2 2 3 4" xfId="9397" xr:uid="{04D6B135-880E-424E-9D2B-A4144E3FCD5C}"/>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193924EB-9DFD-4532-A67A-B4F3FDB117C4}"/>
    <cellStyle name="Normal 4 6 2 2 4 2 3" xfId="11955" xr:uid="{491551B0-A079-4A3B-AE91-C8C4F64C926F}"/>
    <cellStyle name="Normal 4 6 2 2 4 3" xfId="5599" xr:uid="{00000000-0005-0000-0000-00001F160000}"/>
    <cellStyle name="Normal 4 6 2 2 4 3 2" xfId="14028" xr:uid="{A551635A-BB00-4BCC-9A40-134D983D0806}"/>
    <cellStyle name="Normal 4 6 2 2 4 4" xfId="9810" xr:uid="{E9CEDC9F-3939-4BFA-A1BD-FC737029E3B1}"/>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4C5F6D1D-4506-45FB-A2E6-032781F02F2C}"/>
    <cellStyle name="Normal 4 6 2 2 5 2 3" xfId="12368" xr:uid="{5A347374-6C1F-4E64-9203-D5FFF7E9CC5C}"/>
    <cellStyle name="Normal 4 6 2 2 5 3" xfId="6012" xr:uid="{00000000-0005-0000-0000-000023160000}"/>
    <cellStyle name="Normal 4 6 2 2 5 3 2" xfId="14441" xr:uid="{7C52D2AB-7FE2-4D3D-BBF4-029F7D759429}"/>
    <cellStyle name="Normal 4 6 2 2 5 4" xfId="10223" xr:uid="{1979B099-CF20-4CD6-B7E5-611DA587B486}"/>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314F277A-B767-4290-8A81-87CF36FC3981}"/>
    <cellStyle name="Normal 4 6 2 2 6 2 3" xfId="12781" xr:uid="{8F46C6B6-3E40-4FBC-94D3-CF9E2508553E}"/>
    <cellStyle name="Normal 4 6 2 2 6 3" xfId="6425" xr:uid="{00000000-0005-0000-0000-000027160000}"/>
    <cellStyle name="Normal 4 6 2 2 6 3 2" xfId="14854" xr:uid="{78CB11D4-5B7D-4C2E-9624-E86D24D05B67}"/>
    <cellStyle name="Normal 4 6 2 2 6 4" xfId="10636" xr:uid="{E733DE63-02FB-4C6E-B00E-0DA58A7CB134}"/>
    <cellStyle name="Normal 4 6 2 2 7" xfId="2553" xr:uid="{00000000-0005-0000-0000-000028160000}"/>
    <cellStyle name="Normal 4 6 2 2 7 2" xfId="6838" xr:uid="{00000000-0005-0000-0000-000029160000}"/>
    <cellStyle name="Normal 4 6 2 2 7 2 2" xfId="15267" xr:uid="{8773DEFE-E2DA-4B32-A91A-822D250AA8F0}"/>
    <cellStyle name="Normal 4 6 2 2 7 3" xfId="11049" xr:uid="{FA3190F1-DCA2-47A7-A990-9CFCE597B96F}"/>
    <cellStyle name="Normal 4 6 2 2 8" xfId="4773" xr:uid="{00000000-0005-0000-0000-00002A160000}"/>
    <cellStyle name="Normal 4 6 2 2 8 2" xfId="13202" xr:uid="{392AB22B-85FD-4A5F-96AC-0E93EDF0833F}"/>
    <cellStyle name="Normal 4 6 2 2 9" xfId="8984" xr:uid="{82C1FE3D-DFE5-4EAD-9ABC-8A6405FCEC52}"/>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B787A265-2E49-4595-9171-AEFE984B8C06}"/>
    <cellStyle name="Normal 4 6 2 3 2 2 3" xfId="11544" xr:uid="{2E1F63CA-D3AC-4149-9F31-C5093EE5DB6D}"/>
    <cellStyle name="Normal 4 6 2 3 2 3" xfId="5188" xr:uid="{00000000-0005-0000-0000-00002F160000}"/>
    <cellStyle name="Normal 4 6 2 3 2 3 2" xfId="13617" xr:uid="{150B505F-4AF9-4BCB-B53A-9D3FC29E45F3}"/>
    <cellStyle name="Normal 4 6 2 3 2 4" xfId="9399" xr:uid="{7EC540B2-E5B3-4D1F-901C-2B6FEA0658E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030240C1-9F47-49D3-8E7B-100D1330943C}"/>
    <cellStyle name="Normal 4 6 2 3 3 2 3" xfId="11957" xr:uid="{DE43E83A-662D-4206-B336-9676C0ECBC40}"/>
    <cellStyle name="Normal 4 6 2 3 3 3" xfId="5601" xr:uid="{00000000-0005-0000-0000-000033160000}"/>
    <cellStyle name="Normal 4 6 2 3 3 3 2" xfId="14030" xr:uid="{72D8A611-4CAD-403C-956C-48C6EEB454C0}"/>
    <cellStyle name="Normal 4 6 2 3 3 4" xfId="9812" xr:uid="{00BB831C-2622-42D7-A23B-1E9F7D8FA72A}"/>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81A658BB-0238-4040-83FA-67CB1E2216E6}"/>
    <cellStyle name="Normal 4 6 2 3 4 2 3" xfId="12370" xr:uid="{CB109568-3989-4609-BBA3-AF89C9170DD9}"/>
    <cellStyle name="Normal 4 6 2 3 4 3" xfId="6014" xr:uid="{00000000-0005-0000-0000-000037160000}"/>
    <cellStyle name="Normal 4 6 2 3 4 3 2" xfId="14443" xr:uid="{EEAA2CD9-9462-42EB-88C4-4344AB12EA06}"/>
    <cellStyle name="Normal 4 6 2 3 4 4" xfId="10225" xr:uid="{2AB64E9D-76CC-4409-8F28-A0F735E66646}"/>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106DF6B6-0DC5-4C38-8CA4-921C51E78EA9}"/>
    <cellStyle name="Normal 4 6 2 3 5 2 3" xfId="12783" xr:uid="{1401ADC7-290F-4CC5-BCEE-6D585841E716}"/>
    <cellStyle name="Normal 4 6 2 3 5 3" xfId="6427" xr:uid="{00000000-0005-0000-0000-00003B160000}"/>
    <cellStyle name="Normal 4 6 2 3 5 3 2" xfId="14856" xr:uid="{0EBF26EE-1AD0-45F1-B3A4-6FE6E7221900}"/>
    <cellStyle name="Normal 4 6 2 3 5 4" xfId="10638" xr:uid="{DCDA1A64-9517-40F1-AF27-0A178D2F7D60}"/>
    <cellStyle name="Normal 4 6 2 3 6" xfId="2555" xr:uid="{00000000-0005-0000-0000-00003C160000}"/>
    <cellStyle name="Normal 4 6 2 3 6 2" xfId="6840" xr:uid="{00000000-0005-0000-0000-00003D160000}"/>
    <cellStyle name="Normal 4 6 2 3 6 2 2" xfId="15269" xr:uid="{EAB5C066-A547-49C4-9F20-ABDD5EFC945D}"/>
    <cellStyle name="Normal 4 6 2 3 6 3" xfId="11051" xr:uid="{2D61ADB7-F6E3-4DF4-8636-E5C45A8CC500}"/>
    <cellStyle name="Normal 4 6 2 3 7" xfId="4775" xr:uid="{00000000-0005-0000-0000-00003E160000}"/>
    <cellStyle name="Normal 4 6 2 3 7 2" xfId="13204" xr:uid="{EE5BF66F-9AC5-40D5-A4BF-C9A3D716D954}"/>
    <cellStyle name="Normal 4 6 2 3 8" xfId="8986" xr:uid="{3D2B3CE2-A85C-489D-A11C-B54DC20175B7}"/>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FD7BFEFB-22C9-471A-9F94-472535A0B6C4}"/>
    <cellStyle name="Normal 4 6 2 4 2 3" xfId="11541" xr:uid="{B2041F9C-77FD-4D0E-AF22-E469B7BDFF0F}"/>
    <cellStyle name="Normal 4 6 2 4 3" xfId="5185" xr:uid="{00000000-0005-0000-0000-000042160000}"/>
    <cellStyle name="Normal 4 6 2 4 3 2" xfId="13614" xr:uid="{CE6D56D0-6FE7-4422-B4E3-7866435E4733}"/>
    <cellStyle name="Normal 4 6 2 4 4" xfId="9396" xr:uid="{57473F50-7E46-43F9-A289-648086DA1C27}"/>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8D40E010-FC70-4291-A729-A8D26C50DB8C}"/>
    <cellStyle name="Normal 4 6 2 5 2 3" xfId="11954" xr:uid="{F898484E-0AAC-4E6F-AD12-19F32426C5DC}"/>
    <cellStyle name="Normal 4 6 2 5 3" xfId="5598" xr:uid="{00000000-0005-0000-0000-000046160000}"/>
    <cellStyle name="Normal 4 6 2 5 3 2" xfId="14027" xr:uid="{EC0F45DF-A9D4-4725-8EE9-776E78C8BF81}"/>
    <cellStyle name="Normal 4 6 2 5 4" xfId="9809" xr:uid="{91BF4AF3-FE4B-4E24-B5DE-A7C0EA6C0574}"/>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AF49D883-4380-47C2-B2C6-6195D86AB61D}"/>
    <cellStyle name="Normal 4 6 2 6 2 3" xfId="12367" xr:uid="{89910E94-8A58-41BD-814F-480AF55F35B8}"/>
    <cellStyle name="Normal 4 6 2 6 3" xfId="6011" xr:uid="{00000000-0005-0000-0000-00004A160000}"/>
    <cellStyle name="Normal 4 6 2 6 3 2" xfId="14440" xr:uid="{EE1985A7-A6A8-48A8-93B7-1600D67EA4B7}"/>
    <cellStyle name="Normal 4 6 2 6 4" xfId="10222" xr:uid="{4675BB16-85AA-4FF3-B286-28B110348515}"/>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756393B6-9406-4435-A96E-5C2DB28421AB}"/>
    <cellStyle name="Normal 4 6 2 7 2 3" xfId="12780" xr:uid="{9E82DCC2-B8F6-4FF1-8AF4-1047F55FA344}"/>
    <cellStyle name="Normal 4 6 2 7 3" xfId="6424" xr:uid="{00000000-0005-0000-0000-00004E160000}"/>
    <cellStyle name="Normal 4 6 2 7 3 2" xfId="14853" xr:uid="{62CC3E1B-9A56-4AEF-8AC6-B9D61C1E5F07}"/>
    <cellStyle name="Normal 4 6 2 7 4" xfId="10635" xr:uid="{33158D5E-9A31-4877-8D66-2AF40813DEB6}"/>
    <cellStyle name="Normal 4 6 2 8" xfId="2552" xr:uid="{00000000-0005-0000-0000-00004F160000}"/>
    <cellStyle name="Normal 4 6 2 8 2" xfId="6837" xr:uid="{00000000-0005-0000-0000-000050160000}"/>
    <cellStyle name="Normal 4 6 2 8 2 2" xfId="15266" xr:uid="{8872262F-4D58-41FE-869E-2CBB5354087F}"/>
    <cellStyle name="Normal 4 6 2 8 3" xfId="11048" xr:uid="{98653136-4BB9-4167-8C3D-18C4BFC7DB37}"/>
    <cellStyle name="Normal 4 6 2 9" xfId="4772" xr:uid="{00000000-0005-0000-0000-000051160000}"/>
    <cellStyle name="Normal 4 6 2 9 2" xfId="13201" xr:uid="{487487BC-EF91-4A65-A962-E4808442F79D}"/>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02994130-CD77-46A4-A197-0EF80F86EE0C}"/>
    <cellStyle name="Normal 4 6 3 2 2 2 3" xfId="11546" xr:uid="{51599ECF-EDA6-4AD8-99E3-9C337D0460B6}"/>
    <cellStyle name="Normal 4 6 3 2 2 3" xfId="5190" xr:uid="{00000000-0005-0000-0000-000057160000}"/>
    <cellStyle name="Normal 4 6 3 2 2 3 2" xfId="13619" xr:uid="{53293400-D3AB-464D-B2A5-7E7F6F19D4E6}"/>
    <cellStyle name="Normal 4 6 3 2 2 4" xfId="9401" xr:uid="{7026CB10-6FB1-4923-BABF-99B56F1C19E1}"/>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FC4755C5-AE87-48A6-A033-5FDDC7E8BCFA}"/>
    <cellStyle name="Normal 4 6 3 2 3 2 3" xfId="11959" xr:uid="{09CC7D99-0599-4078-B481-CF9BCE391C07}"/>
    <cellStyle name="Normal 4 6 3 2 3 3" xfId="5603" xr:uid="{00000000-0005-0000-0000-00005B160000}"/>
    <cellStyle name="Normal 4 6 3 2 3 3 2" xfId="14032" xr:uid="{C3733FCE-DF85-4527-8EFB-30B9D34365C5}"/>
    <cellStyle name="Normal 4 6 3 2 3 4" xfId="9814" xr:uid="{525F2623-58A6-4731-8EE5-87075DDCA23A}"/>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57E82317-089A-4B95-A384-814FE5AE3129}"/>
    <cellStyle name="Normal 4 6 3 2 4 2 3" xfId="12372" xr:uid="{D6D2E52F-0705-418F-800A-B46654E0832C}"/>
    <cellStyle name="Normal 4 6 3 2 4 3" xfId="6016" xr:uid="{00000000-0005-0000-0000-00005F160000}"/>
    <cellStyle name="Normal 4 6 3 2 4 3 2" xfId="14445" xr:uid="{CD40D865-3BEA-44DC-8EAE-5294B50AD10F}"/>
    <cellStyle name="Normal 4 6 3 2 4 4" xfId="10227" xr:uid="{88A82D7A-02D1-452D-8D50-F91D8C1AF9FC}"/>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DFF661D7-61CA-4503-A4B2-10A3F87BFE9F}"/>
    <cellStyle name="Normal 4 6 3 2 5 2 3" xfId="12785" xr:uid="{315EC0C8-7C6B-4092-99F0-50EAC5CCC22C}"/>
    <cellStyle name="Normal 4 6 3 2 5 3" xfId="6429" xr:uid="{00000000-0005-0000-0000-000063160000}"/>
    <cellStyle name="Normal 4 6 3 2 5 3 2" xfId="14858" xr:uid="{EFC11899-64BE-40CC-AFED-0E92581140ED}"/>
    <cellStyle name="Normal 4 6 3 2 5 4" xfId="10640" xr:uid="{B75D4FC5-43C4-449E-930D-670045DCCB0D}"/>
    <cellStyle name="Normal 4 6 3 2 6" xfId="2557" xr:uid="{00000000-0005-0000-0000-000064160000}"/>
    <cellStyle name="Normal 4 6 3 2 6 2" xfId="6842" xr:uid="{00000000-0005-0000-0000-000065160000}"/>
    <cellStyle name="Normal 4 6 3 2 6 2 2" xfId="15271" xr:uid="{FF04AEDF-461E-460F-859C-D68077700527}"/>
    <cellStyle name="Normal 4 6 3 2 6 3" xfId="11053" xr:uid="{CDE60D04-6CCD-4304-8DA4-6085E9096991}"/>
    <cellStyle name="Normal 4 6 3 2 7" xfId="4777" xr:uid="{00000000-0005-0000-0000-000066160000}"/>
    <cellStyle name="Normal 4 6 3 2 7 2" xfId="13206" xr:uid="{6B8111DC-270F-4B6C-8B49-12E282D53158}"/>
    <cellStyle name="Normal 4 6 3 2 8" xfId="8988" xr:uid="{C9B83A51-B93B-46EC-BC21-D6DF08B71FC5}"/>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3DFE3F92-ECA0-4753-8D55-C7A521A4E25A}"/>
    <cellStyle name="Normal 4 6 3 3 2 3" xfId="11545" xr:uid="{56E94DB2-CFCA-4554-9B3C-1C16E16AC3E5}"/>
    <cellStyle name="Normal 4 6 3 3 3" xfId="5189" xr:uid="{00000000-0005-0000-0000-00006A160000}"/>
    <cellStyle name="Normal 4 6 3 3 3 2" xfId="13618" xr:uid="{7F819C11-E112-4144-877D-E4508D201E09}"/>
    <cellStyle name="Normal 4 6 3 3 4" xfId="9400" xr:uid="{7BC413F5-6D9E-4852-97CF-D3A437E8B0D1}"/>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6BEC1E18-A29A-44AC-A3F8-AC28B90DDDC1}"/>
    <cellStyle name="Normal 4 6 3 4 2 3" xfId="11958" xr:uid="{38BE22CE-4FB2-424D-AF05-2EFEC4036322}"/>
    <cellStyle name="Normal 4 6 3 4 3" xfId="5602" xr:uid="{00000000-0005-0000-0000-00006E160000}"/>
    <cellStyle name="Normal 4 6 3 4 3 2" xfId="14031" xr:uid="{8B207854-8BB4-427C-B9A0-B5570F479105}"/>
    <cellStyle name="Normal 4 6 3 4 4" xfId="9813" xr:uid="{4BA5A836-ACA3-45AB-872C-017C4D0320A1}"/>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0864C2EF-8A86-4A75-90DF-667EB41AFCA8}"/>
    <cellStyle name="Normal 4 6 3 5 2 3" xfId="12371" xr:uid="{DCA20FC4-4746-4D52-AD51-5C69FE9B5DEB}"/>
    <cellStyle name="Normal 4 6 3 5 3" xfId="6015" xr:uid="{00000000-0005-0000-0000-000072160000}"/>
    <cellStyle name="Normal 4 6 3 5 3 2" xfId="14444" xr:uid="{FF3B74B4-8C1F-440A-9B6D-FBD7DD79DCAE}"/>
    <cellStyle name="Normal 4 6 3 5 4" xfId="10226" xr:uid="{38A6836A-9A79-43B4-B9B0-4690F85CB620}"/>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14E5AC7B-1E1E-487E-AFB1-3C4EA0A51540}"/>
    <cellStyle name="Normal 4 6 3 6 2 3" xfId="12784" xr:uid="{A9610AE4-0444-4299-A534-17893AF956DC}"/>
    <cellStyle name="Normal 4 6 3 6 3" xfId="6428" xr:uid="{00000000-0005-0000-0000-000076160000}"/>
    <cellStyle name="Normal 4 6 3 6 3 2" xfId="14857" xr:uid="{A129FE38-0BB3-4733-B4B2-BA77A4854A1D}"/>
    <cellStyle name="Normal 4 6 3 6 4" xfId="10639" xr:uid="{6B09CE41-29F6-46A1-85E4-657A9EDC326E}"/>
    <cellStyle name="Normal 4 6 3 7" xfId="2556" xr:uid="{00000000-0005-0000-0000-000077160000}"/>
    <cellStyle name="Normal 4 6 3 7 2" xfId="6841" xr:uid="{00000000-0005-0000-0000-000078160000}"/>
    <cellStyle name="Normal 4 6 3 7 2 2" xfId="15270" xr:uid="{8315B3A5-A448-477A-8DCC-CAA2A9F5796A}"/>
    <cellStyle name="Normal 4 6 3 7 3" xfId="11052" xr:uid="{FA48DD14-5EAA-4A8E-B1D7-D90E04BD432A}"/>
    <cellStyle name="Normal 4 6 3 8" xfId="4776" xr:uid="{00000000-0005-0000-0000-000079160000}"/>
    <cellStyle name="Normal 4 6 3 8 2" xfId="13205" xr:uid="{DBC55EAA-EFCA-4482-8049-A5068FDA0B0A}"/>
    <cellStyle name="Normal 4 6 3 9" xfId="8987" xr:uid="{C03A636E-DD13-437B-BDF7-E455E396411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98E6A024-5755-4F20-AEFF-29F58442FC15}"/>
    <cellStyle name="Normal 4 6 4 2 2 3" xfId="11547" xr:uid="{D6B7B718-AE13-4456-A12D-67F4921524A5}"/>
    <cellStyle name="Normal 4 6 4 2 3" xfId="5191" xr:uid="{00000000-0005-0000-0000-00007E160000}"/>
    <cellStyle name="Normal 4 6 4 2 3 2" xfId="13620" xr:uid="{2C5BAEE8-FCCB-4F3B-962F-E3937C142113}"/>
    <cellStyle name="Normal 4 6 4 2 4" xfId="9402" xr:uid="{65149BA1-802B-474D-8FAF-19668E8898FF}"/>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ABDD6836-DBE5-464F-BA82-200F4D5D4900}"/>
    <cellStyle name="Normal 4 6 4 3 2 3" xfId="11960" xr:uid="{5A489F89-8FB1-4D13-959C-91B591A0E442}"/>
    <cellStyle name="Normal 4 6 4 3 3" xfId="5604" xr:uid="{00000000-0005-0000-0000-000082160000}"/>
    <cellStyle name="Normal 4 6 4 3 3 2" xfId="14033" xr:uid="{197BAA35-D92B-4BD1-84BF-1C72F44A2396}"/>
    <cellStyle name="Normal 4 6 4 3 4" xfId="9815" xr:uid="{E1F775EF-F3F1-4AEF-80E0-9F6926168E37}"/>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A01A0798-9F00-4B34-8AE9-34F7079565EE}"/>
    <cellStyle name="Normal 4 6 4 4 2 3" xfId="12373" xr:uid="{F3142873-2093-4A0F-8735-D2F049B1B206}"/>
    <cellStyle name="Normal 4 6 4 4 3" xfId="6017" xr:uid="{00000000-0005-0000-0000-000086160000}"/>
    <cellStyle name="Normal 4 6 4 4 3 2" xfId="14446" xr:uid="{46123F47-0129-427E-99D6-95BDB5871BDE}"/>
    <cellStyle name="Normal 4 6 4 4 4" xfId="10228" xr:uid="{1DA00870-1EED-4514-86BF-F68DB2EAD054}"/>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A50D1FFE-2CB7-4C4A-A882-2453B64D8E56}"/>
    <cellStyle name="Normal 4 6 4 5 2 3" xfId="12786" xr:uid="{F829BC74-BC6B-4F7A-BB93-8E2BC9E22E04}"/>
    <cellStyle name="Normal 4 6 4 5 3" xfId="6430" xr:uid="{00000000-0005-0000-0000-00008A160000}"/>
    <cellStyle name="Normal 4 6 4 5 3 2" xfId="14859" xr:uid="{0A52DD10-35CA-4AA4-B7D3-7A9CEF8FCAF2}"/>
    <cellStyle name="Normal 4 6 4 5 4" xfId="10641" xr:uid="{E6842217-5631-4432-B2D1-C577AE52249B}"/>
    <cellStyle name="Normal 4 6 4 6" xfId="2558" xr:uid="{00000000-0005-0000-0000-00008B160000}"/>
    <cellStyle name="Normal 4 6 4 6 2" xfId="6843" xr:uid="{00000000-0005-0000-0000-00008C160000}"/>
    <cellStyle name="Normal 4 6 4 6 2 2" xfId="15272" xr:uid="{7A315A64-B617-457C-8BC6-271972F00758}"/>
    <cellStyle name="Normal 4 6 4 6 3" xfId="11054" xr:uid="{5C81CAE1-D49E-49B1-852C-2B6D36BE4656}"/>
    <cellStyle name="Normal 4 6 4 7" xfId="4778" xr:uid="{00000000-0005-0000-0000-00008D160000}"/>
    <cellStyle name="Normal 4 6 4 7 2" xfId="13207" xr:uid="{826486F0-2A70-448E-B367-A6ECAECCC0F9}"/>
    <cellStyle name="Normal 4 6 4 8" xfId="8989" xr:uid="{418380D4-C126-4BDB-9AAC-621DE9B5C09A}"/>
    <cellStyle name="Normal 4 6 5" xfId="870" xr:uid="{00000000-0005-0000-0000-00008E160000}"/>
    <cellStyle name="Normal 4 6 5 2" xfId="3105" xr:uid="{00000000-0005-0000-0000-00008F160000}"/>
    <cellStyle name="Normal 4 6 5 2 2" xfId="7329" xr:uid="{00000000-0005-0000-0000-000090160000}"/>
    <cellStyle name="Normal 4 6 5 2 2 2" xfId="15758" xr:uid="{B2F67E6D-418C-412A-8605-1AC487E02D71}"/>
    <cellStyle name="Normal 4 6 5 2 3" xfId="11540" xr:uid="{C575198A-FED4-4503-9F6B-A3A8F2EE99D9}"/>
    <cellStyle name="Normal 4 6 5 3" xfId="5184" xr:uid="{00000000-0005-0000-0000-000091160000}"/>
    <cellStyle name="Normal 4 6 5 3 2" xfId="13613" xr:uid="{39EBCFB5-878A-4F43-A185-7AC1C49AD5AD}"/>
    <cellStyle name="Normal 4 6 5 4" xfId="9395" xr:uid="{CC80D535-0E73-48ED-A298-F26052DB9D02}"/>
    <cellStyle name="Normal 4 6 6" xfId="1288" xr:uid="{00000000-0005-0000-0000-000092160000}"/>
    <cellStyle name="Normal 4 6 6 2" xfId="3518" xr:uid="{00000000-0005-0000-0000-000093160000}"/>
    <cellStyle name="Normal 4 6 6 2 2" xfId="7742" xr:uid="{00000000-0005-0000-0000-000094160000}"/>
    <cellStyle name="Normal 4 6 6 2 2 2" xfId="16171" xr:uid="{DF694D42-1850-49D6-9590-BA23647C7D3D}"/>
    <cellStyle name="Normal 4 6 6 2 3" xfId="11953" xr:uid="{ADB34595-3EDD-4197-AE33-085CD833FE17}"/>
    <cellStyle name="Normal 4 6 6 3" xfId="5597" xr:uid="{00000000-0005-0000-0000-000095160000}"/>
    <cellStyle name="Normal 4 6 6 3 2" xfId="14026" xr:uid="{D2EA26F5-A5CC-466D-BAA8-E233335024D2}"/>
    <cellStyle name="Normal 4 6 6 4" xfId="9808" xr:uid="{21AB535F-550A-4D5D-8AA0-9343E914DE4D}"/>
    <cellStyle name="Normal 4 6 7" xfId="1701" xr:uid="{00000000-0005-0000-0000-000096160000}"/>
    <cellStyle name="Normal 4 6 7 2" xfId="3931" xr:uid="{00000000-0005-0000-0000-000097160000}"/>
    <cellStyle name="Normal 4 6 7 2 2" xfId="8155" xr:uid="{00000000-0005-0000-0000-000098160000}"/>
    <cellStyle name="Normal 4 6 7 2 2 2" xfId="16584" xr:uid="{262A702E-4700-458C-98B6-E16709F01F97}"/>
    <cellStyle name="Normal 4 6 7 2 3" xfId="12366" xr:uid="{6DB0552A-D6A9-4206-A829-12BD72BE31FE}"/>
    <cellStyle name="Normal 4 6 7 3" xfId="6010" xr:uid="{00000000-0005-0000-0000-000099160000}"/>
    <cellStyle name="Normal 4 6 7 3 2" xfId="14439" xr:uid="{89AFB065-E52C-418B-8CF7-59EE65DE7A34}"/>
    <cellStyle name="Normal 4 6 7 4" xfId="10221" xr:uid="{7AF76099-0E88-43BC-B50F-66E2063A4B29}"/>
    <cellStyle name="Normal 4 6 8" xfId="2115" xr:uid="{00000000-0005-0000-0000-00009A160000}"/>
    <cellStyle name="Normal 4 6 8 2" xfId="4344" xr:uid="{00000000-0005-0000-0000-00009B160000}"/>
    <cellStyle name="Normal 4 6 8 2 2" xfId="8568" xr:uid="{00000000-0005-0000-0000-00009C160000}"/>
    <cellStyle name="Normal 4 6 8 2 2 2" xfId="16997" xr:uid="{B7E03631-D40F-4CD7-B357-3AEEF4EE2B24}"/>
    <cellStyle name="Normal 4 6 8 2 3" xfId="12779" xr:uid="{D93045E1-32CB-4420-B199-47AFCC3B8569}"/>
    <cellStyle name="Normal 4 6 8 3" xfId="6423" xr:uid="{00000000-0005-0000-0000-00009D160000}"/>
    <cellStyle name="Normal 4 6 8 3 2" xfId="14852" xr:uid="{2F825280-9E97-41A8-93CC-B5390032C38D}"/>
    <cellStyle name="Normal 4 6 8 4" xfId="10634" xr:uid="{3ABFB045-95F4-4A78-B5E0-206FDAF86E6A}"/>
    <cellStyle name="Normal 4 6 9" xfId="2551" xr:uid="{00000000-0005-0000-0000-00009E160000}"/>
    <cellStyle name="Normal 4 6 9 2" xfId="6836" xr:uid="{00000000-0005-0000-0000-00009F160000}"/>
    <cellStyle name="Normal 4 6 9 2 2" xfId="15265" xr:uid="{6D5DBCE5-D372-4BD1-ADAA-4F51A55F34F6}"/>
    <cellStyle name="Normal 4 6 9 3" xfId="11047" xr:uid="{9B67343C-7C5F-47D1-9882-4817B1956003}"/>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A3E0ECC3-16D0-4A48-A2CA-BAE23188B8A4}"/>
    <cellStyle name="Normal 4 7 2 2 2 3" xfId="11549" xr:uid="{08CA4652-D8E2-46D6-8884-09DB1BE70D41}"/>
    <cellStyle name="Normal 4 7 2 2 3" xfId="5193" xr:uid="{00000000-0005-0000-0000-0000A5160000}"/>
    <cellStyle name="Normal 4 7 2 2 3 2" xfId="13622" xr:uid="{86D8AA5C-1E09-4BA6-B4F3-678FB5A44BB6}"/>
    <cellStyle name="Normal 4 7 2 2 4" xfId="9404" xr:uid="{17CFABF5-970A-4A92-B572-14BEC9215152}"/>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2FD315A8-527F-4FCC-8664-7790B9AF6085}"/>
    <cellStyle name="Normal 4 7 2 3 2 3" xfId="11962" xr:uid="{FAF7B312-FAB0-4B9D-8CED-357807EF1867}"/>
    <cellStyle name="Normal 4 7 2 3 3" xfId="5606" xr:uid="{00000000-0005-0000-0000-0000A9160000}"/>
    <cellStyle name="Normal 4 7 2 3 3 2" xfId="14035" xr:uid="{C2F71BF7-781E-4AA3-8722-46F8574703FC}"/>
    <cellStyle name="Normal 4 7 2 3 4" xfId="9817" xr:uid="{F2AD24AC-60DC-4668-9E98-6BF726E0B6C2}"/>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BB80DA71-7872-4E80-B97F-BF951F293183}"/>
    <cellStyle name="Normal 4 7 2 4 2 3" xfId="12375" xr:uid="{132F5C2B-DAC8-43B2-B6BA-9EC2C0AB25CC}"/>
    <cellStyle name="Normal 4 7 2 4 3" xfId="6019" xr:uid="{00000000-0005-0000-0000-0000AD160000}"/>
    <cellStyle name="Normal 4 7 2 4 3 2" xfId="14448" xr:uid="{9E213907-AE44-4D0A-80F5-F2DAE0A14330}"/>
    <cellStyle name="Normal 4 7 2 4 4" xfId="10230" xr:uid="{1D8515CA-3258-4867-A69D-49678E2E7B38}"/>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04C5C316-EE0E-4921-80C6-AFC2401D899A}"/>
    <cellStyle name="Normal 4 7 2 5 2 3" xfId="12788" xr:uid="{C8E7B6C3-B334-4772-A04C-7BCA690965E3}"/>
    <cellStyle name="Normal 4 7 2 5 3" xfId="6432" xr:uid="{00000000-0005-0000-0000-0000B1160000}"/>
    <cellStyle name="Normal 4 7 2 5 3 2" xfId="14861" xr:uid="{257E8D8A-5CD2-486D-9A23-76C6F7ED28E0}"/>
    <cellStyle name="Normal 4 7 2 5 4" xfId="10643" xr:uid="{EBF3097D-BC94-4D27-AC99-008A89AB0393}"/>
    <cellStyle name="Normal 4 7 2 6" xfId="2560" xr:uid="{00000000-0005-0000-0000-0000B2160000}"/>
    <cellStyle name="Normal 4 7 2 6 2" xfId="6845" xr:uid="{00000000-0005-0000-0000-0000B3160000}"/>
    <cellStyle name="Normal 4 7 2 6 2 2" xfId="15274" xr:uid="{A2819F13-151F-4E0E-BB0C-FBF49807A3CD}"/>
    <cellStyle name="Normal 4 7 2 6 3" xfId="11056" xr:uid="{F7DDE3C7-C2DA-4387-8336-798FFBF76A8A}"/>
    <cellStyle name="Normal 4 7 2 7" xfId="4780" xr:uid="{00000000-0005-0000-0000-0000B4160000}"/>
    <cellStyle name="Normal 4 7 2 7 2" xfId="13209" xr:uid="{33D1F89D-F593-410D-85C2-6B8D6D927AB0}"/>
    <cellStyle name="Normal 4 7 2 8" xfId="8991" xr:uid="{44F8D06E-7AB2-4A05-A364-5E5C665F20BA}"/>
    <cellStyle name="Normal 4 7 3" xfId="878" xr:uid="{00000000-0005-0000-0000-0000B5160000}"/>
    <cellStyle name="Normal 4 7 3 2" xfId="3113" xr:uid="{00000000-0005-0000-0000-0000B6160000}"/>
    <cellStyle name="Normal 4 7 3 2 2" xfId="7337" xr:uid="{00000000-0005-0000-0000-0000B7160000}"/>
    <cellStyle name="Normal 4 7 3 2 2 2" xfId="15766" xr:uid="{A1BCC7C0-0573-4DF7-B1B7-01F1C9B51A83}"/>
    <cellStyle name="Normal 4 7 3 2 3" xfId="11548" xr:uid="{AAD8280C-792A-4834-9795-1DE274687BF2}"/>
    <cellStyle name="Normal 4 7 3 3" xfId="5192" xr:uid="{00000000-0005-0000-0000-0000B8160000}"/>
    <cellStyle name="Normal 4 7 3 3 2" xfId="13621" xr:uid="{9782F2FC-0EBE-4619-8B2D-E175B66102A3}"/>
    <cellStyle name="Normal 4 7 3 4" xfId="9403" xr:uid="{3C1456EB-B782-4F9B-B0ED-8F1FCFDC5FAE}"/>
    <cellStyle name="Normal 4 7 4" xfId="1296" xr:uid="{00000000-0005-0000-0000-0000B9160000}"/>
    <cellStyle name="Normal 4 7 4 2" xfId="3526" xr:uid="{00000000-0005-0000-0000-0000BA160000}"/>
    <cellStyle name="Normal 4 7 4 2 2" xfId="7750" xr:uid="{00000000-0005-0000-0000-0000BB160000}"/>
    <cellStyle name="Normal 4 7 4 2 2 2" xfId="16179" xr:uid="{82BFA5DE-BC60-4331-8E4D-1334FBE18B1E}"/>
    <cellStyle name="Normal 4 7 4 2 3" xfId="11961" xr:uid="{9CF7F1D1-775A-4B68-A74F-3CAFD17445E8}"/>
    <cellStyle name="Normal 4 7 4 3" xfId="5605" xr:uid="{00000000-0005-0000-0000-0000BC160000}"/>
    <cellStyle name="Normal 4 7 4 3 2" xfId="14034" xr:uid="{5CD10D15-ACBD-4651-AB5F-DA462DC44CA9}"/>
    <cellStyle name="Normal 4 7 4 4" xfId="9816" xr:uid="{7CCB6889-F219-4AAD-BBF7-2DD37352AFD5}"/>
    <cellStyle name="Normal 4 7 5" xfId="1709" xr:uid="{00000000-0005-0000-0000-0000BD160000}"/>
    <cellStyle name="Normal 4 7 5 2" xfId="3939" xr:uid="{00000000-0005-0000-0000-0000BE160000}"/>
    <cellStyle name="Normal 4 7 5 2 2" xfId="8163" xr:uid="{00000000-0005-0000-0000-0000BF160000}"/>
    <cellStyle name="Normal 4 7 5 2 2 2" xfId="16592" xr:uid="{C0D34422-C18A-4146-8D6E-BBF551ABCA3E}"/>
    <cellStyle name="Normal 4 7 5 2 3" xfId="12374" xr:uid="{2CDBF9D9-FD9C-4B77-89D3-B311B39C87CE}"/>
    <cellStyle name="Normal 4 7 5 3" xfId="6018" xr:uid="{00000000-0005-0000-0000-0000C0160000}"/>
    <cellStyle name="Normal 4 7 5 3 2" xfId="14447" xr:uid="{88B9C45B-37DA-48E9-9D13-2FF4CD79606E}"/>
    <cellStyle name="Normal 4 7 5 4" xfId="10229" xr:uid="{4EBAD30A-FD9C-4D30-A5C6-9177FBBDB6DB}"/>
    <cellStyle name="Normal 4 7 6" xfId="2123" xr:uid="{00000000-0005-0000-0000-0000C1160000}"/>
    <cellStyle name="Normal 4 7 6 2" xfId="4352" xr:uid="{00000000-0005-0000-0000-0000C2160000}"/>
    <cellStyle name="Normal 4 7 6 2 2" xfId="8576" xr:uid="{00000000-0005-0000-0000-0000C3160000}"/>
    <cellStyle name="Normal 4 7 6 2 2 2" xfId="17005" xr:uid="{2302A088-03B0-4151-8CB0-6A0547EEEDEF}"/>
    <cellStyle name="Normal 4 7 6 2 3" xfId="12787" xr:uid="{4796ECFC-2070-4BD5-88D9-02445A708A25}"/>
    <cellStyle name="Normal 4 7 6 3" xfId="6431" xr:uid="{00000000-0005-0000-0000-0000C4160000}"/>
    <cellStyle name="Normal 4 7 6 3 2" xfId="14860" xr:uid="{F5EA8D47-464D-4E03-AAE1-69D364553731}"/>
    <cellStyle name="Normal 4 7 6 4" xfId="10642" xr:uid="{2663F333-C205-4393-AD73-6CE0E5CF352E}"/>
    <cellStyle name="Normal 4 7 7" xfId="2559" xr:uid="{00000000-0005-0000-0000-0000C5160000}"/>
    <cellStyle name="Normal 4 7 7 2" xfId="6844" xr:uid="{00000000-0005-0000-0000-0000C6160000}"/>
    <cellStyle name="Normal 4 7 7 2 2" xfId="15273" xr:uid="{3920FCA5-4F8F-4D1A-A6D7-3E4D08D36531}"/>
    <cellStyle name="Normal 4 7 7 3" xfId="11055" xr:uid="{96457665-205C-40E0-A5C1-5F3C650630E9}"/>
    <cellStyle name="Normal 4 7 8" xfId="4779" xr:uid="{00000000-0005-0000-0000-0000C7160000}"/>
    <cellStyle name="Normal 4 7 8 2" xfId="13208" xr:uid="{766A350A-8C66-4FBA-B710-3C297DE39093}"/>
    <cellStyle name="Normal 4 7 9" xfId="8990" xr:uid="{1D0D3F0E-CE3B-4607-ABCE-42196FD6BEE3}"/>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60EEBE8-9F2D-4D06-B470-72B320C5DA8A}"/>
    <cellStyle name="Normal 4 8 2 2 3" xfId="11550" xr:uid="{31DFBBB7-EA4F-4527-A79C-74CD2737FFA2}"/>
    <cellStyle name="Normal 4 8 2 3" xfId="5194" xr:uid="{00000000-0005-0000-0000-0000CC160000}"/>
    <cellStyle name="Normal 4 8 2 3 2" xfId="13623" xr:uid="{AA799EA6-8282-4B02-8BFF-4E29159CCC06}"/>
    <cellStyle name="Normal 4 8 2 4" xfId="9405" xr:uid="{DD2FCC00-1804-435C-88E1-8B1E877045CA}"/>
    <cellStyle name="Normal 4 8 3" xfId="1298" xr:uid="{00000000-0005-0000-0000-0000CD160000}"/>
    <cellStyle name="Normal 4 8 3 2" xfId="3528" xr:uid="{00000000-0005-0000-0000-0000CE160000}"/>
    <cellStyle name="Normal 4 8 3 2 2" xfId="7752" xr:uid="{00000000-0005-0000-0000-0000CF160000}"/>
    <cellStyle name="Normal 4 8 3 2 2 2" xfId="16181" xr:uid="{DC95CE1F-7140-4ED1-97E9-8DD37C00F365}"/>
    <cellStyle name="Normal 4 8 3 2 3" xfId="11963" xr:uid="{A797180D-3B92-490F-86A8-B0905C7207F3}"/>
    <cellStyle name="Normal 4 8 3 3" xfId="5607" xr:uid="{00000000-0005-0000-0000-0000D0160000}"/>
    <cellStyle name="Normal 4 8 3 3 2" xfId="14036" xr:uid="{4915226B-6C5C-44D3-9561-C42893C9A93C}"/>
    <cellStyle name="Normal 4 8 3 4" xfId="9818" xr:uid="{E7789D4B-27E8-4B82-BE6E-6B10AEBD8BC2}"/>
    <cellStyle name="Normal 4 8 4" xfId="1711" xr:uid="{00000000-0005-0000-0000-0000D1160000}"/>
    <cellStyle name="Normal 4 8 4 2" xfId="3941" xr:uid="{00000000-0005-0000-0000-0000D2160000}"/>
    <cellStyle name="Normal 4 8 4 2 2" xfId="8165" xr:uid="{00000000-0005-0000-0000-0000D3160000}"/>
    <cellStyle name="Normal 4 8 4 2 2 2" xfId="16594" xr:uid="{E0E717D8-AB05-4A61-9597-F7436E8CD90A}"/>
    <cellStyle name="Normal 4 8 4 2 3" xfId="12376" xr:uid="{DD30245D-CD73-4378-945D-0DC7EC49FCBB}"/>
    <cellStyle name="Normal 4 8 4 3" xfId="6020" xr:uid="{00000000-0005-0000-0000-0000D4160000}"/>
    <cellStyle name="Normal 4 8 4 3 2" xfId="14449" xr:uid="{11E1F193-7FF1-4382-89B6-10B0204CC31C}"/>
    <cellStyle name="Normal 4 8 4 4" xfId="10231" xr:uid="{E9844A18-7F07-4371-8366-41ADE1D7D05C}"/>
    <cellStyle name="Normal 4 8 5" xfId="2125" xr:uid="{00000000-0005-0000-0000-0000D5160000}"/>
    <cellStyle name="Normal 4 8 5 2" xfId="4354" xr:uid="{00000000-0005-0000-0000-0000D6160000}"/>
    <cellStyle name="Normal 4 8 5 2 2" xfId="8578" xr:uid="{00000000-0005-0000-0000-0000D7160000}"/>
    <cellStyle name="Normal 4 8 5 2 2 2" xfId="17007" xr:uid="{1DB17797-2C85-4B32-A0F2-A52BB0E6D96D}"/>
    <cellStyle name="Normal 4 8 5 2 3" xfId="12789" xr:uid="{9C7A6111-DA9E-4D02-A392-13FE754C808C}"/>
    <cellStyle name="Normal 4 8 5 3" xfId="6433" xr:uid="{00000000-0005-0000-0000-0000D8160000}"/>
    <cellStyle name="Normal 4 8 5 3 2" xfId="14862" xr:uid="{F10AE8E5-AC0A-46B5-838B-7DFD00B3AB85}"/>
    <cellStyle name="Normal 4 8 5 4" xfId="10644" xr:uid="{B15333A0-E4D1-42FB-ABF8-BB4078CB534A}"/>
    <cellStyle name="Normal 4 8 6" xfId="2561" xr:uid="{00000000-0005-0000-0000-0000D9160000}"/>
    <cellStyle name="Normal 4 8 6 2" xfId="6846" xr:uid="{00000000-0005-0000-0000-0000DA160000}"/>
    <cellStyle name="Normal 4 8 6 2 2" xfId="15275" xr:uid="{B2E016B2-CE76-49AD-ABFC-CBC22A815B63}"/>
    <cellStyle name="Normal 4 8 6 3" xfId="11057" xr:uid="{D2734F68-8B8C-4DE7-A646-450139988D5D}"/>
    <cellStyle name="Normal 4 8 7" xfId="4781" xr:uid="{00000000-0005-0000-0000-0000DB160000}"/>
    <cellStyle name="Normal 4 8 7 2" xfId="13210" xr:uid="{43AE48EB-84C4-4D47-A5F8-6102B1795F58}"/>
    <cellStyle name="Normal 4 8 8" xfId="8992" xr:uid="{6417DCB5-4627-4749-89AC-8ED42FB8EDE0}"/>
    <cellStyle name="Normal 4 9" xfId="4718" xr:uid="{00000000-0005-0000-0000-0000DC160000}"/>
    <cellStyle name="Normal 4 9 2" xfId="13147" xr:uid="{D62AE336-37E9-486C-B2C7-7ED7D82ACFFA}"/>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FFD50878-7C79-4F0D-807B-51AB0A30A48A}"/>
    <cellStyle name="Normal 5 10 2 3" xfId="12377" xr:uid="{03EE1CF5-D4C0-487D-BF1B-D4CDF4ED0931}"/>
    <cellStyle name="Normal 5 10 3" xfId="6021" xr:uid="{00000000-0005-0000-0000-0000E1160000}"/>
    <cellStyle name="Normal 5 10 3 2" xfId="14450" xr:uid="{9355F38E-3CC0-4F5F-ADAE-722ABC80A1AB}"/>
    <cellStyle name="Normal 5 10 4" xfId="10232" xr:uid="{A83E4833-B837-45D1-BF11-CB0C2E487245}"/>
    <cellStyle name="Normal 5 11" xfId="2126" xr:uid="{00000000-0005-0000-0000-0000E2160000}"/>
    <cellStyle name="Normal 5 11 2" xfId="4355" xr:uid="{00000000-0005-0000-0000-0000E3160000}"/>
    <cellStyle name="Normal 5 11 2 2" xfId="8579" xr:uid="{00000000-0005-0000-0000-0000E4160000}"/>
    <cellStyle name="Normal 5 11 2 2 2" xfId="17008" xr:uid="{29F3762E-3FF6-401D-8932-AB63699A0CB0}"/>
    <cellStyle name="Normal 5 11 2 3" xfId="12790" xr:uid="{F5B77486-B4B3-4729-8A04-2A29D9C4CDBA}"/>
    <cellStyle name="Normal 5 11 3" xfId="6434" xr:uid="{00000000-0005-0000-0000-0000E5160000}"/>
    <cellStyle name="Normal 5 11 3 2" xfId="14863" xr:uid="{14EE04D3-0597-4A9D-8C4D-3C59A25A97C7}"/>
    <cellStyle name="Normal 5 11 4" xfId="10645" xr:uid="{0CF26F21-B434-46DE-AD31-9E2AB5CA17DA}"/>
    <cellStyle name="Normal 5 12" xfId="2562" xr:uid="{00000000-0005-0000-0000-0000E6160000}"/>
    <cellStyle name="Normal 5 12 2" xfId="6847" xr:uid="{00000000-0005-0000-0000-0000E7160000}"/>
    <cellStyle name="Normal 5 12 2 2" xfId="15276" xr:uid="{7EFC446F-3F1F-4217-AEFC-D974ED0BD551}"/>
    <cellStyle name="Normal 5 12 3" xfId="11058" xr:uid="{89430E94-6B4A-4100-8582-AFFDFB91F696}"/>
    <cellStyle name="Normal 5 13" xfId="4782" xr:uid="{00000000-0005-0000-0000-0000E8160000}"/>
    <cellStyle name="Normal 5 13 2" xfId="13211" xr:uid="{88ED29DE-371E-457D-BB85-AD8831176E94}"/>
    <cellStyle name="Normal 5 14" xfId="8993" xr:uid="{C4114D5E-0331-49CF-AC10-AE84FD4001B4}"/>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CD805D07-EC84-4CE6-BE2C-02E1DB54062F}"/>
    <cellStyle name="Normal 5 2 10 2 3" xfId="12791" xr:uid="{037824B1-B2AE-45A4-9989-33DC79DC5FC3}"/>
    <cellStyle name="Normal 5 2 10 3" xfId="6435" xr:uid="{00000000-0005-0000-0000-0000ED160000}"/>
    <cellStyle name="Normal 5 2 10 3 2" xfId="14864" xr:uid="{CF3363AF-3F98-4018-A820-DFB79B1195AD}"/>
    <cellStyle name="Normal 5 2 10 4" xfId="10646" xr:uid="{5648D105-D6BA-4500-92E8-A1452B6438CB}"/>
    <cellStyle name="Normal 5 2 11" xfId="2563" xr:uid="{00000000-0005-0000-0000-0000EE160000}"/>
    <cellStyle name="Normal 5 2 11 2" xfId="6848" xr:uid="{00000000-0005-0000-0000-0000EF160000}"/>
    <cellStyle name="Normal 5 2 11 2 2" xfId="15277" xr:uid="{081BF758-FF00-4DF6-8EE9-AC66D36E8393}"/>
    <cellStyle name="Normal 5 2 11 3" xfId="11059" xr:uid="{0DC2EF14-216A-4D1C-AF1F-11A94117FC34}"/>
    <cellStyle name="Normal 5 2 12" xfId="4783" xr:uid="{00000000-0005-0000-0000-0000F0160000}"/>
    <cellStyle name="Normal 5 2 12 2" xfId="13212" xr:uid="{59BDCBC7-0F4D-48B6-9879-174F80EF3327}"/>
    <cellStyle name="Normal 5 2 13" xfId="8994" xr:uid="{C15573FA-6D08-47C8-8A37-98BB372E669A}"/>
    <cellStyle name="Normal 5 2 2" xfId="408" xr:uid="{00000000-0005-0000-0000-0000F1160000}"/>
    <cellStyle name="Normal 5 2 2 10" xfId="2564" xr:uid="{00000000-0005-0000-0000-0000F2160000}"/>
    <cellStyle name="Normal 5 2 2 10 2" xfId="6849" xr:uid="{00000000-0005-0000-0000-0000F3160000}"/>
    <cellStyle name="Normal 5 2 2 10 2 2" xfId="15278" xr:uid="{13EBB29B-8146-4EB6-8295-010518000C5F}"/>
    <cellStyle name="Normal 5 2 2 10 3" xfId="11060" xr:uid="{832CE47E-AE8B-4983-8DBF-8B7867F77540}"/>
    <cellStyle name="Normal 5 2 2 11" xfId="4784" xr:uid="{00000000-0005-0000-0000-0000F4160000}"/>
    <cellStyle name="Normal 5 2 2 11 2" xfId="13213" xr:uid="{5FDF9804-EDB2-459E-8DEF-A5FF98AB3107}"/>
    <cellStyle name="Normal 5 2 2 12" xfId="8995" xr:uid="{3B15F00E-87FA-44AA-A1DA-578846A32DAC}"/>
    <cellStyle name="Normal 5 2 2 2" xfId="409" xr:uid="{00000000-0005-0000-0000-0000F5160000}"/>
    <cellStyle name="Normal 5 2 2 2 10" xfId="4785" xr:uid="{00000000-0005-0000-0000-0000F6160000}"/>
    <cellStyle name="Normal 5 2 2 2 10 2" xfId="13214" xr:uid="{BC140898-B729-4209-BCC6-C1788AB3D8DD}"/>
    <cellStyle name="Normal 5 2 2 2 11" xfId="8996" xr:uid="{9C364A48-90A7-43ED-A409-9BF0411FF322}"/>
    <cellStyle name="Normal 5 2 2 2 2" xfId="410" xr:uid="{00000000-0005-0000-0000-0000F7160000}"/>
    <cellStyle name="Normal 5 2 2 2 2 10" xfId="8997" xr:uid="{D5A092D6-0C24-4D42-BBBF-8E683C5FEEC1}"/>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4DC8A4AA-FD3F-48B8-8269-A843DD75296A}"/>
    <cellStyle name="Normal 5 2 2 2 2 2 2 2 2 3" xfId="11557" xr:uid="{0714F451-D328-4756-9626-643EB13830CA}"/>
    <cellStyle name="Normal 5 2 2 2 2 2 2 2 3" xfId="5201" xr:uid="{00000000-0005-0000-0000-0000FD160000}"/>
    <cellStyle name="Normal 5 2 2 2 2 2 2 2 3 2" xfId="13630" xr:uid="{2912684E-C79E-491C-AB13-99F082EE8D9E}"/>
    <cellStyle name="Normal 5 2 2 2 2 2 2 2 4" xfId="9412" xr:uid="{95880903-E04B-449D-BDC9-0BE14D08A37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CFE22398-3A87-40B1-8E81-54F39E319ED3}"/>
    <cellStyle name="Normal 5 2 2 2 2 2 2 3 2 3" xfId="11970" xr:uid="{0EE82B3B-EC6B-4788-A09A-7979CB5CDE07}"/>
    <cellStyle name="Normal 5 2 2 2 2 2 2 3 3" xfId="5614" xr:uid="{00000000-0005-0000-0000-000001170000}"/>
    <cellStyle name="Normal 5 2 2 2 2 2 2 3 3 2" xfId="14043" xr:uid="{BA9A860E-D76F-49D6-93B2-E1D8B47A15B9}"/>
    <cellStyle name="Normal 5 2 2 2 2 2 2 3 4" xfId="9825" xr:uid="{4747AA56-A0A5-4F33-B2AC-533A6CECFA6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C7855572-48E3-4724-B2CD-A6C87760F774}"/>
    <cellStyle name="Normal 5 2 2 2 2 2 2 4 2 3" xfId="12383" xr:uid="{4A34BF9F-1B45-4910-8EF5-D838A24AA28E}"/>
    <cellStyle name="Normal 5 2 2 2 2 2 2 4 3" xfId="6027" xr:uid="{00000000-0005-0000-0000-000005170000}"/>
    <cellStyle name="Normal 5 2 2 2 2 2 2 4 3 2" xfId="14456" xr:uid="{7B72F69B-C16C-42C5-A6E0-B87CADEB4863}"/>
    <cellStyle name="Normal 5 2 2 2 2 2 2 4 4" xfId="10238" xr:uid="{70C1D0EE-36AB-4F1F-A84D-C6AC3DDFDBF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72432243-19CE-4124-9E1D-6E5B9093E8A9}"/>
    <cellStyle name="Normal 5 2 2 2 2 2 2 5 2 3" xfId="12796" xr:uid="{5FAD0460-49E5-4AC6-A3AD-569FE237DA8C}"/>
    <cellStyle name="Normal 5 2 2 2 2 2 2 5 3" xfId="6440" xr:uid="{00000000-0005-0000-0000-000009170000}"/>
    <cellStyle name="Normal 5 2 2 2 2 2 2 5 3 2" xfId="14869" xr:uid="{C80156DA-17DD-4D3E-943D-EEF6B4030C1D}"/>
    <cellStyle name="Normal 5 2 2 2 2 2 2 5 4" xfId="10651" xr:uid="{667B4BAE-BFD1-4E7E-A86A-FBDA61B18115}"/>
    <cellStyle name="Normal 5 2 2 2 2 2 2 6" xfId="2568" xr:uid="{00000000-0005-0000-0000-00000A170000}"/>
    <cellStyle name="Normal 5 2 2 2 2 2 2 6 2" xfId="6853" xr:uid="{00000000-0005-0000-0000-00000B170000}"/>
    <cellStyle name="Normal 5 2 2 2 2 2 2 6 2 2" xfId="15282" xr:uid="{320D1521-E82C-41C3-A320-78C05ACAE412}"/>
    <cellStyle name="Normal 5 2 2 2 2 2 2 6 3" xfId="11064" xr:uid="{98D8A27F-AC97-4840-A72D-5C4C03CE3A2B}"/>
    <cellStyle name="Normal 5 2 2 2 2 2 2 7" xfId="4788" xr:uid="{00000000-0005-0000-0000-00000C170000}"/>
    <cellStyle name="Normal 5 2 2 2 2 2 2 7 2" xfId="13217" xr:uid="{02B8309D-B676-4B8D-B583-D24A6D591023}"/>
    <cellStyle name="Normal 5 2 2 2 2 2 2 8" xfId="8999" xr:uid="{7F4C055E-9F84-4C6B-905B-C62F63E11D1D}"/>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BFEB4200-61F0-4C0D-BF78-A248FCDC202D}"/>
    <cellStyle name="Normal 5 2 2 2 2 2 3 2 3" xfId="11556" xr:uid="{EBE190AC-0737-4D93-A4C2-0EE1C4D05E86}"/>
    <cellStyle name="Normal 5 2 2 2 2 2 3 3" xfId="5200" xr:uid="{00000000-0005-0000-0000-000010170000}"/>
    <cellStyle name="Normal 5 2 2 2 2 2 3 3 2" xfId="13629" xr:uid="{CAB1DAC3-3FE4-444E-9AE1-669CFFFDCC0E}"/>
    <cellStyle name="Normal 5 2 2 2 2 2 3 4" xfId="9411" xr:uid="{1C5A600E-118E-4C86-BAA2-4704D11FC3D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8574D235-5778-4E7F-B246-579D87545E8D}"/>
    <cellStyle name="Normal 5 2 2 2 2 2 4 2 3" xfId="11969" xr:uid="{82B2553F-284E-4282-B633-0A767F295F7A}"/>
    <cellStyle name="Normal 5 2 2 2 2 2 4 3" xfId="5613" xr:uid="{00000000-0005-0000-0000-000014170000}"/>
    <cellStyle name="Normal 5 2 2 2 2 2 4 3 2" xfId="14042" xr:uid="{A2A1DAC0-3E65-4CCF-A972-FCE966B6789A}"/>
    <cellStyle name="Normal 5 2 2 2 2 2 4 4" xfId="9824" xr:uid="{B05FD3E5-3BEC-4219-83E4-A04B91FD2E75}"/>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FF7AAD4A-9B67-41EE-B131-55C8F2A8FE34}"/>
    <cellStyle name="Normal 5 2 2 2 2 2 5 2 3" xfId="12382" xr:uid="{204DFF39-4C73-4588-A323-D022D4A640C7}"/>
    <cellStyle name="Normal 5 2 2 2 2 2 5 3" xfId="6026" xr:uid="{00000000-0005-0000-0000-000018170000}"/>
    <cellStyle name="Normal 5 2 2 2 2 2 5 3 2" xfId="14455" xr:uid="{2687FF23-4B79-4169-A083-8C84488C6755}"/>
    <cellStyle name="Normal 5 2 2 2 2 2 5 4" xfId="10237" xr:uid="{9BFDD2E3-1745-4D5C-A8A9-7FE0C9B6954D}"/>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BE50B7B1-30AE-49A7-BA88-74CDFEDD6D45}"/>
    <cellStyle name="Normal 5 2 2 2 2 2 6 2 3" xfId="12795" xr:uid="{85CC30B6-ABE1-44B9-B001-176D1A8A62AC}"/>
    <cellStyle name="Normal 5 2 2 2 2 2 6 3" xfId="6439" xr:uid="{00000000-0005-0000-0000-00001C170000}"/>
    <cellStyle name="Normal 5 2 2 2 2 2 6 3 2" xfId="14868" xr:uid="{2EE5C2D6-2CE4-4105-8BC3-679CC95A57B6}"/>
    <cellStyle name="Normal 5 2 2 2 2 2 6 4" xfId="10650" xr:uid="{12593471-3352-404D-BF00-8A7DEE1B0340}"/>
    <cellStyle name="Normal 5 2 2 2 2 2 7" xfId="2567" xr:uid="{00000000-0005-0000-0000-00001D170000}"/>
    <cellStyle name="Normal 5 2 2 2 2 2 7 2" xfId="6852" xr:uid="{00000000-0005-0000-0000-00001E170000}"/>
    <cellStyle name="Normal 5 2 2 2 2 2 7 2 2" xfId="15281" xr:uid="{0301F007-B1B3-4D12-99E9-89736326B5AD}"/>
    <cellStyle name="Normal 5 2 2 2 2 2 7 3" xfId="11063" xr:uid="{B2CD677C-1F8B-4D7B-84A2-F0122113F7C7}"/>
    <cellStyle name="Normal 5 2 2 2 2 2 8" xfId="4787" xr:uid="{00000000-0005-0000-0000-00001F170000}"/>
    <cellStyle name="Normal 5 2 2 2 2 2 8 2" xfId="13216" xr:uid="{A0D61AA2-CFF9-4BD4-9A68-7A8C6FD09C68}"/>
    <cellStyle name="Normal 5 2 2 2 2 2 9" xfId="8998" xr:uid="{1F2EB499-8A33-411F-A8CC-9517B1A9FF95}"/>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DC5B5C1E-17E2-4244-8EC2-512E02B42659}"/>
    <cellStyle name="Normal 5 2 2 2 2 3 2 2 3" xfId="11558" xr:uid="{B67DC709-0092-4BFF-84B0-580DDC5B9568}"/>
    <cellStyle name="Normal 5 2 2 2 2 3 2 3" xfId="5202" xr:uid="{00000000-0005-0000-0000-000024170000}"/>
    <cellStyle name="Normal 5 2 2 2 2 3 2 3 2" xfId="13631" xr:uid="{51984C75-AEDE-4AD0-BCE0-FA85887FBAD1}"/>
    <cellStyle name="Normal 5 2 2 2 2 3 2 4" xfId="9413" xr:uid="{E03EABB7-49AC-43EF-9A63-E5778166C06F}"/>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B1194CEB-10A5-4337-9670-2B65BC4D8747}"/>
    <cellStyle name="Normal 5 2 2 2 2 3 3 2 3" xfId="11971" xr:uid="{D929C51F-722A-4358-8C7E-F490BE2CB5C1}"/>
    <cellStyle name="Normal 5 2 2 2 2 3 3 3" xfId="5615" xr:uid="{00000000-0005-0000-0000-000028170000}"/>
    <cellStyle name="Normal 5 2 2 2 2 3 3 3 2" xfId="14044" xr:uid="{C2ED9785-1A61-42DC-900F-C9BBE1A3F932}"/>
    <cellStyle name="Normal 5 2 2 2 2 3 3 4" xfId="9826" xr:uid="{C07F5C34-A48C-4B43-AFD7-3B97BA59C1AF}"/>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89E244A9-C9D8-4767-871D-11B13EA95261}"/>
    <cellStyle name="Normal 5 2 2 2 2 3 4 2 3" xfId="12384" xr:uid="{9DC355A7-5A91-4576-BDD8-B9B2DFB98D68}"/>
    <cellStyle name="Normal 5 2 2 2 2 3 4 3" xfId="6028" xr:uid="{00000000-0005-0000-0000-00002C170000}"/>
    <cellStyle name="Normal 5 2 2 2 2 3 4 3 2" xfId="14457" xr:uid="{3327DD7A-6F84-4AAC-B2A3-40E06ED13F30}"/>
    <cellStyle name="Normal 5 2 2 2 2 3 4 4" xfId="10239" xr:uid="{6FDC58C0-E2CF-45E4-9278-603C14914A54}"/>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1D44F991-E87F-4D2D-A0E8-26D8E22F94BD}"/>
    <cellStyle name="Normal 5 2 2 2 2 3 5 2 3" xfId="12797" xr:uid="{473B2867-6964-47B5-BE97-80C5C4E9861F}"/>
    <cellStyle name="Normal 5 2 2 2 2 3 5 3" xfId="6441" xr:uid="{00000000-0005-0000-0000-000030170000}"/>
    <cellStyle name="Normal 5 2 2 2 2 3 5 3 2" xfId="14870" xr:uid="{EB0809C3-8D1B-48FE-BA7B-72AA4B630AA0}"/>
    <cellStyle name="Normal 5 2 2 2 2 3 5 4" xfId="10652" xr:uid="{089503E7-77EB-45D5-BDB1-C84218BBE452}"/>
    <cellStyle name="Normal 5 2 2 2 2 3 6" xfId="2569" xr:uid="{00000000-0005-0000-0000-000031170000}"/>
    <cellStyle name="Normal 5 2 2 2 2 3 6 2" xfId="6854" xr:uid="{00000000-0005-0000-0000-000032170000}"/>
    <cellStyle name="Normal 5 2 2 2 2 3 6 2 2" xfId="15283" xr:uid="{E3F3E530-3C3D-43C5-A673-B1CCAC8FA628}"/>
    <cellStyle name="Normal 5 2 2 2 2 3 6 3" xfId="11065" xr:uid="{CD435609-C326-4603-A4EA-F0E9CBC4C515}"/>
    <cellStyle name="Normal 5 2 2 2 2 3 7" xfId="4789" xr:uid="{00000000-0005-0000-0000-000033170000}"/>
    <cellStyle name="Normal 5 2 2 2 2 3 7 2" xfId="13218" xr:uid="{E40FA570-DC3D-4F28-97E7-68DFA96680C2}"/>
    <cellStyle name="Normal 5 2 2 2 2 3 8" xfId="9000" xr:uid="{8F6BD13B-6F91-4392-A274-9C207028144A}"/>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A98609A3-F6BD-4752-B453-535D67BA59D8}"/>
    <cellStyle name="Normal 5 2 2 2 2 4 2 3" xfId="11555" xr:uid="{5F7C3B75-B291-4A45-B125-B05D31CF7AC4}"/>
    <cellStyle name="Normal 5 2 2 2 2 4 3" xfId="5199" xr:uid="{00000000-0005-0000-0000-000037170000}"/>
    <cellStyle name="Normal 5 2 2 2 2 4 3 2" xfId="13628" xr:uid="{F040D513-49C7-4445-ADEB-8DE9DC9A955F}"/>
    <cellStyle name="Normal 5 2 2 2 2 4 4" xfId="9410" xr:uid="{787C3D0C-5E78-413A-952D-B6A6831E9E7A}"/>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02A975DA-F036-4DAF-8CD9-7D199E28468A}"/>
    <cellStyle name="Normal 5 2 2 2 2 5 2 3" xfId="11968" xr:uid="{39BA4D2F-E986-48A0-B51B-351617D6F64C}"/>
    <cellStyle name="Normal 5 2 2 2 2 5 3" xfId="5612" xr:uid="{00000000-0005-0000-0000-00003B170000}"/>
    <cellStyle name="Normal 5 2 2 2 2 5 3 2" xfId="14041" xr:uid="{BD976D89-6C45-4407-A23B-4374FED7F155}"/>
    <cellStyle name="Normal 5 2 2 2 2 5 4" xfId="9823" xr:uid="{72BA9EE0-3DDE-477B-BA41-4B089A1209B6}"/>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710B9726-9158-4B7C-8048-E679353363DE}"/>
    <cellStyle name="Normal 5 2 2 2 2 6 2 3" xfId="12381" xr:uid="{42F48D3D-323B-486C-AB8E-6F6AF834636E}"/>
    <cellStyle name="Normal 5 2 2 2 2 6 3" xfId="6025" xr:uid="{00000000-0005-0000-0000-00003F170000}"/>
    <cellStyle name="Normal 5 2 2 2 2 6 3 2" xfId="14454" xr:uid="{9F5136B4-F320-4278-822B-F18E8AC012F0}"/>
    <cellStyle name="Normal 5 2 2 2 2 6 4" xfId="10236" xr:uid="{B7EF9D9C-09FC-475B-8EB3-576C2CE9A852}"/>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335FD5E0-BA35-42CD-AF62-C8EBA4E5F381}"/>
    <cellStyle name="Normal 5 2 2 2 2 7 2 3" xfId="12794" xr:uid="{6C8B05D4-8DBF-42BD-A790-0CABE7F4FC27}"/>
    <cellStyle name="Normal 5 2 2 2 2 7 3" xfId="6438" xr:uid="{00000000-0005-0000-0000-000043170000}"/>
    <cellStyle name="Normal 5 2 2 2 2 7 3 2" xfId="14867" xr:uid="{2ED6DAD7-D4C7-4116-BAFE-CDA6CBB3D112}"/>
    <cellStyle name="Normal 5 2 2 2 2 7 4" xfId="10649" xr:uid="{43302D52-2B20-4B46-92C7-841D38396F13}"/>
    <cellStyle name="Normal 5 2 2 2 2 8" xfId="2566" xr:uid="{00000000-0005-0000-0000-000044170000}"/>
    <cellStyle name="Normal 5 2 2 2 2 8 2" xfId="6851" xr:uid="{00000000-0005-0000-0000-000045170000}"/>
    <cellStyle name="Normal 5 2 2 2 2 8 2 2" xfId="15280" xr:uid="{8AC9B8B0-A353-4599-81D2-AEFFE7919A71}"/>
    <cellStyle name="Normal 5 2 2 2 2 8 3" xfId="11062" xr:uid="{188E4CE4-2113-40B3-ABB2-825848DA8E0E}"/>
    <cellStyle name="Normal 5 2 2 2 2 9" xfId="4786" xr:uid="{00000000-0005-0000-0000-000046170000}"/>
    <cellStyle name="Normal 5 2 2 2 2 9 2" xfId="13215" xr:uid="{7C948BB8-7310-47B7-8DE0-4E470A7EA8E3}"/>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BBD7866F-4060-41C9-B6B2-5509BE7458A1}"/>
    <cellStyle name="Normal 5 2 2 2 3 2 2 2 3" xfId="11560" xr:uid="{82A47266-4A5B-44E1-B457-4B2C67FB5772}"/>
    <cellStyle name="Normal 5 2 2 2 3 2 2 3" xfId="5204" xr:uid="{00000000-0005-0000-0000-00004C170000}"/>
    <cellStyle name="Normal 5 2 2 2 3 2 2 3 2" xfId="13633" xr:uid="{E4CCB6C9-F71B-4026-BED8-822B35B2D6BC}"/>
    <cellStyle name="Normal 5 2 2 2 3 2 2 4" xfId="9415" xr:uid="{93291132-1968-4495-99D9-EA13F45ABA9F}"/>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35FF4FCF-F673-4C75-96E9-38335ECEE3AA}"/>
    <cellStyle name="Normal 5 2 2 2 3 2 3 2 3" xfId="11973" xr:uid="{8781D226-61A8-4844-BD06-A603A1B163AF}"/>
    <cellStyle name="Normal 5 2 2 2 3 2 3 3" xfId="5617" xr:uid="{00000000-0005-0000-0000-000050170000}"/>
    <cellStyle name="Normal 5 2 2 2 3 2 3 3 2" xfId="14046" xr:uid="{61E78C1F-300C-4EB8-81E0-83A82AE429FA}"/>
    <cellStyle name="Normal 5 2 2 2 3 2 3 4" xfId="9828" xr:uid="{DDAE2E20-0E5B-4C8B-B376-3DA711AB6C21}"/>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50483741-8AC9-4000-9627-1A847953F597}"/>
    <cellStyle name="Normal 5 2 2 2 3 2 4 2 3" xfId="12386" xr:uid="{40440413-D544-482B-B441-1775C88BBE93}"/>
    <cellStyle name="Normal 5 2 2 2 3 2 4 3" xfId="6030" xr:uid="{00000000-0005-0000-0000-000054170000}"/>
    <cellStyle name="Normal 5 2 2 2 3 2 4 3 2" xfId="14459" xr:uid="{E22E9570-F9EB-4AB3-95DC-91097A510FC9}"/>
    <cellStyle name="Normal 5 2 2 2 3 2 4 4" xfId="10241" xr:uid="{5648C37D-5C91-4DF5-8CC6-7591952CBBAC}"/>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8A7AE5D8-B1DB-41CF-8A06-A5309ABC0787}"/>
    <cellStyle name="Normal 5 2 2 2 3 2 5 2 3" xfId="12799" xr:uid="{72E6016C-6846-4EB4-A6A9-A7737E04A934}"/>
    <cellStyle name="Normal 5 2 2 2 3 2 5 3" xfId="6443" xr:uid="{00000000-0005-0000-0000-000058170000}"/>
    <cellStyle name="Normal 5 2 2 2 3 2 5 3 2" xfId="14872" xr:uid="{F5D584A0-5B67-419E-A65D-95BB1B224122}"/>
    <cellStyle name="Normal 5 2 2 2 3 2 5 4" xfId="10654" xr:uid="{8A9DD8F2-EF32-4768-8AB0-C2DF06268CB7}"/>
    <cellStyle name="Normal 5 2 2 2 3 2 6" xfId="2571" xr:uid="{00000000-0005-0000-0000-000059170000}"/>
    <cellStyle name="Normal 5 2 2 2 3 2 6 2" xfId="6856" xr:uid="{00000000-0005-0000-0000-00005A170000}"/>
    <cellStyle name="Normal 5 2 2 2 3 2 6 2 2" xfId="15285" xr:uid="{09109FA5-715D-4075-B56F-5E38EA5C86EF}"/>
    <cellStyle name="Normal 5 2 2 2 3 2 6 3" xfId="11067" xr:uid="{2C57D761-4357-4BCD-A9AE-BEEAFD6227B9}"/>
    <cellStyle name="Normal 5 2 2 2 3 2 7" xfId="4791" xr:uid="{00000000-0005-0000-0000-00005B170000}"/>
    <cellStyle name="Normal 5 2 2 2 3 2 7 2" xfId="13220" xr:uid="{1C6FED3E-1EA9-4813-BEC7-8F707EEDD882}"/>
    <cellStyle name="Normal 5 2 2 2 3 2 8" xfId="9002" xr:uid="{EB0D7EFB-236A-48FF-817F-4A952ABC0DC3}"/>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4CBD6970-DC76-4393-BD7E-133B5FB5E809}"/>
    <cellStyle name="Normal 5 2 2 2 3 3 2 3" xfId="11559" xr:uid="{505C5658-C478-4CCB-A72F-4A6FEF38DCFE}"/>
    <cellStyle name="Normal 5 2 2 2 3 3 3" xfId="5203" xr:uid="{00000000-0005-0000-0000-00005F170000}"/>
    <cellStyle name="Normal 5 2 2 2 3 3 3 2" xfId="13632" xr:uid="{0FC977BD-A62F-44D8-9A90-36D1A43AF7E6}"/>
    <cellStyle name="Normal 5 2 2 2 3 3 4" xfId="9414" xr:uid="{883163A2-757B-4140-960F-AFE7B91CFE0B}"/>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1C5D95BD-C95F-4431-AFD1-2C8D2C0E69FE}"/>
    <cellStyle name="Normal 5 2 2 2 3 4 2 3" xfId="11972" xr:uid="{F094502D-B063-4CAA-9032-8B5CD9C64950}"/>
    <cellStyle name="Normal 5 2 2 2 3 4 3" xfId="5616" xr:uid="{00000000-0005-0000-0000-000063170000}"/>
    <cellStyle name="Normal 5 2 2 2 3 4 3 2" xfId="14045" xr:uid="{D94F72FD-7398-4541-8AE9-38BD3CFEAE14}"/>
    <cellStyle name="Normal 5 2 2 2 3 4 4" xfId="9827" xr:uid="{485E014B-3A76-468B-8F4C-E5BA3E0D7F4A}"/>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574FDBE4-293A-423E-B161-D136234D66A1}"/>
    <cellStyle name="Normal 5 2 2 2 3 5 2 3" xfId="12385" xr:uid="{2573CCCE-0D8F-40B1-8EE4-D36F85BA1BF5}"/>
    <cellStyle name="Normal 5 2 2 2 3 5 3" xfId="6029" xr:uid="{00000000-0005-0000-0000-000067170000}"/>
    <cellStyle name="Normal 5 2 2 2 3 5 3 2" xfId="14458" xr:uid="{60CA5FD1-0968-4819-AAD7-7B9795CEDEF2}"/>
    <cellStyle name="Normal 5 2 2 2 3 5 4" xfId="10240" xr:uid="{CB679DE1-EB55-41D8-92A9-AC70F0F5B18D}"/>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50BF9702-94A9-4F5E-9E04-DC8EEDF13CD0}"/>
    <cellStyle name="Normal 5 2 2 2 3 6 2 3" xfId="12798" xr:uid="{073FEC47-CD2A-4043-8361-6361DDE430E8}"/>
    <cellStyle name="Normal 5 2 2 2 3 6 3" xfId="6442" xr:uid="{00000000-0005-0000-0000-00006B170000}"/>
    <cellStyle name="Normal 5 2 2 2 3 6 3 2" xfId="14871" xr:uid="{B5DA6CBC-03EF-4923-AFAA-D2BD2F5630A2}"/>
    <cellStyle name="Normal 5 2 2 2 3 6 4" xfId="10653" xr:uid="{380613CE-D327-432C-8F6B-9D67DB6C2E5E}"/>
    <cellStyle name="Normal 5 2 2 2 3 7" xfId="2570" xr:uid="{00000000-0005-0000-0000-00006C170000}"/>
    <cellStyle name="Normal 5 2 2 2 3 7 2" xfId="6855" xr:uid="{00000000-0005-0000-0000-00006D170000}"/>
    <cellStyle name="Normal 5 2 2 2 3 7 2 2" xfId="15284" xr:uid="{D378CF7C-FF9B-4D04-B0F8-BFBD427A1D0A}"/>
    <cellStyle name="Normal 5 2 2 2 3 7 3" xfId="11066" xr:uid="{A37677A3-0690-4C42-B29B-69ABA28A4B76}"/>
    <cellStyle name="Normal 5 2 2 2 3 8" xfId="4790" xr:uid="{00000000-0005-0000-0000-00006E170000}"/>
    <cellStyle name="Normal 5 2 2 2 3 8 2" xfId="13219" xr:uid="{C9B33CEC-69EE-4580-A540-D6444E20B81B}"/>
    <cellStyle name="Normal 5 2 2 2 3 9" xfId="9001" xr:uid="{287183D8-8D76-411D-B439-B64B70947BD4}"/>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60EF9573-0118-4B00-9905-9658A3E6B403}"/>
    <cellStyle name="Normal 5 2 2 2 4 2 2 3" xfId="11561" xr:uid="{96D634FF-31C9-4A2F-8654-E99A8F2A8B20}"/>
    <cellStyle name="Normal 5 2 2 2 4 2 3" xfId="5205" xr:uid="{00000000-0005-0000-0000-000073170000}"/>
    <cellStyle name="Normal 5 2 2 2 4 2 3 2" xfId="13634" xr:uid="{BC843E8E-BEF7-4966-89F8-44E78EA6D57E}"/>
    <cellStyle name="Normal 5 2 2 2 4 2 4" xfId="9416" xr:uid="{D1DF4CDD-096D-4B0D-99CA-934A2893613D}"/>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AC787A99-AC71-4376-AFAA-29B5767F6C70}"/>
    <cellStyle name="Normal 5 2 2 2 4 3 2 3" xfId="11974" xr:uid="{289B533B-6705-4211-A5DA-152415B3D38D}"/>
    <cellStyle name="Normal 5 2 2 2 4 3 3" xfId="5618" xr:uid="{00000000-0005-0000-0000-000077170000}"/>
    <cellStyle name="Normal 5 2 2 2 4 3 3 2" xfId="14047" xr:uid="{510D8718-7C0D-46E1-A6DB-5E3514AB5312}"/>
    <cellStyle name="Normal 5 2 2 2 4 3 4" xfId="9829" xr:uid="{61D2E7BA-EF38-49EB-8B48-41EE338E8CEB}"/>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289E2E39-6D2C-4A55-A617-C9C2561DE958}"/>
    <cellStyle name="Normal 5 2 2 2 4 4 2 3" xfId="12387" xr:uid="{77E1783C-1036-4B91-B07C-116BB959EA15}"/>
    <cellStyle name="Normal 5 2 2 2 4 4 3" xfId="6031" xr:uid="{00000000-0005-0000-0000-00007B170000}"/>
    <cellStyle name="Normal 5 2 2 2 4 4 3 2" xfId="14460" xr:uid="{2D13068F-13F6-4A5B-A85D-A2B3DC3D551E}"/>
    <cellStyle name="Normal 5 2 2 2 4 4 4" xfId="10242" xr:uid="{5291C392-8AC1-41C9-B9FD-ADFD4A8E9C52}"/>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65F5F1DE-5875-47CD-95DB-0B7316E29C4C}"/>
    <cellStyle name="Normal 5 2 2 2 4 5 2 3" xfId="12800" xr:uid="{2A4EB78A-DB42-468F-A8BE-3A7A9F4599A7}"/>
    <cellStyle name="Normal 5 2 2 2 4 5 3" xfId="6444" xr:uid="{00000000-0005-0000-0000-00007F170000}"/>
    <cellStyle name="Normal 5 2 2 2 4 5 3 2" xfId="14873" xr:uid="{096E992C-65E4-4F32-BD8D-0A59462F40A4}"/>
    <cellStyle name="Normal 5 2 2 2 4 5 4" xfId="10655" xr:uid="{211C0DB6-BD2A-4AB7-9ACA-0A1907AE6F56}"/>
    <cellStyle name="Normal 5 2 2 2 4 6" xfId="2572" xr:uid="{00000000-0005-0000-0000-000080170000}"/>
    <cellStyle name="Normal 5 2 2 2 4 6 2" xfId="6857" xr:uid="{00000000-0005-0000-0000-000081170000}"/>
    <cellStyle name="Normal 5 2 2 2 4 6 2 2" xfId="15286" xr:uid="{A681B0EE-3F38-47C2-9FAA-FEC1BE3CD0DA}"/>
    <cellStyle name="Normal 5 2 2 2 4 6 3" xfId="11068" xr:uid="{E3FA458D-92DA-4EC5-A0E7-4B696348E162}"/>
    <cellStyle name="Normal 5 2 2 2 4 7" xfId="4792" xr:uid="{00000000-0005-0000-0000-000082170000}"/>
    <cellStyle name="Normal 5 2 2 2 4 7 2" xfId="13221" xr:uid="{066F754E-5F97-48DA-A024-6EDF1FEFD6A2}"/>
    <cellStyle name="Normal 5 2 2 2 4 8" xfId="9003" xr:uid="{8EE7908E-ECB6-45AE-9A34-41710070574E}"/>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8214913E-4340-4F74-A4FC-4DAA36AE0F5A}"/>
    <cellStyle name="Normal 5 2 2 2 5 2 3" xfId="11554" xr:uid="{35233870-73F5-4DE6-9DDD-F3DCE0F0D6C6}"/>
    <cellStyle name="Normal 5 2 2 2 5 3" xfId="5198" xr:uid="{00000000-0005-0000-0000-000086170000}"/>
    <cellStyle name="Normal 5 2 2 2 5 3 2" xfId="13627" xr:uid="{4DD654F7-1A36-4892-98B9-65FE16895C54}"/>
    <cellStyle name="Normal 5 2 2 2 5 4" xfId="9409" xr:uid="{6E7EC43B-4F2F-4639-879F-21496BCE8464}"/>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61642DFD-9AA5-41F5-B988-9F417F7BFBF1}"/>
    <cellStyle name="Normal 5 2 2 2 6 2 3" xfId="11967" xr:uid="{DD6A5020-9B10-4563-9C22-EB49B9236754}"/>
    <cellStyle name="Normal 5 2 2 2 6 3" xfId="5611" xr:uid="{00000000-0005-0000-0000-00008A170000}"/>
    <cellStyle name="Normal 5 2 2 2 6 3 2" xfId="14040" xr:uid="{0EB94CC7-F9DE-433B-85BF-3D845BD3045A}"/>
    <cellStyle name="Normal 5 2 2 2 6 4" xfId="9822" xr:uid="{E405E3AA-0F41-4EC4-BD39-A0E077E52C09}"/>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E54DCA7A-D814-43BE-B164-02DD58F9775D}"/>
    <cellStyle name="Normal 5 2 2 2 7 2 3" xfId="12380" xr:uid="{1ECDEC96-871E-4251-8D3B-D9F154C2E9C8}"/>
    <cellStyle name="Normal 5 2 2 2 7 3" xfId="6024" xr:uid="{00000000-0005-0000-0000-00008E170000}"/>
    <cellStyle name="Normal 5 2 2 2 7 3 2" xfId="14453" xr:uid="{20F7D751-168A-441B-9A2C-EF34EE66AFBE}"/>
    <cellStyle name="Normal 5 2 2 2 7 4" xfId="10235" xr:uid="{CC75D5E4-822E-47E9-A9B3-B4954852DBA5}"/>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768CCD48-6A19-4CAF-B68B-C28DC1B09894}"/>
    <cellStyle name="Normal 5 2 2 2 8 2 3" xfId="12793" xr:uid="{2BF870B4-3021-4A6E-942B-0EA6EE044DAE}"/>
    <cellStyle name="Normal 5 2 2 2 8 3" xfId="6437" xr:uid="{00000000-0005-0000-0000-000092170000}"/>
    <cellStyle name="Normal 5 2 2 2 8 3 2" xfId="14866" xr:uid="{37DC94EA-0D56-4A8D-A4EB-DB0E46C39E22}"/>
    <cellStyle name="Normal 5 2 2 2 8 4" xfId="10648" xr:uid="{659352FA-45A1-48D5-B5FD-9BB0A8CD2C77}"/>
    <cellStyle name="Normal 5 2 2 2 9" xfId="2565" xr:uid="{00000000-0005-0000-0000-000093170000}"/>
    <cellStyle name="Normal 5 2 2 2 9 2" xfId="6850" xr:uid="{00000000-0005-0000-0000-000094170000}"/>
    <cellStyle name="Normal 5 2 2 2 9 2 2" xfId="15279" xr:uid="{18B6D593-B3B2-45C2-95A2-3EEFD65C6D9A}"/>
    <cellStyle name="Normal 5 2 2 2 9 3" xfId="11061" xr:uid="{4360171F-C9C4-42B4-8BAA-20700794CAF6}"/>
    <cellStyle name="Normal 5 2 2 3" xfId="417" xr:uid="{00000000-0005-0000-0000-000095170000}"/>
    <cellStyle name="Normal 5 2 2 3 10" xfId="9004" xr:uid="{0720D390-47FE-4EAA-A367-73D3630543AE}"/>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1E54CD79-6953-4461-AFF1-3A093437DF2A}"/>
    <cellStyle name="Normal 5 2 2 3 2 2 2 2 3" xfId="11564" xr:uid="{72E7C5AD-C63B-49D2-8826-262E488ACB97}"/>
    <cellStyle name="Normal 5 2 2 3 2 2 2 3" xfId="5208" xr:uid="{00000000-0005-0000-0000-00009B170000}"/>
    <cellStyle name="Normal 5 2 2 3 2 2 2 3 2" xfId="13637" xr:uid="{F5AB6D4C-0180-4F6F-885D-113DF5A559B7}"/>
    <cellStyle name="Normal 5 2 2 3 2 2 2 4" xfId="9419" xr:uid="{BF06357C-BB8F-4782-BD0B-42C3E4759DD9}"/>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B2B60471-704E-4CE3-9264-45373ED579B1}"/>
    <cellStyle name="Normal 5 2 2 3 2 2 3 2 3" xfId="11977" xr:uid="{62C10360-6E48-4B75-8C5D-48111925983B}"/>
    <cellStyle name="Normal 5 2 2 3 2 2 3 3" xfId="5621" xr:uid="{00000000-0005-0000-0000-00009F170000}"/>
    <cellStyle name="Normal 5 2 2 3 2 2 3 3 2" xfId="14050" xr:uid="{74A82D50-49E9-40BF-824D-D9C7726EAE80}"/>
    <cellStyle name="Normal 5 2 2 3 2 2 3 4" xfId="9832" xr:uid="{AAD4D07C-F424-4D14-A9A2-47647AF0242F}"/>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4EB08BF6-55A8-4404-85C3-A3710146B954}"/>
    <cellStyle name="Normal 5 2 2 3 2 2 4 2 3" xfId="12390" xr:uid="{6786C3D8-C361-4578-9C04-026655FDF279}"/>
    <cellStyle name="Normal 5 2 2 3 2 2 4 3" xfId="6034" xr:uid="{00000000-0005-0000-0000-0000A3170000}"/>
    <cellStyle name="Normal 5 2 2 3 2 2 4 3 2" xfId="14463" xr:uid="{24B2B160-02A7-44C3-9F28-FA749A7560C9}"/>
    <cellStyle name="Normal 5 2 2 3 2 2 4 4" xfId="10245" xr:uid="{DCE0FE49-AAD1-4AA7-B5BE-A1A0C4594726}"/>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DC572E7A-0682-40DE-89D0-6F2CBCCDB5BF}"/>
    <cellStyle name="Normal 5 2 2 3 2 2 5 2 3" xfId="12803" xr:uid="{03D6F987-CE78-45CF-87C7-0DB9B9812F69}"/>
    <cellStyle name="Normal 5 2 2 3 2 2 5 3" xfId="6447" xr:uid="{00000000-0005-0000-0000-0000A7170000}"/>
    <cellStyle name="Normal 5 2 2 3 2 2 5 3 2" xfId="14876" xr:uid="{01679BB4-BBE5-4CDB-B7A4-47C36694CE2D}"/>
    <cellStyle name="Normal 5 2 2 3 2 2 5 4" xfId="10658" xr:uid="{70934850-F213-404A-9910-D1781B07030F}"/>
    <cellStyle name="Normal 5 2 2 3 2 2 6" xfId="2575" xr:uid="{00000000-0005-0000-0000-0000A8170000}"/>
    <cellStyle name="Normal 5 2 2 3 2 2 6 2" xfId="6860" xr:uid="{00000000-0005-0000-0000-0000A9170000}"/>
    <cellStyle name="Normal 5 2 2 3 2 2 6 2 2" xfId="15289" xr:uid="{214004F5-21E1-420C-8DA3-9918C2A262B0}"/>
    <cellStyle name="Normal 5 2 2 3 2 2 6 3" xfId="11071" xr:uid="{AEADEFF5-8877-4B4A-AD00-DFCA0164735F}"/>
    <cellStyle name="Normal 5 2 2 3 2 2 7" xfId="4795" xr:uid="{00000000-0005-0000-0000-0000AA170000}"/>
    <cellStyle name="Normal 5 2 2 3 2 2 7 2" xfId="13224" xr:uid="{E9C72298-5224-48CD-B1BF-75AF47BF3892}"/>
    <cellStyle name="Normal 5 2 2 3 2 2 8" xfId="9006" xr:uid="{20250A9E-8B92-4124-8D42-F378BAEC5A8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AB0CEF00-7011-4C0F-8C93-A15C43B89302}"/>
    <cellStyle name="Normal 5 2 2 3 2 3 2 3" xfId="11563" xr:uid="{DEF8168F-EDD8-4383-819E-3AEB01A205B0}"/>
    <cellStyle name="Normal 5 2 2 3 2 3 3" xfId="5207" xr:uid="{00000000-0005-0000-0000-0000AE170000}"/>
    <cellStyle name="Normal 5 2 2 3 2 3 3 2" xfId="13636" xr:uid="{BA77126C-5C65-4825-9996-2332A1637A84}"/>
    <cellStyle name="Normal 5 2 2 3 2 3 4" xfId="9418" xr:uid="{2CA47F86-C205-4BA3-A275-CAC9C2F6E6AC}"/>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BB4EB41D-C0D3-4FC2-85FF-F9A99A14F98C}"/>
    <cellStyle name="Normal 5 2 2 3 2 4 2 3" xfId="11976" xr:uid="{4776CE00-32BE-49C8-9CF7-5219C167592A}"/>
    <cellStyle name="Normal 5 2 2 3 2 4 3" xfId="5620" xr:uid="{00000000-0005-0000-0000-0000B2170000}"/>
    <cellStyle name="Normal 5 2 2 3 2 4 3 2" xfId="14049" xr:uid="{9521270D-A7E4-400F-929B-38AB409D785C}"/>
    <cellStyle name="Normal 5 2 2 3 2 4 4" xfId="9831" xr:uid="{E6A7BE5B-2953-4D14-B140-6DAC04222665}"/>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640BF5E1-35B9-4CC3-9ABD-45639CBE72CB}"/>
    <cellStyle name="Normal 5 2 2 3 2 5 2 3" xfId="12389" xr:uid="{9F4AD68F-F1BC-44E1-9CE5-4551C3B99633}"/>
    <cellStyle name="Normal 5 2 2 3 2 5 3" xfId="6033" xr:uid="{00000000-0005-0000-0000-0000B6170000}"/>
    <cellStyle name="Normal 5 2 2 3 2 5 3 2" xfId="14462" xr:uid="{7B3AE9F7-DB90-482B-90E4-7E4F4BA8D439}"/>
    <cellStyle name="Normal 5 2 2 3 2 5 4" xfId="10244" xr:uid="{5F789841-AB96-41CB-BC9F-1B33DDD92F2F}"/>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6001DB5C-5123-47FD-B395-E052C77D1803}"/>
    <cellStyle name="Normal 5 2 2 3 2 6 2 3" xfId="12802" xr:uid="{F26B2113-08A9-4663-B534-48168C849A83}"/>
    <cellStyle name="Normal 5 2 2 3 2 6 3" xfId="6446" xr:uid="{00000000-0005-0000-0000-0000BA170000}"/>
    <cellStyle name="Normal 5 2 2 3 2 6 3 2" xfId="14875" xr:uid="{46AC5720-43B2-4978-9BAF-24069D05F413}"/>
    <cellStyle name="Normal 5 2 2 3 2 6 4" xfId="10657" xr:uid="{F2937D3E-7214-4F35-B877-86587F66D4D9}"/>
    <cellStyle name="Normal 5 2 2 3 2 7" xfId="2574" xr:uid="{00000000-0005-0000-0000-0000BB170000}"/>
    <cellStyle name="Normal 5 2 2 3 2 7 2" xfId="6859" xr:uid="{00000000-0005-0000-0000-0000BC170000}"/>
    <cellStyle name="Normal 5 2 2 3 2 7 2 2" xfId="15288" xr:uid="{0410B914-0412-4578-A191-85044FD85C8F}"/>
    <cellStyle name="Normal 5 2 2 3 2 7 3" xfId="11070" xr:uid="{0511400C-83D1-43CE-9EFB-FC928997EF07}"/>
    <cellStyle name="Normal 5 2 2 3 2 8" xfId="4794" xr:uid="{00000000-0005-0000-0000-0000BD170000}"/>
    <cellStyle name="Normal 5 2 2 3 2 8 2" xfId="13223" xr:uid="{A7EA4C9F-10DF-4CF6-B994-0BBEFB72EB15}"/>
    <cellStyle name="Normal 5 2 2 3 2 9" xfId="9005" xr:uid="{94AD4951-F4FC-42C7-9308-F872924AA171}"/>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A74D7D04-9DF1-436D-9FCF-7AE589B5E156}"/>
    <cellStyle name="Normal 5 2 2 3 3 2 2 3" xfId="11565" xr:uid="{FD35F582-ABD9-4B9A-BCF9-26C62C05AF19}"/>
    <cellStyle name="Normal 5 2 2 3 3 2 3" xfId="5209" xr:uid="{00000000-0005-0000-0000-0000C2170000}"/>
    <cellStyle name="Normal 5 2 2 3 3 2 3 2" xfId="13638" xr:uid="{13C0004B-A347-45D2-AD8E-42E1F186FD11}"/>
    <cellStyle name="Normal 5 2 2 3 3 2 4" xfId="9420" xr:uid="{DEDDD662-E685-462D-A9AC-3B899771567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D79B16F3-228C-4D83-B423-F0FE7AD68C58}"/>
    <cellStyle name="Normal 5 2 2 3 3 3 2 3" xfId="11978" xr:uid="{70148B7B-B16B-4AD8-8A65-614CA7F6ED24}"/>
    <cellStyle name="Normal 5 2 2 3 3 3 3" xfId="5622" xr:uid="{00000000-0005-0000-0000-0000C6170000}"/>
    <cellStyle name="Normal 5 2 2 3 3 3 3 2" xfId="14051" xr:uid="{F4674FFA-7870-4F57-A686-7175197507EF}"/>
    <cellStyle name="Normal 5 2 2 3 3 3 4" xfId="9833" xr:uid="{C5419025-D569-49F2-96DD-A345CA726ABD}"/>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47D0F63D-4766-4E96-AA27-F1FFFC266A6F}"/>
    <cellStyle name="Normal 5 2 2 3 3 4 2 3" xfId="12391" xr:uid="{612F0835-A951-45C2-9C6A-CE101F9C161D}"/>
    <cellStyle name="Normal 5 2 2 3 3 4 3" xfId="6035" xr:uid="{00000000-0005-0000-0000-0000CA170000}"/>
    <cellStyle name="Normal 5 2 2 3 3 4 3 2" xfId="14464" xr:uid="{4CD493AC-45BE-40CB-8DB3-6F6A98DB3DED}"/>
    <cellStyle name="Normal 5 2 2 3 3 4 4" xfId="10246" xr:uid="{66FB7E99-BFBD-4FF4-9D83-D05ED6BA0D9E}"/>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AA74B9BB-F0A2-47A7-AE20-37F62ADD3561}"/>
    <cellStyle name="Normal 5 2 2 3 3 5 2 3" xfId="12804" xr:uid="{8FE18234-402E-467E-A4B0-42A314BBC802}"/>
    <cellStyle name="Normal 5 2 2 3 3 5 3" xfId="6448" xr:uid="{00000000-0005-0000-0000-0000CE170000}"/>
    <cellStyle name="Normal 5 2 2 3 3 5 3 2" xfId="14877" xr:uid="{C4F6B3B0-ED18-479F-BD1D-D6DC94A94246}"/>
    <cellStyle name="Normal 5 2 2 3 3 5 4" xfId="10659" xr:uid="{D5325F5F-4A30-40C8-B18A-49609A6EFF8C}"/>
    <cellStyle name="Normal 5 2 2 3 3 6" xfId="2576" xr:uid="{00000000-0005-0000-0000-0000CF170000}"/>
    <cellStyle name="Normal 5 2 2 3 3 6 2" xfId="6861" xr:uid="{00000000-0005-0000-0000-0000D0170000}"/>
    <cellStyle name="Normal 5 2 2 3 3 6 2 2" xfId="15290" xr:uid="{2C6D6D5B-66A8-4A37-B0BD-30D72474D8AD}"/>
    <cellStyle name="Normal 5 2 2 3 3 6 3" xfId="11072" xr:uid="{1B096A47-FE41-4855-8C10-6A1F054B7C53}"/>
    <cellStyle name="Normal 5 2 2 3 3 7" xfId="4796" xr:uid="{00000000-0005-0000-0000-0000D1170000}"/>
    <cellStyle name="Normal 5 2 2 3 3 7 2" xfId="13225" xr:uid="{704BAE4C-FDBE-4BE0-A797-80D8B6CD90C2}"/>
    <cellStyle name="Normal 5 2 2 3 3 8" xfId="9007" xr:uid="{DC30C386-F2AA-4A04-BFEB-28E36BB43C39}"/>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528086DF-A18C-4C56-84B6-96EE855D437C}"/>
    <cellStyle name="Normal 5 2 2 3 4 2 3" xfId="11562" xr:uid="{C910716C-2F86-406C-BD53-6619D12167F9}"/>
    <cellStyle name="Normal 5 2 2 3 4 3" xfId="5206" xr:uid="{00000000-0005-0000-0000-0000D5170000}"/>
    <cellStyle name="Normal 5 2 2 3 4 3 2" xfId="13635" xr:uid="{5A521274-BAC1-45AE-8DE4-7CAE8215D037}"/>
    <cellStyle name="Normal 5 2 2 3 4 4" xfId="9417" xr:uid="{F1E2AC8E-6BC0-474E-9118-00D794EE5E6D}"/>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2C4310C6-3F2B-4C80-8570-28F06CE4D554}"/>
    <cellStyle name="Normal 5 2 2 3 5 2 3" xfId="11975" xr:uid="{1440237D-5FD4-4131-91C7-7BBF503545B1}"/>
    <cellStyle name="Normal 5 2 2 3 5 3" xfId="5619" xr:uid="{00000000-0005-0000-0000-0000D9170000}"/>
    <cellStyle name="Normal 5 2 2 3 5 3 2" xfId="14048" xr:uid="{C298C919-A9A5-47E2-AFCE-E632C3A0B66C}"/>
    <cellStyle name="Normal 5 2 2 3 5 4" xfId="9830" xr:uid="{27AE9DEC-4F65-4D77-9416-51A9BB25F158}"/>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67F8630D-4724-4E44-B193-00DCEE98DB9B}"/>
    <cellStyle name="Normal 5 2 2 3 6 2 3" xfId="12388" xr:uid="{23FA5C33-545E-489F-8421-E0C564959463}"/>
    <cellStyle name="Normal 5 2 2 3 6 3" xfId="6032" xr:uid="{00000000-0005-0000-0000-0000DD170000}"/>
    <cellStyle name="Normal 5 2 2 3 6 3 2" xfId="14461" xr:uid="{1B973DEC-2293-412F-8C54-7BA759F33F33}"/>
    <cellStyle name="Normal 5 2 2 3 6 4" xfId="10243" xr:uid="{3E408776-F70C-4250-BDE9-3FD5143DDFCC}"/>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AD9BCAE5-2914-458B-ABA3-1FD24AB67B0B}"/>
    <cellStyle name="Normal 5 2 2 3 7 2 3" xfId="12801" xr:uid="{C0A75416-F983-4468-8C91-2369A0BCCC46}"/>
    <cellStyle name="Normal 5 2 2 3 7 3" xfId="6445" xr:uid="{00000000-0005-0000-0000-0000E1170000}"/>
    <cellStyle name="Normal 5 2 2 3 7 3 2" xfId="14874" xr:uid="{A4281C1D-52AF-44FB-90C7-91BAB0A65B5D}"/>
    <cellStyle name="Normal 5 2 2 3 7 4" xfId="10656" xr:uid="{247FA80A-1301-429D-B581-249A4963CB3E}"/>
    <cellStyle name="Normal 5 2 2 3 8" xfId="2573" xr:uid="{00000000-0005-0000-0000-0000E2170000}"/>
    <cellStyle name="Normal 5 2 2 3 8 2" xfId="6858" xr:uid="{00000000-0005-0000-0000-0000E3170000}"/>
    <cellStyle name="Normal 5 2 2 3 8 2 2" xfId="15287" xr:uid="{1457EC24-FCC8-4A7E-98FA-9711B7A1987E}"/>
    <cellStyle name="Normal 5 2 2 3 8 3" xfId="11069" xr:uid="{27A01B64-ADA0-475C-B3E1-40A3FEF4B902}"/>
    <cellStyle name="Normal 5 2 2 3 9" xfId="4793" xr:uid="{00000000-0005-0000-0000-0000E4170000}"/>
    <cellStyle name="Normal 5 2 2 3 9 2" xfId="13222" xr:uid="{F324CEAB-C942-4A6C-8C72-E1851BE9B7AA}"/>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08492A5F-F658-43C0-BC21-16B5663479D0}"/>
    <cellStyle name="Normal 5 2 2 4 2 2 2 3" xfId="11567" xr:uid="{005ACA80-13D9-40FB-968A-7396C8776FC5}"/>
    <cellStyle name="Normal 5 2 2 4 2 2 3" xfId="5211" xr:uid="{00000000-0005-0000-0000-0000EA170000}"/>
    <cellStyle name="Normal 5 2 2 4 2 2 3 2" xfId="13640" xr:uid="{CEC0C33E-900B-4B7A-8416-188CB175F42A}"/>
    <cellStyle name="Normal 5 2 2 4 2 2 4" xfId="9422" xr:uid="{A3D1AC3B-FD6E-4F9E-8EE2-89C3B72BFB14}"/>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2885398D-8D67-4907-B28F-03CBE7284A54}"/>
    <cellStyle name="Normal 5 2 2 4 2 3 2 3" xfId="11980" xr:uid="{DA073BC7-E040-4AA0-86A6-FE8EE6795F39}"/>
    <cellStyle name="Normal 5 2 2 4 2 3 3" xfId="5624" xr:uid="{00000000-0005-0000-0000-0000EE170000}"/>
    <cellStyle name="Normal 5 2 2 4 2 3 3 2" xfId="14053" xr:uid="{E1EF7DA7-4139-45E2-AA3D-CEF764000D2F}"/>
    <cellStyle name="Normal 5 2 2 4 2 3 4" xfId="9835" xr:uid="{939DD586-C4C5-4F21-A00A-5F45FF088CDE}"/>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5DE963AF-1E2D-4529-8694-12347F86232E}"/>
    <cellStyle name="Normal 5 2 2 4 2 4 2 3" xfId="12393" xr:uid="{3927C8DD-5148-4A81-8063-F85C181CEC8E}"/>
    <cellStyle name="Normal 5 2 2 4 2 4 3" xfId="6037" xr:uid="{00000000-0005-0000-0000-0000F2170000}"/>
    <cellStyle name="Normal 5 2 2 4 2 4 3 2" xfId="14466" xr:uid="{3AE0C7DB-054F-451D-B9D0-65619EA88A40}"/>
    <cellStyle name="Normal 5 2 2 4 2 4 4" xfId="10248" xr:uid="{BCE15D4A-94E9-4F9B-BE35-664F87BF4478}"/>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FE102DBC-FA40-4CFD-AF5E-604EA8B96B3F}"/>
    <cellStyle name="Normal 5 2 2 4 2 5 2 3" xfId="12806" xr:uid="{77060C27-08A0-48C6-88DD-AF827F80A18A}"/>
    <cellStyle name="Normal 5 2 2 4 2 5 3" xfId="6450" xr:uid="{00000000-0005-0000-0000-0000F6170000}"/>
    <cellStyle name="Normal 5 2 2 4 2 5 3 2" xfId="14879" xr:uid="{107B9777-BC8A-4ADF-B517-D6441B15C2A7}"/>
    <cellStyle name="Normal 5 2 2 4 2 5 4" xfId="10661" xr:uid="{A24572F1-EC8B-4A46-9B28-27763926A843}"/>
    <cellStyle name="Normal 5 2 2 4 2 6" xfId="2578" xr:uid="{00000000-0005-0000-0000-0000F7170000}"/>
    <cellStyle name="Normal 5 2 2 4 2 6 2" xfId="6863" xr:uid="{00000000-0005-0000-0000-0000F8170000}"/>
    <cellStyle name="Normal 5 2 2 4 2 6 2 2" xfId="15292" xr:uid="{70C0ABE2-8BDC-41D8-BF14-F817CF8032B4}"/>
    <cellStyle name="Normal 5 2 2 4 2 6 3" xfId="11074" xr:uid="{73A04D52-AB5E-49E9-9AB9-6690A81A052C}"/>
    <cellStyle name="Normal 5 2 2 4 2 7" xfId="4798" xr:uid="{00000000-0005-0000-0000-0000F9170000}"/>
    <cellStyle name="Normal 5 2 2 4 2 7 2" xfId="13227" xr:uid="{0C9AC519-D41C-4A1A-AA60-8531189ECA00}"/>
    <cellStyle name="Normal 5 2 2 4 2 8" xfId="9009" xr:uid="{9A974032-966D-48F7-BAA7-0FA352ACEA01}"/>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C03FC350-A7EE-4ADF-BA1F-86012667E940}"/>
    <cellStyle name="Normal 5 2 2 4 3 2 3" xfId="11566" xr:uid="{1729C497-AFBD-4813-B40E-CF8A4055C0D6}"/>
    <cellStyle name="Normal 5 2 2 4 3 3" xfId="5210" xr:uid="{00000000-0005-0000-0000-0000FD170000}"/>
    <cellStyle name="Normal 5 2 2 4 3 3 2" xfId="13639" xr:uid="{95EE873C-6B4D-41BA-9995-52EDFC8486FA}"/>
    <cellStyle name="Normal 5 2 2 4 3 4" xfId="9421" xr:uid="{434E4604-EDD9-4D36-8904-BF4EF1B1D663}"/>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6003FCA-28FB-480B-BE6E-1CA8C9634E39}"/>
    <cellStyle name="Normal 5 2 2 4 4 2 3" xfId="11979" xr:uid="{229272C2-D0C3-43B6-98FF-9C7EE6470FD3}"/>
    <cellStyle name="Normal 5 2 2 4 4 3" xfId="5623" xr:uid="{00000000-0005-0000-0000-000001180000}"/>
    <cellStyle name="Normal 5 2 2 4 4 3 2" xfId="14052" xr:uid="{D00DFE84-DA19-4599-843A-6CC260609BFA}"/>
    <cellStyle name="Normal 5 2 2 4 4 4" xfId="9834" xr:uid="{A4C16FC2-8BAB-4D9B-8087-37418BA3963A}"/>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185581CA-7F6E-4AD6-9670-DDF9AE1BC912}"/>
    <cellStyle name="Normal 5 2 2 4 5 2 3" xfId="12392" xr:uid="{F4157719-20A4-4608-9314-3F680EF750DF}"/>
    <cellStyle name="Normal 5 2 2 4 5 3" xfId="6036" xr:uid="{00000000-0005-0000-0000-000005180000}"/>
    <cellStyle name="Normal 5 2 2 4 5 3 2" xfId="14465" xr:uid="{583BD122-E372-4661-B548-FE72116FE018}"/>
    <cellStyle name="Normal 5 2 2 4 5 4" xfId="10247" xr:uid="{39FE9A40-54E2-44BA-897A-8C419BFBBA6D}"/>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6F11919F-007F-46F6-A1A4-B20D70F1F6E7}"/>
    <cellStyle name="Normal 5 2 2 4 6 2 3" xfId="12805" xr:uid="{90C4546E-4346-4BB1-AABC-8B3835E8C0DF}"/>
    <cellStyle name="Normal 5 2 2 4 6 3" xfId="6449" xr:uid="{00000000-0005-0000-0000-000009180000}"/>
    <cellStyle name="Normal 5 2 2 4 6 3 2" xfId="14878" xr:uid="{52F631B3-A909-47D1-9E25-CC426CE91D9D}"/>
    <cellStyle name="Normal 5 2 2 4 6 4" xfId="10660" xr:uid="{97CC87A1-F35C-46BF-8C97-A99F30AF286D}"/>
    <cellStyle name="Normal 5 2 2 4 7" xfId="2577" xr:uid="{00000000-0005-0000-0000-00000A180000}"/>
    <cellStyle name="Normal 5 2 2 4 7 2" xfId="6862" xr:uid="{00000000-0005-0000-0000-00000B180000}"/>
    <cellStyle name="Normal 5 2 2 4 7 2 2" xfId="15291" xr:uid="{C09B7720-B94B-4656-99F1-BD00FCD87268}"/>
    <cellStyle name="Normal 5 2 2 4 7 3" xfId="11073" xr:uid="{B4F88234-FEEF-4E9C-9E0A-4D9F6EC4B97E}"/>
    <cellStyle name="Normal 5 2 2 4 8" xfId="4797" xr:uid="{00000000-0005-0000-0000-00000C180000}"/>
    <cellStyle name="Normal 5 2 2 4 8 2" xfId="13226" xr:uid="{6E8B9440-B048-4313-BDC2-6E4F8C6C216D}"/>
    <cellStyle name="Normal 5 2 2 4 9" xfId="9008" xr:uid="{65E1750B-9FE1-4F22-AA62-8DD647F09CC8}"/>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63DF1264-BFE5-4538-8430-BBA402300C1C}"/>
    <cellStyle name="Normal 5 2 2 5 2 2 3" xfId="11568" xr:uid="{5954C3CF-064F-4B68-B8E8-891547D857FA}"/>
    <cellStyle name="Normal 5 2 2 5 2 3" xfId="5212" xr:uid="{00000000-0005-0000-0000-000011180000}"/>
    <cellStyle name="Normal 5 2 2 5 2 3 2" xfId="13641" xr:uid="{0FB791B6-8787-48ED-AD44-AFADB177AE75}"/>
    <cellStyle name="Normal 5 2 2 5 2 4" xfId="9423" xr:uid="{6D0ED0BE-8A6B-4229-A67A-0D07833706CB}"/>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692F1331-E45B-4F07-BEB3-8E2478FC8E99}"/>
    <cellStyle name="Normal 5 2 2 5 3 2 3" xfId="11981" xr:uid="{61A50F33-DA86-40AA-82CF-E9ADD359C003}"/>
    <cellStyle name="Normal 5 2 2 5 3 3" xfId="5625" xr:uid="{00000000-0005-0000-0000-000015180000}"/>
    <cellStyle name="Normal 5 2 2 5 3 3 2" xfId="14054" xr:uid="{761A86B2-DFFD-43EB-8EF2-B7AF3413CE54}"/>
    <cellStyle name="Normal 5 2 2 5 3 4" xfId="9836" xr:uid="{D81040E1-FF81-4E9F-8667-0219D449912F}"/>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A6DA86A4-7775-4CA3-BCFE-A3ECE6010E36}"/>
    <cellStyle name="Normal 5 2 2 5 4 2 3" xfId="12394" xr:uid="{440121BE-B5E7-4E1F-AFF5-82BD05922C13}"/>
    <cellStyle name="Normal 5 2 2 5 4 3" xfId="6038" xr:uid="{00000000-0005-0000-0000-000019180000}"/>
    <cellStyle name="Normal 5 2 2 5 4 3 2" xfId="14467" xr:uid="{38244FE9-6785-49C8-9FB0-69BAECB32C2F}"/>
    <cellStyle name="Normal 5 2 2 5 4 4" xfId="10249" xr:uid="{1450DFCF-C385-4C6C-BF20-0AF823A70012}"/>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383FBE30-1DF2-42F7-9EE5-CAFCD511DB89}"/>
    <cellStyle name="Normal 5 2 2 5 5 2 3" xfId="12807" xr:uid="{86FD8F12-AB89-4309-8040-D13BA302219A}"/>
    <cellStyle name="Normal 5 2 2 5 5 3" xfId="6451" xr:uid="{00000000-0005-0000-0000-00001D180000}"/>
    <cellStyle name="Normal 5 2 2 5 5 3 2" xfId="14880" xr:uid="{A9AAD6F5-F3C7-46DC-BEE6-A8FFA29A1FCC}"/>
    <cellStyle name="Normal 5 2 2 5 5 4" xfId="10662" xr:uid="{AB36F3BA-438C-4CB9-8F38-F0869DFEA560}"/>
    <cellStyle name="Normal 5 2 2 5 6" xfId="2579" xr:uid="{00000000-0005-0000-0000-00001E180000}"/>
    <cellStyle name="Normal 5 2 2 5 6 2" xfId="6864" xr:uid="{00000000-0005-0000-0000-00001F180000}"/>
    <cellStyle name="Normal 5 2 2 5 6 2 2" xfId="15293" xr:uid="{FDA50D7F-5D89-4006-A049-56761640D0CB}"/>
    <cellStyle name="Normal 5 2 2 5 6 3" xfId="11075" xr:uid="{D76861CC-CAAA-458F-822F-5BB7C2EBF8CD}"/>
    <cellStyle name="Normal 5 2 2 5 7" xfId="4799" xr:uid="{00000000-0005-0000-0000-000020180000}"/>
    <cellStyle name="Normal 5 2 2 5 7 2" xfId="13228" xr:uid="{C75A7F22-4A3A-45A1-9C8A-19FF351236DE}"/>
    <cellStyle name="Normal 5 2 2 5 8" xfId="9010" xr:uid="{131F141B-0D4D-4B3A-B973-BD424E36B9AD}"/>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E8A09ABA-0624-4438-8DF7-5C16BDDFF6C8}"/>
    <cellStyle name="Normal 5 2 2 6 2 3" xfId="11553" xr:uid="{974E7243-0411-4041-B253-2355F56697D9}"/>
    <cellStyle name="Normal 5 2 2 6 3" xfId="5197" xr:uid="{00000000-0005-0000-0000-000024180000}"/>
    <cellStyle name="Normal 5 2 2 6 3 2" xfId="13626" xr:uid="{6BAA8AB6-6BB8-4752-B023-1CC79817263A}"/>
    <cellStyle name="Normal 5 2 2 6 4" xfId="9408" xr:uid="{59ECCA82-544A-4C12-A444-E9FCC7908EDA}"/>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CF904FD1-4511-4C7C-8355-6A17EA7A2A0C}"/>
    <cellStyle name="Normal 5 2 2 7 2 3" xfId="11966" xr:uid="{06871AD9-94CA-4AD6-BC31-9F7725EDD82E}"/>
    <cellStyle name="Normal 5 2 2 7 3" xfId="5610" xr:uid="{00000000-0005-0000-0000-000028180000}"/>
    <cellStyle name="Normal 5 2 2 7 3 2" xfId="14039" xr:uid="{81BAABBE-2C03-4224-BE23-74A20FF2A303}"/>
    <cellStyle name="Normal 5 2 2 7 4" xfId="9821" xr:uid="{B4E053D5-04CF-48DC-9B75-3E3D206A27E2}"/>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FCB67922-8418-47EA-A81B-DC3B59D9E5CE}"/>
    <cellStyle name="Normal 5 2 2 8 2 3" xfId="12379" xr:uid="{BFA8B384-3253-4DC3-8334-D269D965D200}"/>
    <cellStyle name="Normal 5 2 2 8 3" xfId="6023" xr:uid="{00000000-0005-0000-0000-00002C180000}"/>
    <cellStyle name="Normal 5 2 2 8 3 2" xfId="14452" xr:uid="{60438154-BC17-46D7-90BB-5A584A91E53F}"/>
    <cellStyle name="Normal 5 2 2 8 4" xfId="10234" xr:uid="{FE1D0AAC-F204-4DC3-A43A-626E587F38A0}"/>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82AB57EE-EDAD-4BEB-8591-066BBF76CD23}"/>
    <cellStyle name="Normal 5 2 2 9 2 3" xfId="12792" xr:uid="{9B7A3AA2-7263-4EDB-9CFC-783C7C37BF8F}"/>
    <cellStyle name="Normal 5 2 2 9 3" xfId="6436" xr:uid="{00000000-0005-0000-0000-000030180000}"/>
    <cellStyle name="Normal 5 2 2 9 3 2" xfId="14865" xr:uid="{86377B2C-D69E-4476-B82B-7E1196953319}"/>
    <cellStyle name="Normal 5 2 2 9 4" xfId="10647" xr:uid="{5F408443-01FA-45C6-9203-4EF8D93A20E1}"/>
    <cellStyle name="Normal 5 2 3" xfId="424" xr:uid="{00000000-0005-0000-0000-000031180000}"/>
    <cellStyle name="Normal 5 2 3 10" xfId="4800" xr:uid="{00000000-0005-0000-0000-000032180000}"/>
    <cellStyle name="Normal 5 2 3 10 2" xfId="13229" xr:uid="{1D61BE1F-DC4C-44C0-9D43-534A8418F8E4}"/>
    <cellStyle name="Normal 5 2 3 11" xfId="9011" xr:uid="{BC3921F6-1DFC-4354-B7F2-E9E40FB5C6DF}"/>
    <cellStyle name="Normal 5 2 3 2" xfId="425" xr:uid="{00000000-0005-0000-0000-000033180000}"/>
    <cellStyle name="Normal 5 2 3 2 10" xfId="9012" xr:uid="{D341060B-7225-4945-AA43-2118D16B48F3}"/>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6C0FBF8A-0F68-4B70-B229-CFD0D0F64B90}"/>
    <cellStyle name="Normal 5 2 3 2 2 2 2 2 3" xfId="11572" xr:uid="{2A09DD52-C89E-4AE3-8BB3-C3C14ACDFA8C}"/>
    <cellStyle name="Normal 5 2 3 2 2 2 2 3" xfId="5216" xr:uid="{00000000-0005-0000-0000-000039180000}"/>
    <cellStyle name="Normal 5 2 3 2 2 2 2 3 2" xfId="13645" xr:uid="{68FC9F21-C8D4-4190-A8CE-8445C7C0FDDC}"/>
    <cellStyle name="Normal 5 2 3 2 2 2 2 4" xfId="9427" xr:uid="{5F246BCE-4E08-4774-A6E8-26276BE35A9E}"/>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428F1999-DDCB-44D1-9E09-8BC6D6BCF08C}"/>
    <cellStyle name="Normal 5 2 3 2 2 2 3 2 3" xfId="11985" xr:uid="{92044E08-DA4B-4516-9CA9-2740E94AB604}"/>
    <cellStyle name="Normal 5 2 3 2 2 2 3 3" xfId="5629" xr:uid="{00000000-0005-0000-0000-00003D180000}"/>
    <cellStyle name="Normal 5 2 3 2 2 2 3 3 2" xfId="14058" xr:uid="{7450B9EE-936B-49B1-8489-4373A4DE7266}"/>
    <cellStyle name="Normal 5 2 3 2 2 2 3 4" xfId="9840" xr:uid="{2A52FDDA-DD44-41B0-89C5-F50FD10260EA}"/>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69664C7A-7A7D-422B-8813-739CF961DA50}"/>
    <cellStyle name="Normal 5 2 3 2 2 2 4 2 3" xfId="12398" xr:uid="{B5795488-654A-4C83-96B0-F7D0861942E0}"/>
    <cellStyle name="Normal 5 2 3 2 2 2 4 3" xfId="6042" xr:uid="{00000000-0005-0000-0000-000041180000}"/>
    <cellStyle name="Normal 5 2 3 2 2 2 4 3 2" xfId="14471" xr:uid="{F14F3963-554C-4D73-8765-96B2971B7D8B}"/>
    <cellStyle name="Normal 5 2 3 2 2 2 4 4" xfId="10253" xr:uid="{F46B97FF-F908-4178-A384-539F24A916C6}"/>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90FCA4F1-2333-404D-B747-E7CB99A5CEBC}"/>
    <cellStyle name="Normal 5 2 3 2 2 2 5 2 3" xfId="12811" xr:uid="{484DCBC2-A649-45F8-8195-6B098B591F20}"/>
    <cellStyle name="Normal 5 2 3 2 2 2 5 3" xfId="6455" xr:uid="{00000000-0005-0000-0000-000045180000}"/>
    <cellStyle name="Normal 5 2 3 2 2 2 5 3 2" xfId="14884" xr:uid="{16DD9AAD-BD34-4FB0-803D-9266088DFE32}"/>
    <cellStyle name="Normal 5 2 3 2 2 2 5 4" xfId="10666" xr:uid="{BD64CC7A-104A-4E12-8780-CC03FCC80C44}"/>
    <cellStyle name="Normal 5 2 3 2 2 2 6" xfId="2583" xr:uid="{00000000-0005-0000-0000-000046180000}"/>
    <cellStyle name="Normal 5 2 3 2 2 2 6 2" xfId="6868" xr:uid="{00000000-0005-0000-0000-000047180000}"/>
    <cellStyle name="Normal 5 2 3 2 2 2 6 2 2" xfId="15297" xr:uid="{2DFA0FD8-0562-466F-A5D4-9F46F2560ACE}"/>
    <cellStyle name="Normal 5 2 3 2 2 2 6 3" xfId="11079" xr:uid="{8B4C5A97-3554-4AA7-93C0-B3699FF335A4}"/>
    <cellStyle name="Normal 5 2 3 2 2 2 7" xfId="4803" xr:uid="{00000000-0005-0000-0000-000048180000}"/>
    <cellStyle name="Normal 5 2 3 2 2 2 7 2" xfId="13232" xr:uid="{EFCEF3A9-9CF3-40E1-BFA2-DD1BB7334113}"/>
    <cellStyle name="Normal 5 2 3 2 2 2 8" xfId="9014" xr:uid="{B4C0A7EB-BB12-4076-97AE-DFF95E38A618}"/>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83209EEA-F493-4F9C-B5F2-C9B14616414A}"/>
    <cellStyle name="Normal 5 2 3 2 2 3 2 3" xfId="11571" xr:uid="{3BEBF5F9-BA85-470B-81FD-8E3296218FAF}"/>
    <cellStyle name="Normal 5 2 3 2 2 3 3" xfId="5215" xr:uid="{00000000-0005-0000-0000-00004C180000}"/>
    <cellStyle name="Normal 5 2 3 2 2 3 3 2" xfId="13644" xr:uid="{654FA799-6DCD-4A80-B486-925C7A9F42FD}"/>
    <cellStyle name="Normal 5 2 3 2 2 3 4" xfId="9426" xr:uid="{F5103E80-58B2-4463-82F0-F78D400BEBB4}"/>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358313E8-7158-4FD1-AABC-3EAAA0141AB2}"/>
    <cellStyle name="Normal 5 2 3 2 2 4 2 3" xfId="11984" xr:uid="{A9074567-5F30-4A69-B62B-2067BB0BB8E9}"/>
    <cellStyle name="Normal 5 2 3 2 2 4 3" xfId="5628" xr:uid="{00000000-0005-0000-0000-000050180000}"/>
    <cellStyle name="Normal 5 2 3 2 2 4 3 2" xfId="14057" xr:uid="{342EA782-89F1-4992-BAC7-45C13D71D0FB}"/>
    <cellStyle name="Normal 5 2 3 2 2 4 4" xfId="9839" xr:uid="{A1780402-485A-4AC9-8031-C88640D7BB94}"/>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2AAF5FBF-F6C8-4AF1-A978-790AABFD8A8D}"/>
    <cellStyle name="Normal 5 2 3 2 2 5 2 3" xfId="12397" xr:uid="{08208715-55F3-4562-B0B4-C7698AB71182}"/>
    <cellStyle name="Normal 5 2 3 2 2 5 3" xfId="6041" xr:uid="{00000000-0005-0000-0000-000054180000}"/>
    <cellStyle name="Normal 5 2 3 2 2 5 3 2" xfId="14470" xr:uid="{846AD76A-F4B4-4AC5-A495-076F7D126923}"/>
    <cellStyle name="Normal 5 2 3 2 2 5 4" xfId="10252" xr:uid="{2456639F-7AF5-4FBC-BB15-E31B1E14185C}"/>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020E7991-BF59-4439-91CB-30ED3C97FB13}"/>
    <cellStyle name="Normal 5 2 3 2 2 6 2 3" xfId="12810" xr:uid="{9B940B7A-3E45-4709-860D-15D4B7530B7B}"/>
    <cellStyle name="Normal 5 2 3 2 2 6 3" xfId="6454" xr:uid="{00000000-0005-0000-0000-000058180000}"/>
    <cellStyle name="Normal 5 2 3 2 2 6 3 2" xfId="14883" xr:uid="{2EDB401D-8E01-4241-96F7-29427B17DB0E}"/>
    <cellStyle name="Normal 5 2 3 2 2 6 4" xfId="10665" xr:uid="{0E2F8AC0-D212-4782-A7CF-62341EEC04B6}"/>
    <cellStyle name="Normal 5 2 3 2 2 7" xfId="2582" xr:uid="{00000000-0005-0000-0000-000059180000}"/>
    <cellStyle name="Normal 5 2 3 2 2 7 2" xfId="6867" xr:uid="{00000000-0005-0000-0000-00005A180000}"/>
    <cellStyle name="Normal 5 2 3 2 2 7 2 2" xfId="15296" xr:uid="{D6DAA0A6-F476-46AC-84A2-E4FA6965A07D}"/>
    <cellStyle name="Normal 5 2 3 2 2 7 3" xfId="11078" xr:uid="{5EA6990B-BF9B-4B35-B201-0055056BBEF0}"/>
    <cellStyle name="Normal 5 2 3 2 2 8" xfId="4802" xr:uid="{00000000-0005-0000-0000-00005B180000}"/>
    <cellStyle name="Normal 5 2 3 2 2 8 2" xfId="13231" xr:uid="{7B9C4C1F-EF68-45CD-BC92-A90A012F03E3}"/>
    <cellStyle name="Normal 5 2 3 2 2 9" xfId="9013" xr:uid="{D01EEA2A-095D-4CC9-AD37-AF19FC96AECD}"/>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2D5FD7E2-B385-4590-B454-33D6C5D5429D}"/>
    <cellStyle name="Normal 5 2 3 2 3 2 2 3" xfId="11573" xr:uid="{FB08D9FF-E427-4176-88E0-4C1A3551A2F0}"/>
    <cellStyle name="Normal 5 2 3 2 3 2 3" xfId="5217" xr:uid="{00000000-0005-0000-0000-000060180000}"/>
    <cellStyle name="Normal 5 2 3 2 3 2 3 2" xfId="13646" xr:uid="{729D9418-E4CD-4B0A-8A92-03CC247C08D8}"/>
    <cellStyle name="Normal 5 2 3 2 3 2 4" xfId="9428" xr:uid="{0CCE6E63-4788-4899-B2C9-D45E490672FA}"/>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7ABC0C42-ACE9-40D1-B3CF-2491646693FE}"/>
    <cellStyle name="Normal 5 2 3 2 3 3 2 3" xfId="11986" xr:uid="{F408A972-681D-4BF5-963F-006D73D045C6}"/>
    <cellStyle name="Normal 5 2 3 2 3 3 3" xfId="5630" xr:uid="{00000000-0005-0000-0000-000064180000}"/>
    <cellStyle name="Normal 5 2 3 2 3 3 3 2" xfId="14059" xr:uid="{30F41465-F5DF-4EF7-86E4-249A25D0050A}"/>
    <cellStyle name="Normal 5 2 3 2 3 3 4" xfId="9841" xr:uid="{EFCDA92E-F277-4C02-A6CB-53A34DCE385B}"/>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997C046F-40AF-4C66-BC34-504A3C7A0BF8}"/>
    <cellStyle name="Normal 5 2 3 2 3 4 2 3" xfId="12399" xr:uid="{8C93509C-2956-4574-B7BA-85D52C76BE13}"/>
    <cellStyle name="Normal 5 2 3 2 3 4 3" xfId="6043" xr:uid="{00000000-0005-0000-0000-000068180000}"/>
    <cellStyle name="Normal 5 2 3 2 3 4 3 2" xfId="14472" xr:uid="{5BCCB209-3F93-4871-88EF-610244604535}"/>
    <cellStyle name="Normal 5 2 3 2 3 4 4" xfId="10254" xr:uid="{31EBEEB2-9F64-4202-95E0-34A04DC3729A}"/>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48649B95-DA8A-4C4B-AEFA-38EB933C338F}"/>
    <cellStyle name="Normal 5 2 3 2 3 5 2 3" xfId="12812" xr:uid="{03E5E390-5698-4243-9E65-21992BF7D4FC}"/>
    <cellStyle name="Normal 5 2 3 2 3 5 3" xfId="6456" xr:uid="{00000000-0005-0000-0000-00006C180000}"/>
    <cellStyle name="Normal 5 2 3 2 3 5 3 2" xfId="14885" xr:uid="{60CF7053-A682-4C9F-BC30-61DAFB6E1953}"/>
    <cellStyle name="Normal 5 2 3 2 3 5 4" xfId="10667" xr:uid="{2DDB1025-6FC5-4E14-9C32-2D92A0524B54}"/>
    <cellStyle name="Normal 5 2 3 2 3 6" xfId="2584" xr:uid="{00000000-0005-0000-0000-00006D180000}"/>
    <cellStyle name="Normal 5 2 3 2 3 6 2" xfId="6869" xr:uid="{00000000-0005-0000-0000-00006E180000}"/>
    <cellStyle name="Normal 5 2 3 2 3 6 2 2" xfId="15298" xr:uid="{14CE2B58-CB00-4D11-8255-CEE29CB0A612}"/>
    <cellStyle name="Normal 5 2 3 2 3 6 3" xfId="11080" xr:uid="{76F6D05D-CA92-4897-A4CA-4DC8A0685FBB}"/>
    <cellStyle name="Normal 5 2 3 2 3 7" xfId="4804" xr:uid="{00000000-0005-0000-0000-00006F180000}"/>
    <cellStyle name="Normal 5 2 3 2 3 7 2" xfId="13233" xr:uid="{C1E1B187-588C-4244-960B-74AD39DD549D}"/>
    <cellStyle name="Normal 5 2 3 2 3 8" xfId="9015" xr:uid="{FDF035CA-DAD3-417A-9553-E5795BB70C21}"/>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60590743-1595-455A-9ACB-9295992F55F2}"/>
    <cellStyle name="Normal 5 2 3 2 4 2 3" xfId="11570" xr:uid="{5BFB8FFC-F0AC-4073-AA24-0E4A12DA50D5}"/>
    <cellStyle name="Normal 5 2 3 2 4 3" xfId="5214" xr:uid="{00000000-0005-0000-0000-000073180000}"/>
    <cellStyle name="Normal 5 2 3 2 4 3 2" xfId="13643" xr:uid="{EAE26044-86C5-42AF-A329-BDF7C0530EC8}"/>
    <cellStyle name="Normal 5 2 3 2 4 4" xfId="9425" xr:uid="{05A701A8-F951-4F4E-823F-FE8C74D3E068}"/>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C0FC8F53-D1E1-4574-81C7-72B9F9E2E1F3}"/>
    <cellStyle name="Normal 5 2 3 2 5 2 3" xfId="11983" xr:uid="{97D8BA9B-F483-499A-AF30-1AB4BBD0A3B6}"/>
    <cellStyle name="Normal 5 2 3 2 5 3" xfId="5627" xr:uid="{00000000-0005-0000-0000-000077180000}"/>
    <cellStyle name="Normal 5 2 3 2 5 3 2" xfId="14056" xr:uid="{D7EEEE1C-037D-4BC8-AE61-C11D68AFF61A}"/>
    <cellStyle name="Normal 5 2 3 2 5 4" xfId="9838" xr:uid="{5C03F868-ADB8-488D-A51E-E503E1688F19}"/>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F6CD25C7-41A0-4B8D-AFBA-54A12670E8B0}"/>
    <cellStyle name="Normal 5 2 3 2 6 2 3" xfId="12396" xr:uid="{5DFD8184-44C2-4288-A0CF-6E7AFF6ED5D1}"/>
    <cellStyle name="Normal 5 2 3 2 6 3" xfId="6040" xr:uid="{00000000-0005-0000-0000-00007B180000}"/>
    <cellStyle name="Normal 5 2 3 2 6 3 2" xfId="14469" xr:uid="{627DB532-57D1-4679-86AA-2FF150CF5042}"/>
    <cellStyle name="Normal 5 2 3 2 6 4" xfId="10251" xr:uid="{654E69D8-1E7C-4B59-9ADA-A4DC1DB922E4}"/>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5F8D525B-7F01-492D-85E7-522C0EE62A55}"/>
    <cellStyle name="Normal 5 2 3 2 7 2 3" xfId="12809" xr:uid="{E0EE7299-392F-40AB-9322-5237C935A84A}"/>
    <cellStyle name="Normal 5 2 3 2 7 3" xfId="6453" xr:uid="{00000000-0005-0000-0000-00007F180000}"/>
    <cellStyle name="Normal 5 2 3 2 7 3 2" xfId="14882" xr:uid="{D08D6E5B-D27F-4AA1-B9C2-F795FAA68C1F}"/>
    <cellStyle name="Normal 5 2 3 2 7 4" xfId="10664" xr:uid="{3575D47B-518E-4861-922B-35BCBA8F4E14}"/>
    <cellStyle name="Normal 5 2 3 2 8" xfId="2581" xr:uid="{00000000-0005-0000-0000-000080180000}"/>
    <cellStyle name="Normal 5 2 3 2 8 2" xfId="6866" xr:uid="{00000000-0005-0000-0000-000081180000}"/>
    <cellStyle name="Normal 5 2 3 2 8 2 2" xfId="15295" xr:uid="{9B2A8F4B-DE11-4013-A08F-29800953839C}"/>
    <cellStyle name="Normal 5 2 3 2 8 3" xfId="11077" xr:uid="{052D5C6B-DD74-409B-8446-7FD371D43994}"/>
    <cellStyle name="Normal 5 2 3 2 9" xfId="4801" xr:uid="{00000000-0005-0000-0000-000082180000}"/>
    <cellStyle name="Normal 5 2 3 2 9 2" xfId="13230" xr:uid="{5E0DE1A6-DE1F-4746-9107-DEED31AFF06C}"/>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C64704B5-A902-44D5-8769-22600E2B00D6}"/>
    <cellStyle name="Normal 5 2 3 3 2 2 2 3" xfId="11575" xr:uid="{1B3C15EE-C271-44AF-AE1B-02B41A1CF7D0}"/>
    <cellStyle name="Normal 5 2 3 3 2 2 3" xfId="5219" xr:uid="{00000000-0005-0000-0000-000088180000}"/>
    <cellStyle name="Normal 5 2 3 3 2 2 3 2" xfId="13648" xr:uid="{0BD54B99-B103-4ABB-B707-D0133E34AC2F}"/>
    <cellStyle name="Normal 5 2 3 3 2 2 4" xfId="9430" xr:uid="{91E78603-75E5-444A-B719-39A1FA7B459F}"/>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4494D32A-336B-4314-A0A1-31D1FFB15810}"/>
    <cellStyle name="Normal 5 2 3 3 2 3 2 3" xfId="11988" xr:uid="{5C4E9B2C-EFBA-4850-9BC6-0F6CFDA0A3D6}"/>
    <cellStyle name="Normal 5 2 3 3 2 3 3" xfId="5632" xr:uid="{00000000-0005-0000-0000-00008C180000}"/>
    <cellStyle name="Normal 5 2 3 3 2 3 3 2" xfId="14061" xr:uid="{7626A084-BF35-4A23-98AC-7EC00C8A5C48}"/>
    <cellStyle name="Normal 5 2 3 3 2 3 4" xfId="9843" xr:uid="{9895733C-EDFC-4E78-9259-51AB698D27AF}"/>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E4D83AC4-5F70-4B80-B67A-495B75E4D6C1}"/>
    <cellStyle name="Normal 5 2 3 3 2 4 2 3" xfId="12401" xr:uid="{3E568C4F-4DC0-4749-9AE5-CF0BA6E906FC}"/>
    <cellStyle name="Normal 5 2 3 3 2 4 3" xfId="6045" xr:uid="{00000000-0005-0000-0000-000090180000}"/>
    <cellStyle name="Normal 5 2 3 3 2 4 3 2" xfId="14474" xr:uid="{42C2BFE6-91AD-4865-945B-1794E518E7F2}"/>
    <cellStyle name="Normal 5 2 3 3 2 4 4" xfId="10256" xr:uid="{A3BEAD1D-F5E0-4EF1-8CCE-A556347412A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60A64295-A214-4300-864B-ACA9B9C20358}"/>
    <cellStyle name="Normal 5 2 3 3 2 5 2 3" xfId="12814" xr:uid="{B27BF57E-BC56-46C4-8C5C-3EEB14A937A0}"/>
    <cellStyle name="Normal 5 2 3 3 2 5 3" xfId="6458" xr:uid="{00000000-0005-0000-0000-000094180000}"/>
    <cellStyle name="Normal 5 2 3 3 2 5 3 2" xfId="14887" xr:uid="{2DCB6761-E2F0-42CF-8208-E717D069E78A}"/>
    <cellStyle name="Normal 5 2 3 3 2 5 4" xfId="10669" xr:uid="{9A9AC946-1CAF-41F3-A720-CCDC6C8DD51A}"/>
    <cellStyle name="Normal 5 2 3 3 2 6" xfId="2586" xr:uid="{00000000-0005-0000-0000-000095180000}"/>
    <cellStyle name="Normal 5 2 3 3 2 6 2" xfId="6871" xr:uid="{00000000-0005-0000-0000-000096180000}"/>
    <cellStyle name="Normal 5 2 3 3 2 6 2 2" xfId="15300" xr:uid="{7ED6BD41-1914-4A5E-BB73-A6020BA34B5F}"/>
    <cellStyle name="Normal 5 2 3 3 2 6 3" xfId="11082" xr:uid="{B464DC46-FC42-4329-ACE3-8BB23A72E1D3}"/>
    <cellStyle name="Normal 5 2 3 3 2 7" xfId="4806" xr:uid="{00000000-0005-0000-0000-000097180000}"/>
    <cellStyle name="Normal 5 2 3 3 2 7 2" xfId="13235" xr:uid="{17E0CCF1-2358-43E5-9398-F8CCF3711EE4}"/>
    <cellStyle name="Normal 5 2 3 3 2 8" xfId="9017" xr:uid="{E31346F5-D5A6-4FF7-9C82-CF1C4E57341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5978E59F-077A-4611-B9CC-66A227C6043B}"/>
    <cellStyle name="Normal 5 2 3 3 3 2 3" xfId="11574" xr:uid="{C7202912-0665-4ABE-A18A-12CE1293F67D}"/>
    <cellStyle name="Normal 5 2 3 3 3 3" xfId="5218" xr:uid="{00000000-0005-0000-0000-00009B180000}"/>
    <cellStyle name="Normal 5 2 3 3 3 3 2" xfId="13647" xr:uid="{E29E6FB1-FD48-426C-9982-23F1829CF804}"/>
    <cellStyle name="Normal 5 2 3 3 3 4" xfId="9429" xr:uid="{C3A0FB44-817B-48E7-90DC-879B371C45A3}"/>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8D0F65A5-0E3A-4276-AA7F-CDB8C8B821AB}"/>
    <cellStyle name="Normal 5 2 3 3 4 2 3" xfId="11987" xr:uid="{DDF312AC-04EF-42A7-97D3-8E22FBD8BA71}"/>
    <cellStyle name="Normal 5 2 3 3 4 3" xfId="5631" xr:uid="{00000000-0005-0000-0000-00009F180000}"/>
    <cellStyle name="Normal 5 2 3 3 4 3 2" xfId="14060" xr:uid="{8734C960-1C5A-4F66-8325-8767C1984253}"/>
    <cellStyle name="Normal 5 2 3 3 4 4" xfId="9842" xr:uid="{6E297BEF-6495-4C39-963E-4CAF641A285D}"/>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B96476C9-E01E-4296-83A8-2181D203F912}"/>
    <cellStyle name="Normal 5 2 3 3 5 2 3" xfId="12400" xr:uid="{F65CD3DC-C037-40BB-A508-C92C4635C4FE}"/>
    <cellStyle name="Normal 5 2 3 3 5 3" xfId="6044" xr:uid="{00000000-0005-0000-0000-0000A3180000}"/>
    <cellStyle name="Normal 5 2 3 3 5 3 2" xfId="14473" xr:uid="{DA0DD279-C1A1-444F-869F-0A583209F9CB}"/>
    <cellStyle name="Normal 5 2 3 3 5 4" xfId="10255" xr:uid="{910A7E4A-7433-4134-B64F-880709906F51}"/>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9E1AB273-8420-4228-BFAE-FD4D040F7F18}"/>
    <cellStyle name="Normal 5 2 3 3 6 2 3" xfId="12813" xr:uid="{07F1CE08-BC17-4885-BD21-9F564E683FEC}"/>
    <cellStyle name="Normal 5 2 3 3 6 3" xfId="6457" xr:uid="{00000000-0005-0000-0000-0000A7180000}"/>
    <cellStyle name="Normal 5 2 3 3 6 3 2" xfId="14886" xr:uid="{A2FAA9BD-BFB6-44A3-864B-0C5D81199D90}"/>
    <cellStyle name="Normal 5 2 3 3 6 4" xfId="10668" xr:uid="{95AAF937-B09D-4D4F-AF9A-2693FDFC813B}"/>
    <cellStyle name="Normal 5 2 3 3 7" xfId="2585" xr:uid="{00000000-0005-0000-0000-0000A8180000}"/>
    <cellStyle name="Normal 5 2 3 3 7 2" xfId="6870" xr:uid="{00000000-0005-0000-0000-0000A9180000}"/>
    <cellStyle name="Normal 5 2 3 3 7 2 2" xfId="15299" xr:uid="{75B33AE9-4B3B-4D96-9512-EBB9C3DB043E}"/>
    <cellStyle name="Normal 5 2 3 3 7 3" xfId="11081" xr:uid="{6E1852B2-36C0-4BFC-A257-A27E30E3FD43}"/>
    <cellStyle name="Normal 5 2 3 3 8" xfId="4805" xr:uid="{00000000-0005-0000-0000-0000AA180000}"/>
    <cellStyle name="Normal 5 2 3 3 8 2" xfId="13234" xr:uid="{D6BDC0AF-D370-4A1C-9114-134591819E3E}"/>
    <cellStyle name="Normal 5 2 3 3 9" xfId="9016" xr:uid="{62A4CBA7-7295-4DA9-8AF5-10CE033D64DF}"/>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02F103BF-4577-457C-B3D4-57104DBD1A5A}"/>
    <cellStyle name="Normal 5 2 3 4 2 2 3" xfId="11576" xr:uid="{CAA5E68C-3643-4859-9735-590DC05503E0}"/>
    <cellStyle name="Normal 5 2 3 4 2 3" xfId="5220" xr:uid="{00000000-0005-0000-0000-0000AF180000}"/>
    <cellStyle name="Normal 5 2 3 4 2 3 2" xfId="13649" xr:uid="{D67D2B21-1595-4BEA-9822-5C14DC14B9AB}"/>
    <cellStyle name="Normal 5 2 3 4 2 4" xfId="9431" xr:uid="{E55FE9EB-F52E-4E7F-84AC-768D3C04F90E}"/>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1223ED4C-32FA-4ECE-8D6A-09920A86CF64}"/>
    <cellStyle name="Normal 5 2 3 4 3 2 3" xfId="11989" xr:uid="{B4570428-493C-45D4-ADEB-F7720000AC94}"/>
    <cellStyle name="Normal 5 2 3 4 3 3" xfId="5633" xr:uid="{00000000-0005-0000-0000-0000B3180000}"/>
    <cellStyle name="Normal 5 2 3 4 3 3 2" xfId="14062" xr:uid="{513DEF52-6478-4DA8-9793-640EF1AA0D80}"/>
    <cellStyle name="Normal 5 2 3 4 3 4" xfId="9844" xr:uid="{EF27879C-7D2A-4D8C-9ED5-913D6A649284}"/>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10111F34-5A3B-4354-9A48-73E7E0B9F44C}"/>
    <cellStyle name="Normal 5 2 3 4 4 2 3" xfId="12402" xr:uid="{A55E8FF7-80B5-43D8-867A-A13765D48CE6}"/>
    <cellStyle name="Normal 5 2 3 4 4 3" xfId="6046" xr:uid="{00000000-0005-0000-0000-0000B7180000}"/>
    <cellStyle name="Normal 5 2 3 4 4 3 2" xfId="14475" xr:uid="{3F93EA47-5CC6-4063-9C68-9A215F87EF56}"/>
    <cellStyle name="Normal 5 2 3 4 4 4" xfId="10257" xr:uid="{D09E46D0-E4B6-412C-9076-DA097ACB70C7}"/>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59FBFBC3-C640-4C37-8618-165617DA14EE}"/>
    <cellStyle name="Normal 5 2 3 4 5 2 3" xfId="12815" xr:uid="{8B98DE0E-9D08-4740-8D7F-BDFBE4953A28}"/>
    <cellStyle name="Normal 5 2 3 4 5 3" xfId="6459" xr:uid="{00000000-0005-0000-0000-0000BB180000}"/>
    <cellStyle name="Normal 5 2 3 4 5 3 2" xfId="14888" xr:uid="{2096C594-0424-4AC0-A62D-829D2691405D}"/>
    <cellStyle name="Normal 5 2 3 4 5 4" xfId="10670" xr:uid="{F0A64CD4-3D74-4A3D-AFDE-95A200A3AF69}"/>
    <cellStyle name="Normal 5 2 3 4 6" xfId="2587" xr:uid="{00000000-0005-0000-0000-0000BC180000}"/>
    <cellStyle name="Normal 5 2 3 4 6 2" xfId="6872" xr:uid="{00000000-0005-0000-0000-0000BD180000}"/>
    <cellStyle name="Normal 5 2 3 4 6 2 2" xfId="15301" xr:uid="{4DE2C20B-7E1C-429E-873B-0BB17FD3A7A7}"/>
    <cellStyle name="Normal 5 2 3 4 6 3" xfId="11083" xr:uid="{6384C26C-0FB4-432B-82FD-F5C8EC6F9AD8}"/>
    <cellStyle name="Normal 5 2 3 4 7" xfId="4807" xr:uid="{00000000-0005-0000-0000-0000BE180000}"/>
    <cellStyle name="Normal 5 2 3 4 7 2" xfId="13236" xr:uid="{716020BF-787D-40BB-845C-401F34BDAA4A}"/>
    <cellStyle name="Normal 5 2 3 4 8" xfId="9018" xr:uid="{618BC476-A74B-4B37-9D30-A1B9880678A4}"/>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77D2BA0A-CC3C-4F5D-AB1C-DC823EFD24CC}"/>
    <cellStyle name="Normal 5 2 3 5 2 3" xfId="11569" xr:uid="{1B6AD50E-F00E-46F6-8512-190A6476EF10}"/>
    <cellStyle name="Normal 5 2 3 5 3" xfId="5213" xr:uid="{00000000-0005-0000-0000-0000C2180000}"/>
    <cellStyle name="Normal 5 2 3 5 3 2" xfId="13642" xr:uid="{8AFC9E30-E080-41BB-9610-8FA527415A3E}"/>
    <cellStyle name="Normal 5 2 3 5 4" xfId="9424" xr:uid="{9DAAA9FA-23BB-4795-916A-E2C1F6A75148}"/>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F1018009-44EC-4698-B9F0-719FB6A4229D}"/>
    <cellStyle name="Normal 5 2 3 6 2 3" xfId="11982" xr:uid="{9FAECC17-2E37-4886-9CDC-C683951F644B}"/>
    <cellStyle name="Normal 5 2 3 6 3" xfId="5626" xr:uid="{00000000-0005-0000-0000-0000C6180000}"/>
    <cellStyle name="Normal 5 2 3 6 3 2" xfId="14055" xr:uid="{9740A0D7-F799-4885-8E9A-F1068FB6595A}"/>
    <cellStyle name="Normal 5 2 3 6 4" xfId="9837" xr:uid="{7D1D5934-4AB6-4096-8689-589A9FB0785C}"/>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D1275785-0EA9-4587-AD2C-377E25155278}"/>
    <cellStyle name="Normal 5 2 3 7 2 3" xfId="12395" xr:uid="{57A671A2-1F79-4A06-A618-62369547F78C}"/>
    <cellStyle name="Normal 5 2 3 7 3" xfId="6039" xr:uid="{00000000-0005-0000-0000-0000CA180000}"/>
    <cellStyle name="Normal 5 2 3 7 3 2" xfId="14468" xr:uid="{D96D7752-C8BB-4041-B5D6-898A6B3195EE}"/>
    <cellStyle name="Normal 5 2 3 7 4" xfId="10250" xr:uid="{2BF7D01C-B506-4AF3-9A81-EBF075F26A0F}"/>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8326CBAB-99E4-46AA-8327-4EC3C7C5C562}"/>
    <cellStyle name="Normal 5 2 3 8 2 3" xfId="12808" xr:uid="{E4C78946-8859-4D68-B4AB-0538B7CB1955}"/>
    <cellStyle name="Normal 5 2 3 8 3" xfId="6452" xr:uid="{00000000-0005-0000-0000-0000CE180000}"/>
    <cellStyle name="Normal 5 2 3 8 3 2" xfId="14881" xr:uid="{B3B52EA9-8627-4B24-88BD-9224BC3341BB}"/>
    <cellStyle name="Normal 5 2 3 8 4" xfId="10663" xr:uid="{009E8639-4FC1-4065-84B8-45DDAF31F635}"/>
    <cellStyle name="Normal 5 2 3 9" xfId="2580" xr:uid="{00000000-0005-0000-0000-0000CF180000}"/>
    <cellStyle name="Normal 5 2 3 9 2" xfId="6865" xr:uid="{00000000-0005-0000-0000-0000D0180000}"/>
    <cellStyle name="Normal 5 2 3 9 2 2" xfId="15294" xr:uid="{406329E1-49C6-4F0F-BF16-8996D3775913}"/>
    <cellStyle name="Normal 5 2 3 9 3" xfId="11076" xr:uid="{54B81DF8-C3EE-4DAC-81C8-3B9E4891D1B7}"/>
    <cellStyle name="Normal 5 2 4" xfId="432" xr:uid="{00000000-0005-0000-0000-0000D1180000}"/>
    <cellStyle name="Normal 5 2 4 10" xfId="9019" xr:uid="{8EF9A590-9320-4669-925A-370E19B32428}"/>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6C214379-9A34-4326-9B48-C0CEB03B0AAC}"/>
    <cellStyle name="Normal 5 2 4 2 2 2 2 3" xfId="11579" xr:uid="{D87D56F3-3117-4E2C-83BB-CE991AE75CBB}"/>
    <cellStyle name="Normal 5 2 4 2 2 2 3" xfId="5223" xr:uid="{00000000-0005-0000-0000-0000D7180000}"/>
    <cellStyle name="Normal 5 2 4 2 2 2 3 2" xfId="13652" xr:uid="{F9BD879D-B80B-4B4B-B860-468C73989593}"/>
    <cellStyle name="Normal 5 2 4 2 2 2 4" xfId="9434" xr:uid="{39F7F925-6690-420B-9E43-EE8E6FBCA856}"/>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FE4CE01-4763-4E77-BB8C-F7E4A2B9E3C4}"/>
    <cellStyle name="Normal 5 2 4 2 2 3 2 3" xfId="11992" xr:uid="{1DA774E4-85B8-4DC8-B398-D0F6E189954D}"/>
    <cellStyle name="Normal 5 2 4 2 2 3 3" xfId="5636" xr:uid="{00000000-0005-0000-0000-0000DB180000}"/>
    <cellStyle name="Normal 5 2 4 2 2 3 3 2" xfId="14065" xr:uid="{36AD3FB9-E300-4B9B-8A64-29B37FBDD666}"/>
    <cellStyle name="Normal 5 2 4 2 2 3 4" xfId="9847" xr:uid="{AF608804-7C90-4C2E-BD1C-C954BB10B506}"/>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68FEDECC-563C-4903-81E7-E472F0497648}"/>
    <cellStyle name="Normal 5 2 4 2 2 4 2 3" xfId="12405" xr:uid="{FE8124A3-CD9F-487E-ADA3-1D13AA3AD4B1}"/>
    <cellStyle name="Normal 5 2 4 2 2 4 3" xfId="6049" xr:uid="{00000000-0005-0000-0000-0000DF180000}"/>
    <cellStyle name="Normal 5 2 4 2 2 4 3 2" xfId="14478" xr:uid="{7FA7FCFD-4B16-4B65-B2BF-AC5C27A5860A}"/>
    <cellStyle name="Normal 5 2 4 2 2 4 4" xfId="10260" xr:uid="{79ACB733-3199-4DE1-B2EB-E61D9F1A6727}"/>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749902F1-378E-4F15-A6DC-F61D4607F132}"/>
    <cellStyle name="Normal 5 2 4 2 2 5 2 3" xfId="12818" xr:uid="{1057C0D3-72F5-488B-BEA8-6393FABCB592}"/>
    <cellStyle name="Normal 5 2 4 2 2 5 3" xfId="6462" xr:uid="{00000000-0005-0000-0000-0000E3180000}"/>
    <cellStyle name="Normal 5 2 4 2 2 5 3 2" xfId="14891" xr:uid="{2D39476F-1FB0-4A13-85F1-BE6347DA8B8D}"/>
    <cellStyle name="Normal 5 2 4 2 2 5 4" xfId="10673" xr:uid="{57FE037D-191A-4030-9411-258F04DEE2F4}"/>
    <cellStyle name="Normal 5 2 4 2 2 6" xfId="2590" xr:uid="{00000000-0005-0000-0000-0000E4180000}"/>
    <cellStyle name="Normal 5 2 4 2 2 6 2" xfId="6875" xr:uid="{00000000-0005-0000-0000-0000E5180000}"/>
    <cellStyle name="Normal 5 2 4 2 2 6 2 2" xfId="15304" xr:uid="{DB51ED79-BC10-40CF-9E92-050385BF27C5}"/>
    <cellStyle name="Normal 5 2 4 2 2 6 3" xfId="11086" xr:uid="{7A56BCDC-5574-42CB-9F22-4ACA8AB51405}"/>
    <cellStyle name="Normal 5 2 4 2 2 7" xfId="4810" xr:uid="{00000000-0005-0000-0000-0000E6180000}"/>
    <cellStyle name="Normal 5 2 4 2 2 7 2" xfId="13239" xr:uid="{9592C72A-8DB2-4117-8523-84339E404A54}"/>
    <cellStyle name="Normal 5 2 4 2 2 8" xfId="9021" xr:uid="{CA626B9C-CD36-4E5C-9043-3818D901FD8C}"/>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88737220-C7B8-4FD3-AF90-144818852BBB}"/>
    <cellStyle name="Normal 5 2 4 2 3 2 3" xfId="11578" xr:uid="{4A5BBAA8-616E-495A-91A5-79B93931F3F3}"/>
    <cellStyle name="Normal 5 2 4 2 3 3" xfId="5222" xr:uid="{00000000-0005-0000-0000-0000EA180000}"/>
    <cellStyle name="Normal 5 2 4 2 3 3 2" xfId="13651" xr:uid="{8A5C5562-5DDC-4AB0-A7F4-6E458877684B}"/>
    <cellStyle name="Normal 5 2 4 2 3 4" xfId="9433" xr:uid="{0B9484A3-8E98-4849-9B86-67C97ED9DEEE}"/>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AF6E52D5-A931-490D-AFDF-028CF3A9B90D}"/>
    <cellStyle name="Normal 5 2 4 2 4 2 3" xfId="11991" xr:uid="{6F3BC13A-BCE3-4A67-A953-976F0ED9C0E8}"/>
    <cellStyle name="Normal 5 2 4 2 4 3" xfId="5635" xr:uid="{00000000-0005-0000-0000-0000EE180000}"/>
    <cellStyle name="Normal 5 2 4 2 4 3 2" xfId="14064" xr:uid="{8D02358F-7E69-40BD-90C8-BF44FF26BD64}"/>
    <cellStyle name="Normal 5 2 4 2 4 4" xfId="9846" xr:uid="{D718C1F5-6E98-4F27-ACD4-36A010042AD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6C5FF368-2DBF-4EBF-B968-C442A08D7EBE}"/>
    <cellStyle name="Normal 5 2 4 2 5 2 3" xfId="12404" xr:uid="{609BF88F-B541-4A28-A70F-FB03B0C935E8}"/>
    <cellStyle name="Normal 5 2 4 2 5 3" xfId="6048" xr:uid="{00000000-0005-0000-0000-0000F2180000}"/>
    <cellStyle name="Normal 5 2 4 2 5 3 2" xfId="14477" xr:uid="{1F0F0FA6-B15D-44B7-975E-082C5956BD4A}"/>
    <cellStyle name="Normal 5 2 4 2 5 4" xfId="10259" xr:uid="{BF5372B7-6317-4EC5-969B-5426EBB30431}"/>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D0FDEA05-CF8A-449B-9636-CA6C2A720F89}"/>
    <cellStyle name="Normal 5 2 4 2 6 2 3" xfId="12817" xr:uid="{EE3437CA-441F-4B0D-AD36-B66C75C6227E}"/>
    <cellStyle name="Normal 5 2 4 2 6 3" xfId="6461" xr:uid="{00000000-0005-0000-0000-0000F6180000}"/>
    <cellStyle name="Normal 5 2 4 2 6 3 2" xfId="14890" xr:uid="{6C79A039-7F1F-463B-8477-5175936C7309}"/>
    <cellStyle name="Normal 5 2 4 2 6 4" xfId="10672" xr:uid="{251D9180-709D-40A3-A828-E38B5947C0BE}"/>
    <cellStyle name="Normal 5 2 4 2 7" xfId="2589" xr:uid="{00000000-0005-0000-0000-0000F7180000}"/>
    <cellStyle name="Normal 5 2 4 2 7 2" xfId="6874" xr:uid="{00000000-0005-0000-0000-0000F8180000}"/>
    <cellStyle name="Normal 5 2 4 2 7 2 2" xfId="15303" xr:uid="{10B43F44-879B-4CDB-9379-9EE5E1A5775B}"/>
    <cellStyle name="Normal 5 2 4 2 7 3" xfId="11085" xr:uid="{27F137BA-F37C-4A48-8447-3D975E44FFE8}"/>
    <cellStyle name="Normal 5 2 4 2 8" xfId="4809" xr:uid="{00000000-0005-0000-0000-0000F9180000}"/>
    <cellStyle name="Normal 5 2 4 2 8 2" xfId="13238" xr:uid="{55580173-EED3-410E-9F82-A8E747DFA87B}"/>
    <cellStyle name="Normal 5 2 4 2 9" xfId="9020" xr:uid="{D7A4E846-F1AC-4C71-8CFD-1CDA0462919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ED9B08BA-FEBF-490C-A048-731696080DA6}"/>
    <cellStyle name="Normal 5 2 4 3 2 2 3" xfId="11580" xr:uid="{B4475C1D-AE44-431A-9D9A-A231A6426A98}"/>
    <cellStyle name="Normal 5 2 4 3 2 3" xfId="5224" xr:uid="{00000000-0005-0000-0000-0000FE180000}"/>
    <cellStyle name="Normal 5 2 4 3 2 3 2" xfId="13653" xr:uid="{74DD62A5-2C77-43F3-BD39-B9CB9334A2EE}"/>
    <cellStyle name="Normal 5 2 4 3 2 4" xfId="9435" xr:uid="{B8931272-DB54-407F-BC2D-1B76DFDDE12F}"/>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CB60F734-8F93-4A80-A95E-9FAA1AAC3F9E}"/>
    <cellStyle name="Normal 5 2 4 3 3 2 3" xfId="11993" xr:uid="{F548FDAD-8D77-4A30-95F1-F01CB00633A7}"/>
    <cellStyle name="Normal 5 2 4 3 3 3" xfId="5637" xr:uid="{00000000-0005-0000-0000-000002190000}"/>
    <cellStyle name="Normal 5 2 4 3 3 3 2" xfId="14066" xr:uid="{211D8B77-8818-4183-878E-1AB34BAD6F1D}"/>
    <cellStyle name="Normal 5 2 4 3 3 4" xfId="9848" xr:uid="{D1AEFD0E-CF26-405B-8F48-AC5BA97994A2}"/>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68752C9A-88B3-4430-98D9-35D9BA8797D3}"/>
    <cellStyle name="Normal 5 2 4 3 4 2 3" xfId="12406" xr:uid="{3488DEB4-3B02-476E-8286-002D34625BB6}"/>
    <cellStyle name="Normal 5 2 4 3 4 3" xfId="6050" xr:uid="{00000000-0005-0000-0000-000006190000}"/>
    <cellStyle name="Normal 5 2 4 3 4 3 2" xfId="14479" xr:uid="{7AE38784-4CA2-4A6D-9B76-B4D9887AA125}"/>
    <cellStyle name="Normal 5 2 4 3 4 4" xfId="10261" xr:uid="{1D2DDE88-C2AC-49D7-AEB3-69A975CB7B17}"/>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BF377DF6-DE76-4E05-8F69-BC1E618EAD1B}"/>
    <cellStyle name="Normal 5 2 4 3 5 2 3" xfId="12819" xr:uid="{3F7F7153-B1CA-41E7-9E71-04BCEE005511}"/>
    <cellStyle name="Normal 5 2 4 3 5 3" xfId="6463" xr:uid="{00000000-0005-0000-0000-00000A190000}"/>
    <cellStyle name="Normal 5 2 4 3 5 3 2" xfId="14892" xr:uid="{99E284F1-D6EA-4BE3-AE91-63ABA5CE3444}"/>
    <cellStyle name="Normal 5 2 4 3 5 4" xfId="10674" xr:uid="{CF8423B7-6B11-43E4-96D2-84087F1B2F74}"/>
    <cellStyle name="Normal 5 2 4 3 6" xfId="2591" xr:uid="{00000000-0005-0000-0000-00000B190000}"/>
    <cellStyle name="Normal 5 2 4 3 6 2" xfId="6876" xr:uid="{00000000-0005-0000-0000-00000C190000}"/>
    <cellStyle name="Normal 5 2 4 3 6 2 2" xfId="15305" xr:uid="{E6D03533-DC9A-4D64-9581-D54F4BEADCDB}"/>
    <cellStyle name="Normal 5 2 4 3 6 3" xfId="11087" xr:uid="{9E7EBF53-C46E-415C-A899-091AAA8E9C2A}"/>
    <cellStyle name="Normal 5 2 4 3 7" xfId="4811" xr:uid="{00000000-0005-0000-0000-00000D190000}"/>
    <cellStyle name="Normal 5 2 4 3 7 2" xfId="13240" xr:uid="{35117414-5D0E-4C69-9021-FA28EB6323A9}"/>
    <cellStyle name="Normal 5 2 4 3 8" xfId="9022" xr:uid="{236C7934-1463-4F9E-A5C8-6E6D8AD31453}"/>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652B616E-4596-4695-8DA5-9EE323A418DB}"/>
    <cellStyle name="Normal 5 2 4 4 2 3" xfId="11577" xr:uid="{E2653770-3246-46E4-B473-5BE76F0EC60F}"/>
    <cellStyle name="Normal 5 2 4 4 3" xfId="5221" xr:uid="{00000000-0005-0000-0000-000011190000}"/>
    <cellStyle name="Normal 5 2 4 4 3 2" xfId="13650" xr:uid="{F3DDCC43-12F0-4894-9B3C-50ACB03AC439}"/>
    <cellStyle name="Normal 5 2 4 4 4" xfId="9432" xr:uid="{E6F5AAE1-76E9-424F-A2A9-2935D50E75DF}"/>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B313EFE9-49F9-4978-B1A8-83D73CFCA1B1}"/>
    <cellStyle name="Normal 5 2 4 5 2 3" xfId="11990" xr:uid="{9F085999-3D14-494B-A1AC-F4385699EA22}"/>
    <cellStyle name="Normal 5 2 4 5 3" xfId="5634" xr:uid="{00000000-0005-0000-0000-000015190000}"/>
    <cellStyle name="Normal 5 2 4 5 3 2" xfId="14063" xr:uid="{399FF070-1685-4374-8D16-54265386E205}"/>
    <cellStyle name="Normal 5 2 4 5 4" xfId="9845" xr:uid="{966CBD21-BD2E-4A61-B326-3500DD698997}"/>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1EE9F2B5-53DA-43DA-B8BC-15F97BD5C359}"/>
    <cellStyle name="Normal 5 2 4 6 2 3" xfId="12403" xr:uid="{55C59FED-9A09-4546-B306-1EDFD3BF93AC}"/>
    <cellStyle name="Normal 5 2 4 6 3" xfId="6047" xr:uid="{00000000-0005-0000-0000-000019190000}"/>
    <cellStyle name="Normal 5 2 4 6 3 2" xfId="14476" xr:uid="{258CF4A3-010A-423B-B56A-2D46B2232B37}"/>
    <cellStyle name="Normal 5 2 4 6 4" xfId="10258" xr:uid="{DA07E286-AE0D-4091-8776-5367AF2DCAAC}"/>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ADB3D68D-7175-44B2-BC88-A4F743F35CB5}"/>
    <cellStyle name="Normal 5 2 4 7 2 3" xfId="12816" xr:uid="{FF1110FE-8225-4B40-91A0-426CC8A37D7F}"/>
    <cellStyle name="Normal 5 2 4 7 3" xfId="6460" xr:uid="{00000000-0005-0000-0000-00001D190000}"/>
    <cellStyle name="Normal 5 2 4 7 3 2" xfId="14889" xr:uid="{976B2954-C7DA-4A69-82F2-8EB54F58F2EE}"/>
    <cellStyle name="Normal 5 2 4 7 4" xfId="10671" xr:uid="{0EE6052F-F57C-4DC5-A2CF-9638C1F491C8}"/>
    <cellStyle name="Normal 5 2 4 8" xfId="2588" xr:uid="{00000000-0005-0000-0000-00001E190000}"/>
    <cellStyle name="Normal 5 2 4 8 2" xfId="6873" xr:uid="{00000000-0005-0000-0000-00001F190000}"/>
    <cellStyle name="Normal 5 2 4 8 2 2" xfId="15302" xr:uid="{66454A85-0458-4921-B64C-211A9C509007}"/>
    <cellStyle name="Normal 5 2 4 8 3" xfId="11084" xr:uid="{01BD1F71-86A5-4996-A30B-285975A1A306}"/>
    <cellStyle name="Normal 5 2 4 9" xfId="4808" xr:uid="{00000000-0005-0000-0000-000020190000}"/>
    <cellStyle name="Normal 5 2 4 9 2" xfId="13237" xr:uid="{FA556EDA-CA81-4DDF-8FA6-D1607B95AE0A}"/>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3F8DF82F-AFBE-499D-8D31-8CE29CAF7EA2}"/>
    <cellStyle name="Normal 5 2 5 2 2 2 3" xfId="11582" xr:uid="{E5809A8A-E196-4BC1-9CA8-6DB67B610C18}"/>
    <cellStyle name="Normal 5 2 5 2 2 3" xfId="5226" xr:uid="{00000000-0005-0000-0000-000026190000}"/>
    <cellStyle name="Normal 5 2 5 2 2 3 2" xfId="13655" xr:uid="{B3F87AF1-B5A4-4EB7-A9EC-3452EFBB9178}"/>
    <cellStyle name="Normal 5 2 5 2 2 4" xfId="9437" xr:uid="{5E973132-30A5-45DA-A81B-744DC8ACDEA5}"/>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78EB0CA9-BC0A-489A-B8E9-47DCF67E3CCD}"/>
    <cellStyle name="Normal 5 2 5 2 3 2 3" xfId="11995" xr:uid="{09DFC060-C6D3-4E3C-9CD6-302D55E2B189}"/>
    <cellStyle name="Normal 5 2 5 2 3 3" xfId="5639" xr:uid="{00000000-0005-0000-0000-00002A190000}"/>
    <cellStyle name="Normal 5 2 5 2 3 3 2" xfId="14068" xr:uid="{AB0D50AA-5242-4AB5-9FF6-2472E066E632}"/>
    <cellStyle name="Normal 5 2 5 2 3 4" xfId="9850" xr:uid="{CF9F14A4-98E3-4B5A-B959-F0D28FA7A8B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964BB4D8-EC6E-4806-BEA5-27F1DA308F23}"/>
    <cellStyle name="Normal 5 2 5 2 4 2 3" xfId="12408" xr:uid="{5A9981A1-E758-4D5C-BEC5-6A51E2A5508D}"/>
    <cellStyle name="Normal 5 2 5 2 4 3" xfId="6052" xr:uid="{00000000-0005-0000-0000-00002E190000}"/>
    <cellStyle name="Normal 5 2 5 2 4 3 2" xfId="14481" xr:uid="{1CE6784F-4FFA-4C44-9111-A9F6E1194528}"/>
    <cellStyle name="Normal 5 2 5 2 4 4" xfId="10263" xr:uid="{858C92FF-3A71-4FB0-AD13-4CC078AE1F94}"/>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5FCB424E-BFF7-40E5-B965-948F646EC06A}"/>
    <cellStyle name="Normal 5 2 5 2 5 2 3" xfId="12821" xr:uid="{5F11753C-68C3-4BD3-AEFC-ED0AB69652E6}"/>
    <cellStyle name="Normal 5 2 5 2 5 3" xfId="6465" xr:uid="{00000000-0005-0000-0000-000032190000}"/>
    <cellStyle name="Normal 5 2 5 2 5 3 2" xfId="14894" xr:uid="{4075DDD7-4923-473B-8392-9795105133C0}"/>
    <cellStyle name="Normal 5 2 5 2 5 4" xfId="10676" xr:uid="{F61B8486-C3B5-44A7-8191-A24A0C917B65}"/>
    <cellStyle name="Normal 5 2 5 2 6" xfId="2593" xr:uid="{00000000-0005-0000-0000-000033190000}"/>
    <cellStyle name="Normal 5 2 5 2 6 2" xfId="6878" xr:uid="{00000000-0005-0000-0000-000034190000}"/>
    <cellStyle name="Normal 5 2 5 2 6 2 2" xfId="15307" xr:uid="{F6F57E3E-6750-4D7B-9B2B-DEE8D4ED123F}"/>
    <cellStyle name="Normal 5 2 5 2 6 3" xfId="11089" xr:uid="{01E507C1-7611-48DD-8A70-2FD459CD5A82}"/>
    <cellStyle name="Normal 5 2 5 2 7" xfId="4813" xr:uid="{00000000-0005-0000-0000-000035190000}"/>
    <cellStyle name="Normal 5 2 5 2 7 2" xfId="13242" xr:uid="{5B0DB5B3-B776-4378-B31E-6D228CA81BC1}"/>
    <cellStyle name="Normal 5 2 5 2 8" xfId="9024" xr:uid="{68C00E0A-70ED-4117-9FA8-DE71C387B066}"/>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BA83224A-8F2F-48E1-AF17-F8915FA7E7CD}"/>
    <cellStyle name="Normal 5 2 5 3 2 3" xfId="11581" xr:uid="{3726D7C4-32E6-456C-8416-79B78491FEB8}"/>
    <cellStyle name="Normal 5 2 5 3 3" xfId="5225" xr:uid="{00000000-0005-0000-0000-000039190000}"/>
    <cellStyle name="Normal 5 2 5 3 3 2" xfId="13654" xr:uid="{35B3B151-6388-4DD4-AA84-655828487D18}"/>
    <cellStyle name="Normal 5 2 5 3 4" xfId="9436" xr:uid="{B84FDCD3-A6B3-4233-B934-277EE8C424B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873A1FFA-8B39-40B5-B153-931AC53D3B10}"/>
    <cellStyle name="Normal 5 2 5 4 2 3" xfId="11994" xr:uid="{9C3A9F4F-0C3F-4C3F-9BE0-F9F93D0209D5}"/>
    <cellStyle name="Normal 5 2 5 4 3" xfId="5638" xr:uid="{00000000-0005-0000-0000-00003D190000}"/>
    <cellStyle name="Normal 5 2 5 4 3 2" xfId="14067" xr:uid="{EB783C64-7DF5-48D7-BBF9-2E16DB432532}"/>
    <cellStyle name="Normal 5 2 5 4 4" xfId="9849" xr:uid="{A832FC9D-9F5C-47AC-98D8-0612778280B9}"/>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F1CC7425-FC37-40FF-81D4-90DE1F25E699}"/>
    <cellStyle name="Normal 5 2 5 5 2 3" xfId="12407" xr:uid="{57F25D4F-3C77-4420-B6D9-75562731B222}"/>
    <cellStyle name="Normal 5 2 5 5 3" xfId="6051" xr:uid="{00000000-0005-0000-0000-000041190000}"/>
    <cellStyle name="Normal 5 2 5 5 3 2" xfId="14480" xr:uid="{23B7ECD7-F54F-4E83-A7D1-7D8851845C09}"/>
    <cellStyle name="Normal 5 2 5 5 4" xfId="10262" xr:uid="{1DFD6013-C44B-4814-BA7B-D36064F84267}"/>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2EEC889F-908C-43E3-B605-F30C56AD8C44}"/>
    <cellStyle name="Normal 5 2 5 6 2 3" xfId="12820" xr:uid="{6B0AF895-D51B-4867-84BC-65E605B2125A}"/>
    <cellStyle name="Normal 5 2 5 6 3" xfId="6464" xr:uid="{00000000-0005-0000-0000-000045190000}"/>
    <cellStyle name="Normal 5 2 5 6 3 2" xfId="14893" xr:uid="{DAFB90C3-39F9-4D2D-8393-172D3D3E1624}"/>
    <cellStyle name="Normal 5 2 5 6 4" xfId="10675" xr:uid="{82889C6F-0C35-4B9F-B8C9-9E1EF74FCFB1}"/>
    <cellStyle name="Normal 5 2 5 7" xfId="2592" xr:uid="{00000000-0005-0000-0000-000046190000}"/>
    <cellStyle name="Normal 5 2 5 7 2" xfId="6877" xr:uid="{00000000-0005-0000-0000-000047190000}"/>
    <cellStyle name="Normal 5 2 5 7 2 2" xfId="15306" xr:uid="{DEC4E6B3-2B74-4637-9215-8CFEE5494F00}"/>
    <cellStyle name="Normal 5 2 5 7 3" xfId="11088" xr:uid="{87992298-3540-4E86-8B5B-46ADF14E35C9}"/>
    <cellStyle name="Normal 5 2 5 8" xfId="4812" xr:uid="{00000000-0005-0000-0000-000048190000}"/>
    <cellStyle name="Normal 5 2 5 8 2" xfId="13241" xr:uid="{0AD1EC2B-1A26-40BC-91CA-45D230757A4C}"/>
    <cellStyle name="Normal 5 2 5 9" xfId="9023" xr:uid="{AEB2F1D4-F1AA-480C-9875-BCDFD209F093}"/>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DBB4284D-057D-4B8D-9E3A-49D080552FC3}"/>
    <cellStyle name="Normal 5 2 6 2 2 3" xfId="11583" xr:uid="{51825C38-2758-47BB-8E26-9260902B6ED1}"/>
    <cellStyle name="Normal 5 2 6 2 3" xfId="5227" xr:uid="{00000000-0005-0000-0000-00004D190000}"/>
    <cellStyle name="Normal 5 2 6 2 3 2" xfId="13656" xr:uid="{4C694E75-EE75-4AFE-A6B1-6663AF12E967}"/>
    <cellStyle name="Normal 5 2 6 2 4" xfId="9438" xr:uid="{2C055D00-3A24-4D78-A892-EFC45DD18F60}"/>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92E0A56A-5C2D-47DE-936A-061968AE3F1C}"/>
    <cellStyle name="Normal 5 2 6 3 2 3" xfId="11996" xr:uid="{1C99A763-1560-42F2-9D7B-3F08B16A8B85}"/>
    <cellStyle name="Normal 5 2 6 3 3" xfId="5640" xr:uid="{00000000-0005-0000-0000-000051190000}"/>
    <cellStyle name="Normal 5 2 6 3 3 2" xfId="14069" xr:uid="{9FA5D6CC-7E9D-44F1-A5F9-6C87514D0552}"/>
    <cellStyle name="Normal 5 2 6 3 4" xfId="9851" xr:uid="{697BB719-1EB1-4016-81F1-10CD7F5C7585}"/>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6C66F983-D34A-43D0-844D-931AE2F0F2EB}"/>
    <cellStyle name="Normal 5 2 6 4 2 3" xfId="12409" xr:uid="{DFB85ED0-E90D-47AB-8A32-16AB7CCDAE75}"/>
    <cellStyle name="Normal 5 2 6 4 3" xfId="6053" xr:uid="{00000000-0005-0000-0000-000055190000}"/>
    <cellStyle name="Normal 5 2 6 4 3 2" xfId="14482" xr:uid="{1FCB9C6B-EE31-4963-8187-994656ADC63C}"/>
    <cellStyle name="Normal 5 2 6 4 4" xfId="10264" xr:uid="{AF2F1EF7-85F2-418E-967E-FE8EFD6DD37D}"/>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FDBA3C31-A693-440E-9712-FA13EA1F5F0C}"/>
    <cellStyle name="Normal 5 2 6 5 2 3" xfId="12822" xr:uid="{FADFB69C-70E6-4269-A7EC-6EDDEA6ECA58}"/>
    <cellStyle name="Normal 5 2 6 5 3" xfId="6466" xr:uid="{00000000-0005-0000-0000-000059190000}"/>
    <cellStyle name="Normal 5 2 6 5 3 2" xfId="14895" xr:uid="{78DA8DEE-EB0E-45E0-AD38-8CD03970D1C4}"/>
    <cellStyle name="Normal 5 2 6 5 4" xfId="10677" xr:uid="{40DDDCE6-F0BF-49FF-B9B9-F4E33E95FC6F}"/>
    <cellStyle name="Normal 5 2 6 6" xfId="2594" xr:uid="{00000000-0005-0000-0000-00005A190000}"/>
    <cellStyle name="Normal 5 2 6 6 2" xfId="6879" xr:uid="{00000000-0005-0000-0000-00005B190000}"/>
    <cellStyle name="Normal 5 2 6 6 2 2" xfId="15308" xr:uid="{BE08E3F3-36A7-4E20-BA3F-564DF38BD24D}"/>
    <cellStyle name="Normal 5 2 6 6 3" xfId="11090" xr:uid="{45DD7D12-FC57-4D0D-A598-1985884059C7}"/>
    <cellStyle name="Normal 5 2 6 7" xfId="4814" xr:uid="{00000000-0005-0000-0000-00005C190000}"/>
    <cellStyle name="Normal 5 2 6 7 2" xfId="13243" xr:uid="{F66FCC2B-80C7-4BB9-ADC8-9FEE47F9B403}"/>
    <cellStyle name="Normal 5 2 6 8" xfId="9025" xr:uid="{82DD8D7C-3E8F-4E68-9E1A-460B49EBCA9E}"/>
    <cellStyle name="Normal 5 2 7" xfId="882" xr:uid="{00000000-0005-0000-0000-00005D190000}"/>
    <cellStyle name="Normal 5 2 7 2" xfId="3117" xr:uid="{00000000-0005-0000-0000-00005E190000}"/>
    <cellStyle name="Normal 5 2 7 2 2" xfId="7341" xr:uid="{00000000-0005-0000-0000-00005F190000}"/>
    <cellStyle name="Normal 5 2 7 2 2 2" xfId="15770" xr:uid="{DEF0F40F-F865-4DB1-BA51-EAD8D468E4FF}"/>
    <cellStyle name="Normal 5 2 7 2 3" xfId="11552" xr:uid="{7F96F169-8FD3-443B-9976-60F059A0047A}"/>
    <cellStyle name="Normal 5 2 7 3" xfId="5196" xr:uid="{00000000-0005-0000-0000-000060190000}"/>
    <cellStyle name="Normal 5 2 7 3 2" xfId="13625" xr:uid="{B4138A24-CDC6-4E83-8BB9-FB19F8AD821D}"/>
    <cellStyle name="Normal 5 2 7 4" xfId="9407" xr:uid="{7A9C656B-4951-4E80-9ADE-5F4562CD21BA}"/>
    <cellStyle name="Normal 5 2 8" xfId="1300" xr:uid="{00000000-0005-0000-0000-000061190000}"/>
    <cellStyle name="Normal 5 2 8 2" xfId="3530" xr:uid="{00000000-0005-0000-0000-000062190000}"/>
    <cellStyle name="Normal 5 2 8 2 2" xfId="7754" xr:uid="{00000000-0005-0000-0000-000063190000}"/>
    <cellStyle name="Normal 5 2 8 2 2 2" xfId="16183" xr:uid="{4819502A-3ADC-4145-8EB6-95BAAEBFC299}"/>
    <cellStyle name="Normal 5 2 8 2 3" xfId="11965" xr:uid="{F8922B81-FC5E-4462-9724-CF22AAA5B44E}"/>
    <cellStyle name="Normal 5 2 8 3" xfId="5609" xr:uid="{00000000-0005-0000-0000-000064190000}"/>
    <cellStyle name="Normal 5 2 8 3 2" xfId="14038" xr:uid="{A73970A4-62FA-4E17-A8EF-AB38FEB31470}"/>
    <cellStyle name="Normal 5 2 8 4" xfId="9820" xr:uid="{0EC26DE0-38C7-44D6-8FDB-E9D488B95805}"/>
    <cellStyle name="Normal 5 2 9" xfId="1713" xr:uid="{00000000-0005-0000-0000-000065190000}"/>
    <cellStyle name="Normal 5 2 9 2" xfId="3943" xr:uid="{00000000-0005-0000-0000-000066190000}"/>
    <cellStyle name="Normal 5 2 9 2 2" xfId="8167" xr:uid="{00000000-0005-0000-0000-000067190000}"/>
    <cellStyle name="Normal 5 2 9 2 2 2" xfId="16596" xr:uid="{F201583B-7EB9-44BF-BCF2-5181244F8F67}"/>
    <cellStyle name="Normal 5 2 9 2 3" xfId="12378" xr:uid="{76CCD90B-3809-4EE4-905A-AA0DFE95A0D4}"/>
    <cellStyle name="Normal 5 2 9 3" xfId="6022" xr:uid="{00000000-0005-0000-0000-000068190000}"/>
    <cellStyle name="Normal 5 2 9 3 2" xfId="14451" xr:uid="{CA36B1C5-7B1C-489C-8F98-18F8D488D1A0}"/>
    <cellStyle name="Normal 5 2 9 4" xfId="10233" xr:uid="{9725CADA-5091-4A9F-B072-0845702A2677}"/>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0187EC5C-601C-4B57-A674-5532F19CED20}"/>
    <cellStyle name="Normal 5 3 10 2 3" xfId="12823" xr:uid="{D9F00CCF-7F59-4075-9C27-F6815ECBD3F1}"/>
    <cellStyle name="Normal 5 3 10 3" xfId="6467" xr:uid="{00000000-0005-0000-0000-00006D190000}"/>
    <cellStyle name="Normal 5 3 10 3 2" xfId="14896" xr:uid="{3AB071C4-F38D-4614-AE87-CC50E827DF54}"/>
    <cellStyle name="Normal 5 3 10 4" xfId="10678" xr:uid="{D67316A2-F397-4DB2-97A6-92859FECD371}"/>
    <cellStyle name="Normal 5 3 11" xfId="2595" xr:uid="{00000000-0005-0000-0000-00006E190000}"/>
    <cellStyle name="Normal 5 3 11 2" xfId="6880" xr:uid="{00000000-0005-0000-0000-00006F190000}"/>
    <cellStyle name="Normal 5 3 11 2 2" xfId="15309" xr:uid="{A3944D6E-CAEF-4794-ACEB-FECD3579F62C}"/>
    <cellStyle name="Normal 5 3 11 3" xfId="11091" xr:uid="{5B5FFCFA-F9B2-4C66-9E45-F80AF2D0F2C5}"/>
    <cellStyle name="Normal 5 3 12" xfId="4815" xr:uid="{00000000-0005-0000-0000-000070190000}"/>
    <cellStyle name="Normal 5 3 12 2" xfId="13244" xr:uid="{BD840D96-2BAB-4F5E-B70E-9CCED9343356}"/>
    <cellStyle name="Normal 5 3 13" xfId="9026" xr:uid="{2A4BB1D2-2B0E-4C35-8B33-B66F03E2A343}"/>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101B12A3-D2B6-40D7-A924-309818D07135}"/>
    <cellStyle name="Normal 5 3 3 11" xfId="9027" xr:uid="{7FD03E91-EC9B-4A95-9CFF-85BAB8AB5251}"/>
    <cellStyle name="Normal 5 3 3 2" xfId="442" xr:uid="{00000000-0005-0000-0000-000075190000}"/>
    <cellStyle name="Normal 5 3 3 2 10" xfId="9028" xr:uid="{5CDDD978-CCDE-4512-9315-58399CC67B26}"/>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45EA9994-10ED-4EB3-8C39-08A00EACE20D}"/>
    <cellStyle name="Normal 5 3 3 2 2 2 2 2 3" xfId="11588" xr:uid="{6C884DFB-2831-4848-BCDE-61032A270248}"/>
    <cellStyle name="Normal 5 3 3 2 2 2 2 3" xfId="5232" xr:uid="{00000000-0005-0000-0000-00007B190000}"/>
    <cellStyle name="Normal 5 3 3 2 2 2 2 3 2" xfId="13661" xr:uid="{0A7AC4E7-B459-481D-B65E-C00DD3F54DDD}"/>
    <cellStyle name="Normal 5 3 3 2 2 2 2 4" xfId="9443" xr:uid="{E6BAE18B-AD45-4542-919B-66E78B6D803C}"/>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50514F2C-7DDD-4CE3-A026-55562B688CEA}"/>
    <cellStyle name="Normal 5 3 3 2 2 2 3 2 3" xfId="12001" xr:uid="{F905F60B-33EE-484C-9638-B9C14BEDFC74}"/>
    <cellStyle name="Normal 5 3 3 2 2 2 3 3" xfId="5645" xr:uid="{00000000-0005-0000-0000-00007F190000}"/>
    <cellStyle name="Normal 5 3 3 2 2 2 3 3 2" xfId="14074" xr:uid="{CD05264B-7B46-4E5B-A714-BD21D4E725C5}"/>
    <cellStyle name="Normal 5 3 3 2 2 2 3 4" xfId="9856" xr:uid="{3AB539A9-1A5A-44A3-B5F6-A63D00849861}"/>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D6571306-40E9-4F22-BC97-AF139F59A1EC}"/>
    <cellStyle name="Normal 5 3 3 2 2 2 4 2 3" xfId="12414" xr:uid="{05624D0D-8D2C-41BB-8153-2D48A7D92A7A}"/>
    <cellStyle name="Normal 5 3 3 2 2 2 4 3" xfId="6058" xr:uid="{00000000-0005-0000-0000-000083190000}"/>
    <cellStyle name="Normal 5 3 3 2 2 2 4 3 2" xfId="14487" xr:uid="{519020EC-131A-4282-87DF-CABC3DA6D01E}"/>
    <cellStyle name="Normal 5 3 3 2 2 2 4 4" xfId="10269" xr:uid="{C4434D04-7D0A-49E9-87AC-9744EC082E1B}"/>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DFBA62B2-691C-4D34-9FB9-72FCBC79D7FE}"/>
    <cellStyle name="Normal 5 3 3 2 2 2 5 2 3" xfId="12827" xr:uid="{29AABCD5-6E99-43DC-B284-4DC8D4BE26AA}"/>
    <cellStyle name="Normal 5 3 3 2 2 2 5 3" xfId="6471" xr:uid="{00000000-0005-0000-0000-000087190000}"/>
    <cellStyle name="Normal 5 3 3 2 2 2 5 3 2" xfId="14900" xr:uid="{C04FF225-EF63-46FC-9CA0-1F3B172699EA}"/>
    <cellStyle name="Normal 5 3 3 2 2 2 5 4" xfId="10682" xr:uid="{4EC33706-44E7-4E8D-8C70-043F1DA3A667}"/>
    <cellStyle name="Normal 5 3 3 2 2 2 6" xfId="2599" xr:uid="{00000000-0005-0000-0000-000088190000}"/>
    <cellStyle name="Normal 5 3 3 2 2 2 6 2" xfId="6884" xr:uid="{00000000-0005-0000-0000-000089190000}"/>
    <cellStyle name="Normal 5 3 3 2 2 2 6 2 2" xfId="15313" xr:uid="{3125D8E6-3B30-4421-AE6A-29023A1F2CDA}"/>
    <cellStyle name="Normal 5 3 3 2 2 2 6 3" xfId="11095" xr:uid="{575E293F-00FF-4274-A160-2FE1F9BDF692}"/>
    <cellStyle name="Normal 5 3 3 2 2 2 7" xfId="4819" xr:uid="{00000000-0005-0000-0000-00008A190000}"/>
    <cellStyle name="Normal 5 3 3 2 2 2 7 2" xfId="13248" xr:uid="{44526CE3-F975-49AF-943A-DF68A65A36A9}"/>
    <cellStyle name="Normal 5 3 3 2 2 2 8" xfId="9030" xr:uid="{5818DE14-97BF-420D-A903-98E82A940F4C}"/>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25BFD189-74C1-411E-937E-D9DA20EB5CD7}"/>
    <cellStyle name="Normal 5 3 3 2 2 3 2 3" xfId="11587" xr:uid="{11D395D4-646E-4517-B965-CD92783D3AAC}"/>
    <cellStyle name="Normal 5 3 3 2 2 3 3" xfId="5231" xr:uid="{00000000-0005-0000-0000-00008E190000}"/>
    <cellStyle name="Normal 5 3 3 2 2 3 3 2" xfId="13660" xr:uid="{84DABB62-59E5-4E21-BB15-8E214C175598}"/>
    <cellStyle name="Normal 5 3 3 2 2 3 4" xfId="9442" xr:uid="{71EF3A31-5184-464C-97F3-8D79A0317B5C}"/>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51B81CBD-ECC3-4FF7-896A-53C23A56CBB4}"/>
    <cellStyle name="Normal 5 3 3 2 2 4 2 3" xfId="12000" xr:uid="{34257BC0-049A-40FF-B781-3F11947D95F6}"/>
    <cellStyle name="Normal 5 3 3 2 2 4 3" xfId="5644" xr:uid="{00000000-0005-0000-0000-000092190000}"/>
    <cellStyle name="Normal 5 3 3 2 2 4 3 2" xfId="14073" xr:uid="{0F84D27F-8D8D-49E3-8A58-4E418647E45C}"/>
    <cellStyle name="Normal 5 3 3 2 2 4 4" xfId="9855" xr:uid="{E577D681-C210-4F44-B894-0E39862A5288}"/>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4A524FC8-EF02-4CC7-9DC7-6871DF48C7F3}"/>
    <cellStyle name="Normal 5 3 3 2 2 5 2 3" xfId="12413" xr:uid="{62165724-A23D-4E9B-97BD-BDEC0B515AC5}"/>
    <cellStyle name="Normal 5 3 3 2 2 5 3" xfId="6057" xr:uid="{00000000-0005-0000-0000-000096190000}"/>
    <cellStyle name="Normal 5 3 3 2 2 5 3 2" xfId="14486" xr:uid="{E949FEBD-D1F9-4995-B50E-876E578968AE}"/>
    <cellStyle name="Normal 5 3 3 2 2 5 4" xfId="10268" xr:uid="{2754B659-F379-4FBE-BD20-B843AE099E23}"/>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0EC2CE86-D2A0-4822-92F0-B671BB415011}"/>
    <cellStyle name="Normal 5 3 3 2 2 6 2 3" xfId="12826" xr:uid="{D3B3961E-A722-40B3-AC71-9AE33229E3E7}"/>
    <cellStyle name="Normal 5 3 3 2 2 6 3" xfId="6470" xr:uid="{00000000-0005-0000-0000-00009A190000}"/>
    <cellStyle name="Normal 5 3 3 2 2 6 3 2" xfId="14899" xr:uid="{B5E02D87-E3EE-4E66-99CC-87B51391B21A}"/>
    <cellStyle name="Normal 5 3 3 2 2 6 4" xfId="10681" xr:uid="{AB0E262E-478C-4143-9F5F-1D914C253C63}"/>
    <cellStyle name="Normal 5 3 3 2 2 7" xfId="2598" xr:uid="{00000000-0005-0000-0000-00009B190000}"/>
    <cellStyle name="Normal 5 3 3 2 2 7 2" xfId="6883" xr:uid="{00000000-0005-0000-0000-00009C190000}"/>
    <cellStyle name="Normal 5 3 3 2 2 7 2 2" xfId="15312" xr:uid="{0F7F26B6-11BC-4FC6-9462-44B2CB4F0AB8}"/>
    <cellStyle name="Normal 5 3 3 2 2 7 3" xfId="11094" xr:uid="{2179E097-905A-4786-AAE1-8D4651BFEA01}"/>
    <cellStyle name="Normal 5 3 3 2 2 8" xfId="4818" xr:uid="{00000000-0005-0000-0000-00009D190000}"/>
    <cellStyle name="Normal 5 3 3 2 2 8 2" xfId="13247" xr:uid="{39FB6999-5830-4E10-91EC-8CEB69101E0B}"/>
    <cellStyle name="Normal 5 3 3 2 2 9" xfId="9029" xr:uid="{598AA541-5FA0-4C49-9CA6-9AA903EF8A2A}"/>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01D101B9-3F78-48AA-8C48-A6490E650651}"/>
    <cellStyle name="Normal 5 3 3 2 3 2 2 3" xfId="11589" xr:uid="{3ACE2739-8243-4F9E-8282-3EB67D304127}"/>
    <cellStyle name="Normal 5 3 3 2 3 2 3" xfId="5233" xr:uid="{00000000-0005-0000-0000-0000A2190000}"/>
    <cellStyle name="Normal 5 3 3 2 3 2 3 2" xfId="13662" xr:uid="{A0C7250C-4738-44AC-BD83-2BDC6D60AAB5}"/>
    <cellStyle name="Normal 5 3 3 2 3 2 4" xfId="9444" xr:uid="{BD84B04C-9182-48BB-81DE-52DE79A6C687}"/>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F8899564-0357-4F61-A79B-0DF2CD41611D}"/>
    <cellStyle name="Normal 5 3 3 2 3 3 2 3" xfId="12002" xr:uid="{9E3A3C52-E6F5-4143-9573-7E2214C7CF0F}"/>
    <cellStyle name="Normal 5 3 3 2 3 3 3" xfId="5646" xr:uid="{00000000-0005-0000-0000-0000A6190000}"/>
    <cellStyle name="Normal 5 3 3 2 3 3 3 2" xfId="14075" xr:uid="{95BD9F09-27FA-4A90-AB4E-88EB5895B614}"/>
    <cellStyle name="Normal 5 3 3 2 3 3 4" xfId="9857" xr:uid="{5FE2620F-20FF-45F2-B4D7-E299474527A2}"/>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84DB786A-3136-4F9B-A26D-30FB4DA8BE88}"/>
    <cellStyle name="Normal 5 3 3 2 3 4 2 3" xfId="12415" xr:uid="{E159E3F0-42DB-41FE-8ACF-6E05FE7A2292}"/>
    <cellStyle name="Normal 5 3 3 2 3 4 3" xfId="6059" xr:uid="{00000000-0005-0000-0000-0000AA190000}"/>
    <cellStyle name="Normal 5 3 3 2 3 4 3 2" xfId="14488" xr:uid="{C5098B25-3AF6-4F24-B424-68F57BF5040B}"/>
    <cellStyle name="Normal 5 3 3 2 3 4 4" xfId="10270" xr:uid="{BFA03648-9605-443D-9789-E6062F1AA07A}"/>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6BC26135-EEA7-4ECC-ABCD-122BD103DD1B}"/>
    <cellStyle name="Normal 5 3 3 2 3 5 2 3" xfId="12828" xr:uid="{A3AE6143-162F-4703-8918-9551197D0AD5}"/>
    <cellStyle name="Normal 5 3 3 2 3 5 3" xfId="6472" xr:uid="{00000000-0005-0000-0000-0000AE190000}"/>
    <cellStyle name="Normal 5 3 3 2 3 5 3 2" xfId="14901" xr:uid="{27D2BCCA-9549-414C-8B94-3D5F937FF0C0}"/>
    <cellStyle name="Normal 5 3 3 2 3 5 4" xfId="10683" xr:uid="{C5C7E0D4-B85E-4EDF-9DF1-760FDCD258EA}"/>
    <cellStyle name="Normal 5 3 3 2 3 6" xfId="2600" xr:uid="{00000000-0005-0000-0000-0000AF190000}"/>
    <cellStyle name="Normal 5 3 3 2 3 6 2" xfId="6885" xr:uid="{00000000-0005-0000-0000-0000B0190000}"/>
    <cellStyle name="Normal 5 3 3 2 3 6 2 2" xfId="15314" xr:uid="{9F11A7D4-E33A-4E18-ADA7-DD8199004672}"/>
    <cellStyle name="Normal 5 3 3 2 3 6 3" xfId="11096" xr:uid="{E245C0FE-86B5-4159-A255-540976261885}"/>
    <cellStyle name="Normal 5 3 3 2 3 7" xfId="4820" xr:uid="{00000000-0005-0000-0000-0000B1190000}"/>
    <cellStyle name="Normal 5 3 3 2 3 7 2" xfId="13249" xr:uid="{8D6802D2-0D36-4ED5-961C-A6E809C50906}"/>
    <cellStyle name="Normal 5 3 3 2 3 8" xfId="9031" xr:uid="{CCADF82B-B0AB-427A-BB26-1015DCA61124}"/>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3468ED83-462F-4EC8-AA73-4DE57F1A75FA}"/>
    <cellStyle name="Normal 5 3 3 2 4 2 3" xfId="11586" xr:uid="{B2AFC53A-3F1F-4630-9402-0D8B5408BDE0}"/>
    <cellStyle name="Normal 5 3 3 2 4 3" xfId="5230" xr:uid="{00000000-0005-0000-0000-0000B5190000}"/>
    <cellStyle name="Normal 5 3 3 2 4 3 2" xfId="13659" xr:uid="{BAF70985-C8BE-4871-8BA8-E65C133C1C1B}"/>
    <cellStyle name="Normal 5 3 3 2 4 4" xfId="9441" xr:uid="{21C94982-D6B5-4A9A-9111-94B94600D6E8}"/>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513755EF-6864-48D3-8867-8813AD85DE8A}"/>
    <cellStyle name="Normal 5 3 3 2 5 2 3" xfId="11999" xr:uid="{CAC341B1-D8AF-46B7-BCDB-42B6355AEDFA}"/>
    <cellStyle name="Normal 5 3 3 2 5 3" xfId="5643" xr:uid="{00000000-0005-0000-0000-0000B9190000}"/>
    <cellStyle name="Normal 5 3 3 2 5 3 2" xfId="14072" xr:uid="{5368F5BE-8C5A-4BF9-B2B8-7969F1C315C5}"/>
    <cellStyle name="Normal 5 3 3 2 5 4" xfId="9854" xr:uid="{CDBC0DC7-FA6E-4A97-964C-201ABB0F77A7}"/>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EBCA35C9-9D6A-4B11-BAEC-550DF2836852}"/>
    <cellStyle name="Normal 5 3 3 2 6 2 3" xfId="12412" xr:uid="{341AFD0D-0E66-49BB-AADB-70F28187074E}"/>
    <cellStyle name="Normal 5 3 3 2 6 3" xfId="6056" xr:uid="{00000000-0005-0000-0000-0000BD190000}"/>
    <cellStyle name="Normal 5 3 3 2 6 3 2" xfId="14485" xr:uid="{3D8B8E10-594A-4B31-84FA-89EFD250DBF1}"/>
    <cellStyle name="Normal 5 3 3 2 6 4" xfId="10267" xr:uid="{A7BEA1A5-3A4C-4014-9025-24B5C0A7FB36}"/>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EFD1B182-C413-4840-91FC-1973AC37F972}"/>
    <cellStyle name="Normal 5 3 3 2 7 2 3" xfId="12825" xr:uid="{DBBF7A19-A21F-4CB7-AEAD-BC7E5F474C15}"/>
    <cellStyle name="Normal 5 3 3 2 7 3" xfId="6469" xr:uid="{00000000-0005-0000-0000-0000C1190000}"/>
    <cellStyle name="Normal 5 3 3 2 7 3 2" xfId="14898" xr:uid="{6C60CE8A-CD62-42CE-91D7-96CFB18EC81D}"/>
    <cellStyle name="Normal 5 3 3 2 7 4" xfId="10680" xr:uid="{570134AE-0104-47F2-AD7A-C5D74731BCEE}"/>
    <cellStyle name="Normal 5 3 3 2 8" xfId="2597" xr:uid="{00000000-0005-0000-0000-0000C2190000}"/>
    <cellStyle name="Normal 5 3 3 2 8 2" xfId="6882" xr:uid="{00000000-0005-0000-0000-0000C3190000}"/>
    <cellStyle name="Normal 5 3 3 2 8 2 2" xfId="15311" xr:uid="{5A864C82-CE88-48AE-94A2-5D93611B2B32}"/>
    <cellStyle name="Normal 5 3 3 2 8 3" xfId="11093" xr:uid="{538E6C87-329F-4D7A-B8DE-F3A592AE9712}"/>
    <cellStyle name="Normal 5 3 3 2 9" xfId="4817" xr:uid="{00000000-0005-0000-0000-0000C4190000}"/>
    <cellStyle name="Normal 5 3 3 2 9 2" xfId="13246" xr:uid="{C1F88181-70D5-4B74-981D-03274DC0D8AD}"/>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D6E07FB0-D957-46BD-8C3D-4F693AF050B6}"/>
    <cellStyle name="Normal 5 3 3 3 2 2 2 3" xfId="11591" xr:uid="{F3C14297-36C7-4617-B1A7-B0F0FC59ACEB}"/>
    <cellStyle name="Normal 5 3 3 3 2 2 3" xfId="5235" xr:uid="{00000000-0005-0000-0000-0000CA190000}"/>
    <cellStyle name="Normal 5 3 3 3 2 2 3 2" xfId="13664" xr:uid="{0F4D0040-3060-44B9-994C-C8208F5DC84D}"/>
    <cellStyle name="Normal 5 3 3 3 2 2 4" xfId="9446" xr:uid="{1BB2BE26-B1A9-4025-B39D-8282A9C310CC}"/>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9287289A-76A9-44CA-9A90-21657BB27D2D}"/>
    <cellStyle name="Normal 5 3 3 3 2 3 2 3" xfId="12004" xr:uid="{59E5DABA-EA31-418F-8949-1985124FDCC7}"/>
    <cellStyle name="Normal 5 3 3 3 2 3 3" xfId="5648" xr:uid="{00000000-0005-0000-0000-0000CE190000}"/>
    <cellStyle name="Normal 5 3 3 3 2 3 3 2" xfId="14077" xr:uid="{A58194B4-CABF-486A-835A-4B61D7BC9D4A}"/>
    <cellStyle name="Normal 5 3 3 3 2 3 4" xfId="9859" xr:uid="{A5F64BF2-06DE-4180-9B3A-84EF18109DD2}"/>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4AEB907-0848-4339-BBAB-5BA85DB7D71E}"/>
    <cellStyle name="Normal 5 3 3 3 2 4 2 3" xfId="12417" xr:uid="{879D11BD-197C-424C-B3CB-FCE9BAF11D5E}"/>
    <cellStyle name="Normal 5 3 3 3 2 4 3" xfId="6061" xr:uid="{00000000-0005-0000-0000-0000D2190000}"/>
    <cellStyle name="Normal 5 3 3 3 2 4 3 2" xfId="14490" xr:uid="{D1E4149C-8A79-4219-B52A-41F9960088B5}"/>
    <cellStyle name="Normal 5 3 3 3 2 4 4" xfId="10272" xr:uid="{8BABF68F-A7D1-4347-89D2-4618386A6A2C}"/>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4D27F9C8-7F0E-4A7D-908F-C8E9EABC8FAC}"/>
    <cellStyle name="Normal 5 3 3 3 2 5 2 3" xfId="12830" xr:uid="{C6CD41DD-6C11-4ED4-B7B4-ACB30933FB5D}"/>
    <cellStyle name="Normal 5 3 3 3 2 5 3" xfId="6474" xr:uid="{00000000-0005-0000-0000-0000D6190000}"/>
    <cellStyle name="Normal 5 3 3 3 2 5 3 2" xfId="14903" xr:uid="{0F601EFF-94EA-4571-A258-FA18AF4F26EA}"/>
    <cellStyle name="Normal 5 3 3 3 2 5 4" xfId="10685" xr:uid="{2D240A6E-7238-4B50-B59E-EB00226E580C}"/>
    <cellStyle name="Normal 5 3 3 3 2 6" xfId="2602" xr:uid="{00000000-0005-0000-0000-0000D7190000}"/>
    <cellStyle name="Normal 5 3 3 3 2 6 2" xfId="6887" xr:uid="{00000000-0005-0000-0000-0000D8190000}"/>
    <cellStyle name="Normal 5 3 3 3 2 6 2 2" xfId="15316" xr:uid="{6C909833-9B08-4716-83F8-53EE4A486AA1}"/>
    <cellStyle name="Normal 5 3 3 3 2 6 3" xfId="11098" xr:uid="{839A3803-4E70-4A8B-87DE-B83D695DD2AB}"/>
    <cellStyle name="Normal 5 3 3 3 2 7" xfId="4822" xr:uid="{00000000-0005-0000-0000-0000D9190000}"/>
    <cellStyle name="Normal 5 3 3 3 2 7 2" xfId="13251" xr:uid="{E7FF7FAC-1E74-463E-83F9-7C04E9023BD7}"/>
    <cellStyle name="Normal 5 3 3 3 2 8" xfId="9033" xr:uid="{EC330B74-2F08-44AA-B96C-847AD0484F5F}"/>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0365D993-A813-4EB2-8BCE-5878F3CEA291}"/>
    <cellStyle name="Normal 5 3 3 3 3 2 3" xfId="11590" xr:uid="{D3185635-8F90-4BCE-BF2C-5D10FA85BE9A}"/>
    <cellStyle name="Normal 5 3 3 3 3 3" xfId="5234" xr:uid="{00000000-0005-0000-0000-0000DD190000}"/>
    <cellStyle name="Normal 5 3 3 3 3 3 2" xfId="13663" xr:uid="{2F74B285-BE95-4598-9509-FD84232C29F8}"/>
    <cellStyle name="Normal 5 3 3 3 3 4" xfId="9445" xr:uid="{1871D34B-4B4F-4F46-A11F-B63508C9A97B}"/>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51DA32BD-05C3-447A-BFE6-6C2B75CB1E17}"/>
    <cellStyle name="Normal 5 3 3 3 4 2 3" xfId="12003" xr:uid="{BD42DC85-3DE2-4D1F-9685-300115D0CC92}"/>
    <cellStyle name="Normal 5 3 3 3 4 3" xfId="5647" xr:uid="{00000000-0005-0000-0000-0000E1190000}"/>
    <cellStyle name="Normal 5 3 3 3 4 3 2" xfId="14076" xr:uid="{20EB01F1-673F-4C44-BC27-87E224F24438}"/>
    <cellStyle name="Normal 5 3 3 3 4 4" xfId="9858" xr:uid="{FF94237C-5EA6-4119-B5A5-CE3BB389A538}"/>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19EA957F-FB8C-4791-A1B1-DF17843F53AD}"/>
    <cellStyle name="Normal 5 3 3 3 5 2 3" xfId="12416" xr:uid="{0A75F69F-E7E3-4AE4-B0D8-85E513541A52}"/>
    <cellStyle name="Normal 5 3 3 3 5 3" xfId="6060" xr:uid="{00000000-0005-0000-0000-0000E5190000}"/>
    <cellStyle name="Normal 5 3 3 3 5 3 2" xfId="14489" xr:uid="{D947ABD7-5853-4AF4-8D48-14312BB3B81C}"/>
    <cellStyle name="Normal 5 3 3 3 5 4" xfId="10271" xr:uid="{0D99BBCF-7959-494D-BC85-8D89BF55E380}"/>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1DB5F6B0-F8B1-4160-86D6-03ABFE484A27}"/>
    <cellStyle name="Normal 5 3 3 3 6 2 3" xfId="12829" xr:uid="{B824DA64-29CC-48DC-851F-3EB20C6842C8}"/>
    <cellStyle name="Normal 5 3 3 3 6 3" xfId="6473" xr:uid="{00000000-0005-0000-0000-0000E9190000}"/>
    <cellStyle name="Normal 5 3 3 3 6 3 2" xfId="14902" xr:uid="{1AF6A9B5-890A-49DC-AAF0-C69CED745D56}"/>
    <cellStyle name="Normal 5 3 3 3 6 4" xfId="10684" xr:uid="{43CBFF6C-7285-4057-8DDB-7D68D244C201}"/>
    <cellStyle name="Normal 5 3 3 3 7" xfId="2601" xr:uid="{00000000-0005-0000-0000-0000EA190000}"/>
    <cellStyle name="Normal 5 3 3 3 7 2" xfId="6886" xr:uid="{00000000-0005-0000-0000-0000EB190000}"/>
    <cellStyle name="Normal 5 3 3 3 7 2 2" xfId="15315" xr:uid="{C880950A-8A28-4ABA-9EE5-1B5F2F939EF7}"/>
    <cellStyle name="Normal 5 3 3 3 7 3" xfId="11097" xr:uid="{A2ECFE6C-87BA-40B4-AB2C-8CDC396BA513}"/>
    <cellStyle name="Normal 5 3 3 3 8" xfId="4821" xr:uid="{00000000-0005-0000-0000-0000EC190000}"/>
    <cellStyle name="Normal 5 3 3 3 8 2" xfId="13250" xr:uid="{94DC9563-1DAB-46BF-A75A-16E0FAEC5F3E}"/>
    <cellStyle name="Normal 5 3 3 3 9" xfId="9032" xr:uid="{319B2CC5-3708-43EF-8FA0-EEB0AEAFBE75}"/>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4827E47B-7AED-4B95-8B84-847A648F1EC8}"/>
    <cellStyle name="Normal 5 3 3 4 2 2 3" xfId="11592" xr:uid="{21684BB8-224E-4EA2-ADFC-AA17E1031827}"/>
    <cellStyle name="Normal 5 3 3 4 2 3" xfId="5236" xr:uid="{00000000-0005-0000-0000-0000F1190000}"/>
    <cellStyle name="Normal 5 3 3 4 2 3 2" xfId="13665" xr:uid="{3D79A84C-9604-4231-A5F3-D01E05583845}"/>
    <cellStyle name="Normal 5 3 3 4 2 4" xfId="9447" xr:uid="{DFBE835A-3464-48B3-9E87-9BD787B2AD4D}"/>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1D73D734-A0A0-4B41-BCDE-BAC5B7FBF638}"/>
    <cellStyle name="Normal 5 3 3 4 3 2 3" xfId="12005" xr:uid="{C3530095-6BE3-4F0B-9A1A-95C79D13FBC1}"/>
    <cellStyle name="Normal 5 3 3 4 3 3" xfId="5649" xr:uid="{00000000-0005-0000-0000-0000F5190000}"/>
    <cellStyle name="Normal 5 3 3 4 3 3 2" xfId="14078" xr:uid="{D2F06E0A-B02D-4643-B47C-52036065C70C}"/>
    <cellStyle name="Normal 5 3 3 4 3 4" xfId="9860" xr:uid="{5CEA865F-72FE-49E1-B508-64CD10CCBD15}"/>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8A976953-999B-472B-B313-FEA39F34ADA5}"/>
    <cellStyle name="Normal 5 3 3 4 4 2 3" xfId="12418" xr:uid="{AB7279E7-0210-4D89-97A9-BDC6BEF7F3A1}"/>
    <cellStyle name="Normal 5 3 3 4 4 3" xfId="6062" xr:uid="{00000000-0005-0000-0000-0000F9190000}"/>
    <cellStyle name="Normal 5 3 3 4 4 3 2" xfId="14491" xr:uid="{604E8D66-6F5F-4F69-867D-CD41BFF7CE5D}"/>
    <cellStyle name="Normal 5 3 3 4 4 4" xfId="10273" xr:uid="{8DC856D2-6C12-4B23-A82E-B606EB4C77C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72F99B52-9BE5-45E7-8598-DBD5923262D5}"/>
    <cellStyle name="Normal 5 3 3 4 5 2 3" xfId="12831" xr:uid="{78C76673-BACF-4CC3-8AEE-A4FD070CFFC6}"/>
    <cellStyle name="Normal 5 3 3 4 5 3" xfId="6475" xr:uid="{00000000-0005-0000-0000-0000FD190000}"/>
    <cellStyle name="Normal 5 3 3 4 5 3 2" xfId="14904" xr:uid="{CB53CC27-A482-47E2-ADF5-732A846A1913}"/>
    <cellStyle name="Normal 5 3 3 4 5 4" xfId="10686" xr:uid="{F24B200E-AD99-41D8-8D31-63283BF75A55}"/>
    <cellStyle name="Normal 5 3 3 4 6" xfId="2603" xr:uid="{00000000-0005-0000-0000-0000FE190000}"/>
    <cellStyle name="Normal 5 3 3 4 6 2" xfId="6888" xr:uid="{00000000-0005-0000-0000-0000FF190000}"/>
    <cellStyle name="Normal 5 3 3 4 6 2 2" xfId="15317" xr:uid="{B09C2414-2B9D-4743-B260-0F7F751C1E6E}"/>
    <cellStyle name="Normal 5 3 3 4 6 3" xfId="11099" xr:uid="{484F5013-B57E-49AC-B31D-5DD42676F7F0}"/>
    <cellStyle name="Normal 5 3 3 4 7" xfId="4823" xr:uid="{00000000-0005-0000-0000-0000001A0000}"/>
    <cellStyle name="Normal 5 3 3 4 7 2" xfId="13252" xr:uid="{F1A0B4BB-DFC9-4F5E-B86A-413D0A7371A7}"/>
    <cellStyle name="Normal 5 3 3 4 8" xfId="9034" xr:uid="{C4CA9C73-542D-41E0-BA78-C6CAFCA8371F}"/>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EE4FEC1F-DFC2-464A-A6A9-988A4DCE6516}"/>
    <cellStyle name="Normal 5 3 3 5 2 3" xfId="11585" xr:uid="{3998C8A7-9A48-4DDA-BE17-4CFBCC36D60E}"/>
    <cellStyle name="Normal 5 3 3 5 3" xfId="5229" xr:uid="{00000000-0005-0000-0000-0000041A0000}"/>
    <cellStyle name="Normal 5 3 3 5 3 2" xfId="13658" xr:uid="{6F624BF2-5F9C-450A-ACFB-8AF56A5D4047}"/>
    <cellStyle name="Normal 5 3 3 5 4" xfId="9440" xr:uid="{1CAFA3A2-6CDE-43B3-8D08-FCB47F77C80B}"/>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D38206AC-CC8B-40A9-A292-02DC52B3E7AB}"/>
    <cellStyle name="Normal 5 3 3 6 2 3" xfId="11998" xr:uid="{8D6BEB8B-D08D-4CAA-A7E0-A754EA9DE262}"/>
    <cellStyle name="Normal 5 3 3 6 3" xfId="5642" xr:uid="{00000000-0005-0000-0000-0000081A0000}"/>
    <cellStyle name="Normal 5 3 3 6 3 2" xfId="14071" xr:uid="{840E7655-0989-4F89-A8BC-8C30F3912425}"/>
    <cellStyle name="Normal 5 3 3 6 4" xfId="9853" xr:uid="{52F3FEBC-5F76-484D-87F0-7D01B67FDB0B}"/>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F5E324C6-C083-4E35-AACB-6A9E60348E18}"/>
    <cellStyle name="Normal 5 3 3 7 2 3" xfId="12411" xr:uid="{65995AAB-A581-4231-AB02-440E41BDD538}"/>
    <cellStyle name="Normal 5 3 3 7 3" xfId="6055" xr:uid="{00000000-0005-0000-0000-00000C1A0000}"/>
    <cellStyle name="Normal 5 3 3 7 3 2" xfId="14484" xr:uid="{93FBCBC9-01B9-44F6-A2F0-84DA46F993DD}"/>
    <cellStyle name="Normal 5 3 3 7 4" xfId="10266" xr:uid="{D7AFF000-E139-478C-8789-84BD8B60BA91}"/>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2D0A54CC-EB04-4EBF-836B-6F4CC080CB7A}"/>
    <cellStyle name="Normal 5 3 3 8 2 3" xfId="12824" xr:uid="{658EED8A-CD13-4D19-A627-542BA9799501}"/>
    <cellStyle name="Normal 5 3 3 8 3" xfId="6468" xr:uid="{00000000-0005-0000-0000-0000101A0000}"/>
    <cellStyle name="Normal 5 3 3 8 3 2" xfId="14897" xr:uid="{F044BE9D-3DE9-4D66-8B96-6E6B83686A1C}"/>
    <cellStyle name="Normal 5 3 3 8 4" xfId="10679" xr:uid="{F3F6218A-EB86-4091-9063-7FBF13815B66}"/>
    <cellStyle name="Normal 5 3 3 9" xfId="2596" xr:uid="{00000000-0005-0000-0000-0000111A0000}"/>
    <cellStyle name="Normal 5 3 3 9 2" xfId="6881" xr:uid="{00000000-0005-0000-0000-0000121A0000}"/>
    <cellStyle name="Normal 5 3 3 9 2 2" xfId="15310" xr:uid="{86E49B4E-2B00-40D0-BF4E-0411436D5C57}"/>
    <cellStyle name="Normal 5 3 3 9 3" xfId="11092" xr:uid="{DC1643B8-DEE4-447A-9267-9C09A1F71BA1}"/>
    <cellStyle name="Normal 5 3 4" xfId="449" xr:uid="{00000000-0005-0000-0000-0000131A0000}"/>
    <cellStyle name="Normal 5 3 4 10" xfId="9035" xr:uid="{C327923B-8ED9-45A1-90C6-E62C2E6BBF99}"/>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CEA77E71-7431-40DF-A399-BF9130961E59}"/>
    <cellStyle name="Normal 5 3 4 2 2 2 2 3" xfId="11595" xr:uid="{AB5534E1-A07F-423A-956E-AE132618EC97}"/>
    <cellStyle name="Normal 5 3 4 2 2 2 3" xfId="5239" xr:uid="{00000000-0005-0000-0000-0000191A0000}"/>
    <cellStyle name="Normal 5 3 4 2 2 2 3 2" xfId="13668" xr:uid="{EDDBC776-7A8C-4C64-84F4-9A0AD17FF362}"/>
    <cellStyle name="Normal 5 3 4 2 2 2 4" xfId="9450" xr:uid="{71961E3D-259D-44EB-A1D0-4EFF4BC49686}"/>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1E30A5CA-B4AD-4D22-BF4B-CC0E6959F38E}"/>
    <cellStyle name="Normal 5 3 4 2 2 3 2 3" xfId="12008" xr:uid="{12C45C82-2E52-4F94-9BE0-402193F051D0}"/>
    <cellStyle name="Normal 5 3 4 2 2 3 3" xfId="5652" xr:uid="{00000000-0005-0000-0000-00001D1A0000}"/>
    <cellStyle name="Normal 5 3 4 2 2 3 3 2" xfId="14081" xr:uid="{9947FA97-3886-4390-A29D-3331BDB80DA4}"/>
    <cellStyle name="Normal 5 3 4 2 2 3 4" xfId="9863" xr:uid="{6175EE5F-2595-480D-AF55-675C12EDBBAA}"/>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C583753A-891C-4D8A-BB7E-82A7B746FB53}"/>
    <cellStyle name="Normal 5 3 4 2 2 4 2 3" xfId="12421" xr:uid="{2ECE7DFF-DB02-483D-80DB-141A123CC793}"/>
    <cellStyle name="Normal 5 3 4 2 2 4 3" xfId="6065" xr:uid="{00000000-0005-0000-0000-0000211A0000}"/>
    <cellStyle name="Normal 5 3 4 2 2 4 3 2" xfId="14494" xr:uid="{65E61EEF-4D5A-4454-86BB-3A2DF0611683}"/>
    <cellStyle name="Normal 5 3 4 2 2 4 4" xfId="10276" xr:uid="{62CF6C12-87C9-41C0-951A-51C15DDDA198}"/>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C144185F-0441-43A5-9EC7-35ECAAFA3B7A}"/>
    <cellStyle name="Normal 5 3 4 2 2 5 2 3" xfId="12834" xr:uid="{746802C8-F1F3-4B9A-9153-9DC2150D4796}"/>
    <cellStyle name="Normal 5 3 4 2 2 5 3" xfId="6478" xr:uid="{00000000-0005-0000-0000-0000251A0000}"/>
    <cellStyle name="Normal 5 3 4 2 2 5 3 2" xfId="14907" xr:uid="{9ECDFEA8-121B-4885-94F3-6910E2B53886}"/>
    <cellStyle name="Normal 5 3 4 2 2 5 4" xfId="10689" xr:uid="{8373ACB2-A303-46CC-AE76-7686B5120EFB}"/>
    <cellStyle name="Normal 5 3 4 2 2 6" xfId="2606" xr:uid="{00000000-0005-0000-0000-0000261A0000}"/>
    <cellStyle name="Normal 5 3 4 2 2 6 2" xfId="6891" xr:uid="{00000000-0005-0000-0000-0000271A0000}"/>
    <cellStyle name="Normal 5 3 4 2 2 6 2 2" xfId="15320" xr:uid="{1A4B230B-E448-4F7F-BC02-BEEC1024CDD8}"/>
    <cellStyle name="Normal 5 3 4 2 2 6 3" xfId="11102" xr:uid="{0F65F1AC-8A64-4DAE-837D-C7266C540AD2}"/>
    <cellStyle name="Normal 5 3 4 2 2 7" xfId="4826" xr:uid="{00000000-0005-0000-0000-0000281A0000}"/>
    <cellStyle name="Normal 5 3 4 2 2 7 2" xfId="13255" xr:uid="{86EC2915-ACBD-48D8-88A4-86DF175A7FDA}"/>
    <cellStyle name="Normal 5 3 4 2 2 8" xfId="9037" xr:uid="{E1B84DD7-B321-4565-92EF-A4E6EDCD9FFA}"/>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A4EDC625-371B-4673-8A90-9DAFF13E6184}"/>
    <cellStyle name="Normal 5 3 4 2 3 2 3" xfId="11594" xr:uid="{EA6A0737-642E-4C5B-B787-B616A1F52783}"/>
    <cellStyle name="Normal 5 3 4 2 3 3" xfId="5238" xr:uid="{00000000-0005-0000-0000-00002C1A0000}"/>
    <cellStyle name="Normal 5 3 4 2 3 3 2" xfId="13667" xr:uid="{49C996A3-175D-48F5-B9E4-C77B955095F8}"/>
    <cellStyle name="Normal 5 3 4 2 3 4" xfId="9449" xr:uid="{EAA61F16-3A0E-45E6-9ED6-8F2FB7F73939}"/>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59D35006-70F1-4461-A7D0-79D8DBF58899}"/>
    <cellStyle name="Normal 5 3 4 2 4 2 3" xfId="12007" xr:uid="{3585A5D4-9296-41F8-96D9-AB92146AF722}"/>
    <cellStyle name="Normal 5 3 4 2 4 3" xfId="5651" xr:uid="{00000000-0005-0000-0000-0000301A0000}"/>
    <cellStyle name="Normal 5 3 4 2 4 3 2" xfId="14080" xr:uid="{28F1E08C-2E92-4C55-B95B-AFD64FB3CE04}"/>
    <cellStyle name="Normal 5 3 4 2 4 4" xfId="9862" xr:uid="{8D01228C-190A-43DB-9EED-A4A170D431C9}"/>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1C29515A-606F-4284-B110-EDD958B5482D}"/>
    <cellStyle name="Normal 5 3 4 2 5 2 3" xfId="12420" xr:uid="{16A88EC2-447B-4AEE-B31F-867C530DBB5C}"/>
    <cellStyle name="Normal 5 3 4 2 5 3" xfId="6064" xr:uid="{00000000-0005-0000-0000-0000341A0000}"/>
    <cellStyle name="Normal 5 3 4 2 5 3 2" xfId="14493" xr:uid="{13C74B25-6FAA-44C6-B0C2-57ED5AB8EF19}"/>
    <cellStyle name="Normal 5 3 4 2 5 4" xfId="10275" xr:uid="{E10F7217-0F88-489F-A71F-E5C91175F59E}"/>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95D29E4F-95F7-4D67-AD44-514DB7FDBEF9}"/>
    <cellStyle name="Normal 5 3 4 2 6 2 3" xfId="12833" xr:uid="{4A8A0A60-F873-4639-AE4F-D667A61ED0FB}"/>
    <cellStyle name="Normal 5 3 4 2 6 3" xfId="6477" xr:uid="{00000000-0005-0000-0000-0000381A0000}"/>
    <cellStyle name="Normal 5 3 4 2 6 3 2" xfId="14906" xr:uid="{E562E32D-3071-4BB4-85D3-5B9CD42C267F}"/>
    <cellStyle name="Normal 5 3 4 2 6 4" xfId="10688" xr:uid="{0772FD35-0DF6-490C-8CA0-DF1979245C46}"/>
    <cellStyle name="Normal 5 3 4 2 7" xfId="2605" xr:uid="{00000000-0005-0000-0000-0000391A0000}"/>
    <cellStyle name="Normal 5 3 4 2 7 2" xfId="6890" xr:uid="{00000000-0005-0000-0000-00003A1A0000}"/>
    <cellStyle name="Normal 5 3 4 2 7 2 2" xfId="15319" xr:uid="{A324216B-385E-464B-8F10-5A2699979378}"/>
    <cellStyle name="Normal 5 3 4 2 7 3" xfId="11101" xr:uid="{7FC71A30-ED36-4570-95D0-17749DB9B9DD}"/>
    <cellStyle name="Normal 5 3 4 2 8" xfId="4825" xr:uid="{00000000-0005-0000-0000-00003B1A0000}"/>
    <cellStyle name="Normal 5 3 4 2 8 2" xfId="13254" xr:uid="{CBF35145-059C-4F0E-9467-6AD1DE35E30B}"/>
    <cellStyle name="Normal 5 3 4 2 9" xfId="9036" xr:uid="{7742C9F0-F8DE-474D-BDE1-4E661C7EA3F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5B265FA7-BCF3-4C71-BE4D-96CE4AFD142A}"/>
    <cellStyle name="Normal 5 3 4 3 2 2 3" xfId="11596" xr:uid="{5EEB1AF9-2490-4AF8-AE19-622EE95CCE3A}"/>
    <cellStyle name="Normal 5 3 4 3 2 3" xfId="5240" xr:uid="{00000000-0005-0000-0000-0000401A0000}"/>
    <cellStyle name="Normal 5 3 4 3 2 3 2" xfId="13669" xr:uid="{D5AA239E-85B7-4629-A2D5-F5EA9D2AEC6E}"/>
    <cellStyle name="Normal 5 3 4 3 2 4" xfId="9451" xr:uid="{5B4C34F9-8075-40E8-8B63-FFCACFED5A37}"/>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5622CF2A-43F2-4580-81D4-E4D46832469E}"/>
    <cellStyle name="Normal 5 3 4 3 3 2 3" xfId="12009" xr:uid="{7DFE46D1-1793-4768-96B1-8C6A4DE8E6D5}"/>
    <cellStyle name="Normal 5 3 4 3 3 3" xfId="5653" xr:uid="{00000000-0005-0000-0000-0000441A0000}"/>
    <cellStyle name="Normal 5 3 4 3 3 3 2" xfId="14082" xr:uid="{48B8D3C3-9D92-4E90-9BF4-F3AC48A1CB17}"/>
    <cellStyle name="Normal 5 3 4 3 3 4" xfId="9864" xr:uid="{99BEC5B9-086E-4D69-BE89-337D7951670B}"/>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8C838BE9-4DBB-425B-819E-6CED00039414}"/>
    <cellStyle name="Normal 5 3 4 3 4 2 3" xfId="12422" xr:uid="{5D7160D6-F232-4B31-9E7B-15421782D592}"/>
    <cellStyle name="Normal 5 3 4 3 4 3" xfId="6066" xr:uid="{00000000-0005-0000-0000-0000481A0000}"/>
    <cellStyle name="Normal 5 3 4 3 4 3 2" xfId="14495" xr:uid="{D6658551-1845-4325-AE6C-F3A9454CF7A6}"/>
    <cellStyle name="Normal 5 3 4 3 4 4" xfId="10277" xr:uid="{D8736557-6615-41CF-AF84-23A9ED083C36}"/>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66E1AC9D-B089-4637-91BD-5A9117E73B24}"/>
    <cellStyle name="Normal 5 3 4 3 5 2 3" xfId="12835" xr:uid="{A62392B2-9CA2-4066-84D5-D70C6DD59756}"/>
    <cellStyle name="Normal 5 3 4 3 5 3" xfId="6479" xr:uid="{00000000-0005-0000-0000-00004C1A0000}"/>
    <cellStyle name="Normal 5 3 4 3 5 3 2" xfId="14908" xr:uid="{AD7D80E5-E8FF-4D13-A9D6-8210A6E47858}"/>
    <cellStyle name="Normal 5 3 4 3 5 4" xfId="10690" xr:uid="{C87F3F97-6E20-4322-89BA-669F324C0367}"/>
    <cellStyle name="Normal 5 3 4 3 6" xfId="2607" xr:uid="{00000000-0005-0000-0000-00004D1A0000}"/>
    <cellStyle name="Normal 5 3 4 3 6 2" xfId="6892" xr:uid="{00000000-0005-0000-0000-00004E1A0000}"/>
    <cellStyle name="Normal 5 3 4 3 6 2 2" xfId="15321" xr:uid="{1946EC8B-A1F8-4956-B4B6-5C201AD38BC7}"/>
    <cellStyle name="Normal 5 3 4 3 6 3" xfId="11103" xr:uid="{B5958C41-EAC8-4422-8710-82E98925AB6F}"/>
    <cellStyle name="Normal 5 3 4 3 7" xfId="4827" xr:uid="{00000000-0005-0000-0000-00004F1A0000}"/>
    <cellStyle name="Normal 5 3 4 3 7 2" xfId="13256" xr:uid="{B7DBEB97-87CE-48FC-9D11-C19B7FA64F7B}"/>
    <cellStyle name="Normal 5 3 4 3 8" xfId="9038" xr:uid="{F5A42615-FA2C-4DE6-8EE0-29A9474AF436}"/>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DE0043DD-617A-474B-A1C1-5651F50B9655}"/>
    <cellStyle name="Normal 5 3 4 4 2 3" xfId="11593" xr:uid="{DEC18DB6-EE13-42EE-8FF8-7407C041FB05}"/>
    <cellStyle name="Normal 5 3 4 4 3" xfId="5237" xr:uid="{00000000-0005-0000-0000-0000531A0000}"/>
    <cellStyle name="Normal 5 3 4 4 3 2" xfId="13666" xr:uid="{EB6A15F4-C881-46AD-99BF-60644337EF6D}"/>
    <cellStyle name="Normal 5 3 4 4 4" xfId="9448" xr:uid="{3E9FB140-169C-48C3-AE22-0C055D95ABD5}"/>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73DFE92B-F43E-41E2-9238-F3E37F8AE907}"/>
    <cellStyle name="Normal 5 3 4 5 2 3" xfId="12006" xr:uid="{6B902E80-377D-44FF-8938-726D8E4305C2}"/>
    <cellStyle name="Normal 5 3 4 5 3" xfId="5650" xr:uid="{00000000-0005-0000-0000-0000571A0000}"/>
    <cellStyle name="Normal 5 3 4 5 3 2" xfId="14079" xr:uid="{6CD7E90C-99F0-4E38-90AD-02704FE76AB2}"/>
    <cellStyle name="Normal 5 3 4 5 4" xfId="9861" xr:uid="{A108C009-E7D9-4FA2-B980-66BF277972A7}"/>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22460BDB-F506-437C-893A-8EDE38F616FB}"/>
    <cellStyle name="Normal 5 3 4 6 2 3" xfId="12419" xr:uid="{120E3E05-F8EB-44A7-B346-5C6FACCBCB27}"/>
    <cellStyle name="Normal 5 3 4 6 3" xfId="6063" xr:uid="{00000000-0005-0000-0000-00005B1A0000}"/>
    <cellStyle name="Normal 5 3 4 6 3 2" xfId="14492" xr:uid="{1808BE6B-D6B5-4E5A-ACB3-62CF55B939C1}"/>
    <cellStyle name="Normal 5 3 4 6 4" xfId="10274" xr:uid="{F7753D00-871E-4319-9EE7-4C796917C457}"/>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777F9A46-84CA-4A50-9F2E-48C0232FB9A4}"/>
    <cellStyle name="Normal 5 3 4 7 2 3" xfId="12832" xr:uid="{507E54B9-6FE7-4ADE-B69C-34826C29518A}"/>
    <cellStyle name="Normal 5 3 4 7 3" xfId="6476" xr:uid="{00000000-0005-0000-0000-00005F1A0000}"/>
    <cellStyle name="Normal 5 3 4 7 3 2" xfId="14905" xr:uid="{7C46CB4F-4678-497B-A0F6-5DF76D89E83B}"/>
    <cellStyle name="Normal 5 3 4 7 4" xfId="10687" xr:uid="{9C983DC2-C97F-4A1F-8E12-6C847D574A33}"/>
    <cellStyle name="Normal 5 3 4 8" xfId="2604" xr:uid="{00000000-0005-0000-0000-0000601A0000}"/>
    <cellStyle name="Normal 5 3 4 8 2" xfId="6889" xr:uid="{00000000-0005-0000-0000-0000611A0000}"/>
    <cellStyle name="Normal 5 3 4 8 2 2" xfId="15318" xr:uid="{7638F32C-E358-47BB-AA03-162044F38517}"/>
    <cellStyle name="Normal 5 3 4 8 3" xfId="11100" xr:uid="{8D1742E3-F9C2-41BA-8E10-32493C44F360}"/>
    <cellStyle name="Normal 5 3 4 9" xfId="4824" xr:uid="{00000000-0005-0000-0000-0000621A0000}"/>
    <cellStyle name="Normal 5 3 4 9 2" xfId="13253" xr:uid="{E59EDBDA-6B22-4962-BB82-8C8A0C43B227}"/>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26C8993-5E25-49A2-B259-B91E60FBF7C5}"/>
    <cellStyle name="Normal 5 3 5 2 2 2 3" xfId="11598" xr:uid="{CC957025-3052-4896-8738-8991C1606AE3}"/>
    <cellStyle name="Normal 5 3 5 2 2 3" xfId="5242" xr:uid="{00000000-0005-0000-0000-0000681A0000}"/>
    <cellStyle name="Normal 5 3 5 2 2 3 2" xfId="13671" xr:uid="{9F7B3109-7D52-4F98-B6A3-133E231AE881}"/>
    <cellStyle name="Normal 5 3 5 2 2 4" xfId="9453" xr:uid="{F2AE285B-CC81-4AE5-8237-2D303FCD7079}"/>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91659A1C-B79A-4F46-859A-463396C96244}"/>
    <cellStyle name="Normal 5 3 5 2 3 2 3" xfId="12011" xr:uid="{18272631-BD09-4D47-A313-5C5BA8438F43}"/>
    <cellStyle name="Normal 5 3 5 2 3 3" xfId="5655" xr:uid="{00000000-0005-0000-0000-00006C1A0000}"/>
    <cellStyle name="Normal 5 3 5 2 3 3 2" xfId="14084" xr:uid="{DB3EC027-70F5-4E8E-AB50-F18106D0FF66}"/>
    <cellStyle name="Normal 5 3 5 2 3 4" xfId="9866" xr:uid="{CD5A3881-2F5A-4630-950B-9E2FD600FC7B}"/>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2D197205-5379-45F4-A7D6-1E59B5E72251}"/>
    <cellStyle name="Normal 5 3 5 2 4 2 3" xfId="12424" xr:uid="{86C87FF5-9426-4539-99DE-C22B4CAECCC1}"/>
    <cellStyle name="Normal 5 3 5 2 4 3" xfId="6068" xr:uid="{00000000-0005-0000-0000-0000701A0000}"/>
    <cellStyle name="Normal 5 3 5 2 4 3 2" xfId="14497" xr:uid="{5C89E649-91D2-48B5-9710-9B810EFF968D}"/>
    <cellStyle name="Normal 5 3 5 2 4 4" xfId="10279" xr:uid="{96601A83-B28C-4FCF-9B84-F6F675A8C773}"/>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774D9434-36F2-4049-B11F-6E78E81CF15F}"/>
    <cellStyle name="Normal 5 3 5 2 5 2 3" xfId="12837" xr:uid="{350FD070-13C6-429A-B3F9-81F5FCFED918}"/>
    <cellStyle name="Normal 5 3 5 2 5 3" xfId="6481" xr:uid="{00000000-0005-0000-0000-0000741A0000}"/>
    <cellStyle name="Normal 5 3 5 2 5 3 2" xfId="14910" xr:uid="{E028336A-D410-49BD-AFD1-36E998684478}"/>
    <cellStyle name="Normal 5 3 5 2 5 4" xfId="10692" xr:uid="{BFB01045-D810-4FB4-A989-755FE831B40D}"/>
    <cellStyle name="Normal 5 3 5 2 6" xfId="2609" xr:uid="{00000000-0005-0000-0000-0000751A0000}"/>
    <cellStyle name="Normal 5 3 5 2 6 2" xfId="6894" xr:uid="{00000000-0005-0000-0000-0000761A0000}"/>
    <cellStyle name="Normal 5 3 5 2 6 2 2" xfId="15323" xr:uid="{4EE5CE50-7C5C-473C-87F3-91C54ECE4652}"/>
    <cellStyle name="Normal 5 3 5 2 6 3" xfId="11105" xr:uid="{A9AE7B32-44C7-4407-BC13-593D4AD1F897}"/>
    <cellStyle name="Normal 5 3 5 2 7" xfId="4829" xr:uid="{00000000-0005-0000-0000-0000771A0000}"/>
    <cellStyle name="Normal 5 3 5 2 7 2" xfId="13258" xr:uid="{7880077F-C73E-4AA3-A86E-E73F5020EEB4}"/>
    <cellStyle name="Normal 5 3 5 2 8" xfId="9040" xr:uid="{851DC3E3-BED0-40A3-9A6B-92B17668C882}"/>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80FB5153-8F3A-4D83-B432-72630AC3D5B0}"/>
    <cellStyle name="Normal 5 3 5 3 2 3" xfId="11597" xr:uid="{47527CFF-63E3-48E7-AB22-12BF76ED3C75}"/>
    <cellStyle name="Normal 5 3 5 3 3" xfId="5241" xr:uid="{00000000-0005-0000-0000-00007B1A0000}"/>
    <cellStyle name="Normal 5 3 5 3 3 2" xfId="13670" xr:uid="{E6784B53-FB13-44BB-B2DB-5B896AC4E6A2}"/>
    <cellStyle name="Normal 5 3 5 3 4" xfId="9452" xr:uid="{4B23194B-91E9-47FD-AF5C-832795E314B5}"/>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190751C8-31E1-4993-9E68-EDC6A5CD88C3}"/>
    <cellStyle name="Normal 5 3 5 4 2 3" xfId="12010" xr:uid="{A7B84039-39B5-4414-A1AE-6023123AFB08}"/>
    <cellStyle name="Normal 5 3 5 4 3" xfId="5654" xr:uid="{00000000-0005-0000-0000-00007F1A0000}"/>
    <cellStyle name="Normal 5 3 5 4 3 2" xfId="14083" xr:uid="{0E7F30C4-4F4E-408C-8766-8FE66FD92FE1}"/>
    <cellStyle name="Normal 5 3 5 4 4" xfId="9865" xr:uid="{9DE38B12-0D1A-4F4F-ADC6-ABCE8D0F63AC}"/>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DB6E14C8-1FA1-45C8-A965-D9DBDD0ACD03}"/>
    <cellStyle name="Normal 5 3 5 5 2 3" xfId="12423" xr:uid="{A9F4FF62-8B37-4A7A-9246-83BDA6F9B020}"/>
    <cellStyle name="Normal 5 3 5 5 3" xfId="6067" xr:uid="{00000000-0005-0000-0000-0000831A0000}"/>
    <cellStyle name="Normal 5 3 5 5 3 2" xfId="14496" xr:uid="{8BB27B5C-4002-4220-B472-C3FE243DE751}"/>
    <cellStyle name="Normal 5 3 5 5 4" xfId="10278" xr:uid="{BE5F25F5-4DF4-4B10-8919-344A8FE0B658}"/>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72B665A4-6740-49BB-ADCF-E96A027B0F7C}"/>
    <cellStyle name="Normal 5 3 5 6 2 3" xfId="12836" xr:uid="{DA163BDD-C18E-48FC-A733-E455F8F7324B}"/>
    <cellStyle name="Normal 5 3 5 6 3" xfId="6480" xr:uid="{00000000-0005-0000-0000-0000871A0000}"/>
    <cellStyle name="Normal 5 3 5 6 3 2" xfId="14909" xr:uid="{2DB58398-1B60-42F7-A053-E2CD95520059}"/>
    <cellStyle name="Normal 5 3 5 6 4" xfId="10691" xr:uid="{BD692134-C9C7-4478-8CAB-8BD9E1B546BE}"/>
    <cellStyle name="Normal 5 3 5 7" xfId="2608" xr:uid="{00000000-0005-0000-0000-0000881A0000}"/>
    <cellStyle name="Normal 5 3 5 7 2" xfId="6893" xr:uid="{00000000-0005-0000-0000-0000891A0000}"/>
    <cellStyle name="Normal 5 3 5 7 2 2" xfId="15322" xr:uid="{1E07F042-C941-496D-95E7-C74C717224F5}"/>
    <cellStyle name="Normal 5 3 5 7 3" xfId="11104" xr:uid="{B15EA802-0EB5-498F-A731-F970FEB81D4D}"/>
    <cellStyle name="Normal 5 3 5 8" xfId="4828" xr:uid="{00000000-0005-0000-0000-00008A1A0000}"/>
    <cellStyle name="Normal 5 3 5 8 2" xfId="13257" xr:uid="{14598414-06BE-4A29-965D-262A6549F886}"/>
    <cellStyle name="Normal 5 3 5 9" xfId="9039" xr:uid="{B113706F-3550-4C64-80D6-168CD2559A55}"/>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174AA13B-6322-46B8-9296-AB7C2BECF8FA}"/>
    <cellStyle name="Normal 5 3 6 2 2 3" xfId="11599" xr:uid="{5402082C-6BBA-4DF3-A92C-5BE123F71E53}"/>
    <cellStyle name="Normal 5 3 6 2 3" xfId="5243" xr:uid="{00000000-0005-0000-0000-00008F1A0000}"/>
    <cellStyle name="Normal 5 3 6 2 3 2" xfId="13672" xr:uid="{B87AF322-B946-4770-B1BD-0D8879BA633F}"/>
    <cellStyle name="Normal 5 3 6 2 4" xfId="9454" xr:uid="{809E4937-F041-4298-B596-F520E5D71C86}"/>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E48EDFC6-040C-4879-991F-A5854525C39B}"/>
    <cellStyle name="Normal 5 3 6 3 2 3" xfId="12012" xr:uid="{80BEF4C2-5D5F-4822-8904-563E7519EAF1}"/>
    <cellStyle name="Normal 5 3 6 3 3" xfId="5656" xr:uid="{00000000-0005-0000-0000-0000931A0000}"/>
    <cellStyle name="Normal 5 3 6 3 3 2" xfId="14085" xr:uid="{84C656B8-A8DB-4591-B336-71BDCFF03681}"/>
    <cellStyle name="Normal 5 3 6 3 4" xfId="9867" xr:uid="{10C1B3FD-CCB0-48FA-A4B6-212EC0B777BB}"/>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90116978-DD0E-4158-8892-4906C13024DA}"/>
    <cellStyle name="Normal 5 3 6 4 2 3" xfId="12425" xr:uid="{612FBF78-6D5A-47A0-BEFF-9E78FEACA6E6}"/>
    <cellStyle name="Normal 5 3 6 4 3" xfId="6069" xr:uid="{00000000-0005-0000-0000-0000971A0000}"/>
    <cellStyle name="Normal 5 3 6 4 3 2" xfId="14498" xr:uid="{5AB2C1D2-2020-4637-BF99-F3C8C3612725}"/>
    <cellStyle name="Normal 5 3 6 4 4" xfId="10280" xr:uid="{308EDB24-FE92-4B62-94FD-320CA9EB2122}"/>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B43A01C9-1F65-4CCF-B304-064DF33C7B9D}"/>
    <cellStyle name="Normal 5 3 6 5 2 3" xfId="12838" xr:uid="{63B95259-17FB-434F-A43B-D6454E2C00EB}"/>
    <cellStyle name="Normal 5 3 6 5 3" xfId="6482" xr:uid="{00000000-0005-0000-0000-00009B1A0000}"/>
    <cellStyle name="Normal 5 3 6 5 3 2" xfId="14911" xr:uid="{7212B8C3-F196-460E-930A-5D9903B489C1}"/>
    <cellStyle name="Normal 5 3 6 5 4" xfId="10693" xr:uid="{6AF7ED1B-ACC0-44B8-A055-9656D77DD0CA}"/>
    <cellStyle name="Normal 5 3 6 6" xfId="2610" xr:uid="{00000000-0005-0000-0000-00009C1A0000}"/>
    <cellStyle name="Normal 5 3 6 6 2" xfId="6895" xr:uid="{00000000-0005-0000-0000-00009D1A0000}"/>
    <cellStyle name="Normal 5 3 6 6 2 2" xfId="15324" xr:uid="{9DACBFD3-C724-4D85-99ED-C41FEF6CFF7C}"/>
    <cellStyle name="Normal 5 3 6 6 3" xfId="11106" xr:uid="{70A23A40-6270-401C-8843-9C38BB71287B}"/>
    <cellStyle name="Normal 5 3 6 7" xfId="4830" xr:uid="{00000000-0005-0000-0000-00009E1A0000}"/>
    <cellStyle name="Normal 5 3 6 7 2" xfId="13259" xr:uid="{7D9DD59D-A916-4C3B-9207-CD6BA78C01B8}"/>
    <cellStyle name="Normal 5 3 6 8" xfId="9041" xr:uid="{E36CB53A-53F0-465C-90DA-99F70AE218C2}"/>
    <cellStyle name="Normal 5 3 7" xfId="914" xr:uid="{00000000-0005-0000-0000-00009F1A0000}"/>
    <cellStyle name="Normal 5 3 7 2" xfId="3149" xr:uid="{00000000-0005-0000-0000-0000A01A0000}"/>
    <cellStyle name="Normal 5 3 7 2 2" xfId="7373" xr:uid="{00000000-0005-0000-0000-0000A11A0000}"/>
    <cellStyle name="Normal 5 3 7 2 2 2" xfId="15802" xr:uid="{11A6524A-92F9-411B-847C-C97A3B97E0A1}"/>
    <cellStyle name="Normal 5 3 7 2 3" xfId="11584" xr:uid="{7CC3F34B-651E-460E-8CA7-8BC9D858F030}"/>
    <cellStyle name="Normal 5 3 7 3" xfId="5228" xr:uid="{00000000-0005-0000-0000-0000A21A0000}"/>
    <cellStyle name="Normal 5 3 7 3 2" xfId="13657" xr:uid="{F9DEC51B-E7EC-4F3D-A4DD-264CED3BA41C}"/>
    <cellStyle name="Normal 5 3 7 4" xfId="9439" xr:uid="{AE885915-AF41-4973-972B-4C8E9C4247E0}"/>
    <cellStyle name="Normal 5 3 8" xfId="1332" xr:uid="{00000000-0005-0000-0000-0000A31A0000}"/>
    <cellStyle name="Normal 5 3 8 2" xfId="3562" xr:uid="{00000000-0005-0000-0000-0000A41A0000}"/>
    <cellStyle name="Normal 5 3 8 2 2" xfId="7786" xr:uid="{00000000-0005-0000-0000-0000A51A0000}"/>
    <cellStyle name="Normal 5 3 8 2 2 2" xfId="16215" xr:uid="{6FE1B15A-5745-4E4D-9499-445C199EDA6D}"/>
    <cellStyle name="Normal 5 3 8 2 3" xfId="11997" xr:uid="{5E6B1849-DDAE-4575-BC58-164A68D3C8D7}"/>
    <cellStyle name="Normal 5 3 8 3" xfId="5641" xr:uid="{00000000-0005-0000-0000-0000A61A0000}"/>
    <cellStyle name="Normal 5 3 8 3 2" xfId="14070" xr:uid="{658F47AA-A977-4862-B3A6-FD1938DCF787}"/>
    <cellStyle name="Normal 5 3 8 4" xfId="9852" xr:uid="{A038829E-91B3-4D59-86BC-F66336D6D986}"/>
    <cellStyle name="Normal 5 3 9" xfId="1745" xr:uid="{00000000-0005-0000-0000-0000A71A0000}"/>
    <cellStyle name="Normal 5 3 9 2" xfId="3975" xr:uid="{00000000-0005-0000-0000-0000A81A0000}"/>
    <cellStyle name="Normal 5 3 9 2 2" xfId="8199" xr:uid="{00000000-0005-0000-0000-0000A91A0000}"/>
    <cellStyle name="Normal 5 3 9 2 2 2" xfId="16628" xr:uid="{6BAC966E-AC8C-4091-B0E1-FF4047FD94FA}"/>
    <cellStyle name="Normal 5 3 9 2 3" xfId="12410" xr:uid="{7E39451C-4E4A-4375-9F53-DEE2DC4D584E}"/>
    <cellStyle name="Normal 5 3 9 3" xfId="6054" xr:uid="{00000000-0005-0000-0000-0000AA1A0000}"/>
    <cellStyle name="Normal 5 3 9 3 2" xfId="14483" xr:uid="{BE2F15BC-5D4D-4BAA-A61B-711B2199DEF0}"/>
    <cellStyle name="Normal 5 3 9 4" xfId="10265" xr:uid="{388933A2-33F8-4CD7-BF3B-47BDB163E5EA}"/>
    <cellStyle name="Normal 5 4" xfId="456" xr:uid="{00000000-0005-0000-0000-0000AB1A0000}"/>
    <cellStyle name="Normal 5 4 10" xfId="4831" xr:uid="{00000000-0005-0000-0000-0000AC1A0000}"/>
    <cellStyle name="Normal 5 4 10 2" xfId="13260" xr:uid="{9B06F9CE-26C1-4211-994D-5057C58BF8BD}"/>
    <cellStyle name="Normal 5 4 11" xfId="9042" xr:uid="{0C853F50-4406-4911-BDB3-7033A7EFF4AC}"/>
    <cellStyle name="Normal 5 4 2" xfId="457" xr:uid="{00000000-0005-0000-0000-0000AD1A0000}"/>
    <cellStyle name="Normal 5 4 2 10" xfId="9043" xr:uid="{EBA11866-667C-46E0-8AB1-B45C835C9488}"/>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A916B7EC-954C-4056-B982-70B45EC78696}"/>
    <cellStyle name="Normal 5 4 2 2 2 2 2 3" xfId="11603" xr:uid="{992D5C51-D329-4CFD-BC69-2E804EACF0B7}"/>
    <cellStyle name="Normal 5 4 2 2 2 2 3" xfId="5247" xr:uid="{00000000-0005-0000-0000-0000B31A0000}"/>
    <cellStyle name="Normal 5 4 2 2 2 2 3 2" xfId="13676" xr:uid="{2ED3F83A-DA75-447F-A682-941DE0A17419}"/>
    <cellStyle name="Normal 5 4 2 2 2 2 4" xfId="9458" xr:uid="{BFA9297A-17FB-4F1F-8EC1-E584F666034C}"/>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D2A6E297-2B0C-4883-9EF7-E9B6541903AA}"/>
    <cellStyle name="Normal 5 4 2 2 2 3 2 3" xfId="12016" xr:uid="{32C31B7E-B6C9-44B1-82F3-97D0B3A151EF}"/>
    <cellStyle name="Normal 5 4 2 2 2 3 3" xfId="5660" xr:uid="{00000000-0005-0000-0000-0000B71A0000}"/>
    <cellStyle name="Normal 5 4 2 2 2 3 3 2" xfId="14089" xr:uid="{F0B25EF5-4B63-4A66-B1E3-2278707EC208}"/>
    <cellStyle name="Normal 5 4 2 2 2 3 4" xfId="9871" xr:uid="{3EE021EF-2364-4425-A7B4-65B815C57311}"/>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665A016A-1874-403D-85BA-2047B56CDB2C}"/>
    <cellStyle name="Normal 5 4 2 2 2 4 2 3" xfId="12429" xr:uid="{30A6A7B9-D4D0-4E89-BF6B-5A0B05228672}"/>
    <cellStyle name="Normal 5 4 2 2 2 4 3" xfId="6073" xr:uid="{00000000-0005-0000-0000-0000BB1A0000}"/>
    <cellStyle name="Normal 5 4 2 2 2 4 3 2" xfId="14502" xr:uid="{5ECA1A47-6260-4924-ACEE-7D9C718D1EB0}"/>
    <cellStyle name="Normal 5 4 2 2 2 4 4" xfId="10284" xr:uid="{65C2B836-5BA0-4273-97C4-3426A861980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A9EF89EE-06BE-4931-99EC-7877378E839A}"/>
    <cellStyle name="Normal 5 4 2 2 2 5 2 3" xfId="12842" xr:uid="{E38BF9B0-CA34-487E-B410-EB8DD940E1D4}"/>
    <cellStyle name="Normal 5 4 2 2 2 5 3" xfId="6486" xr:uid="{00000000-0005-0000-0000-0000BF1A0000}"/>
    <cellStyle name="Normal 5 4 2 2 2 5 3 2" xfId="14915" xr:uid="{E7F45532-1B03-45C9-ABAE-8A04432294A8}"/>
    <cellStyle name="Normal 5 4 2 2 2 5 4" xfId="10697" xr:uid="{C46AF9F2-E4CC-486C-910B-2C6AAD299380}"/>
    <cellStyle name="Normal 5 4 2 2 2 6" xfId="2614" xr:uid="{00000000-0005-0000-0000-0000C01A0000}"/>
    <cellStyle name="Normal 5 4 2 2 2 6 2" xfId="6899" xr:uid="{00000000-0005-0000-0000-0000C11A0000}"/>
    <cellStyle name="Normal 5 4 2 2 2 6 2 2" xfId="15328" xr:uid="{03968115-15F7-430F-A02A-E1F112D8F6B7}"/>
    <cellStyle name="Normal 5 4 2 2 2 6 3" xfId="11110" xr:uid="{ADA4D68F-25FB-4156-A8BA-B0927F8EA8A5}"/>
    <cellStyle name="Normal 5 4 2 2 2 7" xfId="4834" xr:uid="{00000000-0005-0000-0000-0000C21A0000}"/>
    <cellStyle name="Normal 5 4 2 2 2 7 2" xfId="13263" xr:uid="{EFFFB93C-2D8F-499D-BF49-4B93065CA65C}"/>
    <cellStyle name="Normal 5 4 2 2 2 8" xfId="9045" xr:uid="{F5688EBD-80EC-4226-BA90-E11BE56DD8FE}"/>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A3050563-059D-42BC-8721-849FFAA74141}"/>
    <cellStyle name="Normal 5 4 2 2 3 2 3" xfId="11602" xr:uid="{9F3B148A-A5E1-4A39-8707-3B8ED8F36EF0}"/>
    <cellStyle name="Normal 5 4 2 2 3 3" xfId="5246" xr:uid="{00000000-0005-0000-0000-0000C61A0000}"/>
    <cellStyle name="Normal 5 4 2 2 3 3 2" xfId="13675" xr:uid="{AC5B70BB-52FE-446C-8A05-0902D8AD956D}"/>
    <cellStyle name="Normal 5 4 2 2 3 4" xfId="9457" xr:uid="{4884A053-D257-45CF-988D-40D285C5C61E}"/>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B4962561-C13D-462B-BD4A-04549AF3453F}"/>
    <cellStyle name="Normal 5 4 2 2 4 2 3" xfId="12015" xr:uid="{6CA3F98C-F159-4E1C-979E-DF24D7A32667}"/>
    <cellStyle name="Normal 5 4 2 2 4 3" xfId="5659" xr:uid="{00000000-0005-0000-0000-0000CA1A0000}"/>
    <cellStyle name="Normal 5 4 2 2 4 3 2" xfId="14088" xr:uid="{C52B9AB8-D68A-4F4E-9A67-A1E3B19DBEAA}"/>
    <cellStyle name="Normal 5 4 2 2 4 4" xfId="9870" xr:uid="{E2332C8A-DD26-4ED7-A060-590C7D15FB4C}"/>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BA6E1DCA-54FA-4E24-9E07-BF3406DBE0B2}"/>
    <cellStyle name="Normal 5 4 2 2 5 2 3" xfId="12428" xr:uid="{34ED78DF-0F54-4A3D-BAAD-17B4DD4DA3AE}"/>
    <cellStyle name="Normal 5 4 2 2 5 3" xfId="6072" xr:uid="{00000000-0005-0000-0000-0000CE1A0000}"/>
    <cellStyle name="Normal 5 4 2 2 5 3 2" xfId="14501" xr:uid="{9123A570-C364-4B74-A61E-B1BAFFEEAD18}"/>
    <cellStyle name="Normal 5 4 2 2 5 4" xfId="10283" xr:uid="{4981FDFD-4FDA-4726-B4F3-83CCBE40EDC8}"/>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32ACC68B-6668-48F2-BC0A-942B188072EF}"/>
    <cellStyle name="Normal 5 4 2 2 6 2 3" xfId="12841" xr:uid="{236D4497-2343-4E12-8969-68A0855FF5A6}"/>
    <cellStyle name="Normal 5 4 2 2 6 3" xfId="6485" xr:uid="{00000000-0005-0000-0000-0000D21A0000}"/>
    <cellStyle name="Normal 5 4 2 2 6 3 2" xfId="14914" xr:uid="{F2399A99-3419-4FA7-ACE1-9DC4269CD4C3}"/>
    <cellStyle name="Normal 5 4 2 2 6 4" xfId="10696" xr:uid="{8379140E-189C-4250-A2E1-0BFFE8191C84}"/>
    <cellStyle name="Normal 5 4 2 2 7" xfId="2613" xr:uid="{00000000-0005-0000-0000-0000D31A0000}"/>
    <cellStyle name="Normal 5 4 2 2 7 2" xfId="6898" xr:uid="{00000000-0005-0000-0000-0000D41A0000}"/>
    <cellStyle name="Normal 5 4 2 2 7 2 2" xfId="15327" xr:uid="{7543D7D2-224A-481D-9D2D-2A610A6AC490}"/>
    <cellStyle name="Normal 5 4 2 2 7 3" xfId="11109" xr:uid="{E7249251-F91D-4D6B-9E07-AB64FC36CC42}"/>
    <cellStyle name="Normal 5 4 2 2 8" xfId="4833" xr:uid="{00000000-0005-0000-0000-0000D51A0000}"/>
    <cellStyle name="Normal 5 4 2 2 8 2" xfId="13262" xr:uid="{370FEF7B-4B43-4172-BE96-E6C3FE7715CB}"/>
    <cellStyle name="Normal 5 4 2 2 9" xfId="9044" xr:uid="{FDBF418D-960F-4906-B320-53D2B4B28454}"/>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EBF12E7D-1172-40B8-A3BF-D06528B17BAB}"/>
    <cellStyle name="Normal 5 4 2 3 2 2 3" xfId="11604" xr:uid="{8D2EFB62-FE27-44CD-9ACD-A9A84851FF08}"/>
    <cellStyle name="Normal 5 4 2 3 2 3" xfId="5248" xr:uid="{00000000-0005-0000-0000-0000DA1A0000}"/>
    <cellStyle name="Normal 5 4 2 3 2 3 2" xfId="13677" xr:uid="{BA34A185-3917-40FD-B72B-7A9A7B788BEC}"/>
    <cellStyle name="Normal 5 4 2 3 2 4" xfId="9459" xr:uid="{426481E9-65ED-46F9-A3F3-FB4ABD6F5B77}"/>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7F4FC226-162C-497C-8AC9-C7BE78EDD582}"/>
    <cellStyle name="Normal 5 4 2 3 3 2 3" xfId="12017" xr:uid="{7885E2CB-DFB2-4B5F-AD44-C68E2524DB7E}"/>
    <cellStyle name="Normal 5 4 2 3 3 3" xfId="5661" xr:uid="{00000000-0005-0000-0000-0000DE1A0000}"/>
    <cellStyle name="Normal 5 4 2 3 3 3 2" xfId="14090" xr:uid="{A03B442C-A4E0-4D85-AF94-BD2AFE079A25}"/>
    <cellStyle name="Normal 5 4 2 3 3 4" xfId="9872" xr:uid="{8E1D9DF7-C6AD-4741-97E5-6164066E88A4}"/>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741A1F9C-0667-4342-BB27-6D36D522ED3F}"/>
    <cellStyle name="Normal 5 4 2 3 4 2 3" xfId="12430" xr:uid="{1FA96C47-4A5B-44EC-974E-6ED578E1E7D5}"/>
    <cellStyle name="Normal 5 4 2 3 4 3" xfId="6074" xr:uid="{00000000-0005-0000-0000-0000E21A0000}"/>
    <cellStyle name="Normal 5 4 2 3 4 3 2" xfId="14503" xr:uid="{B7E05E98-3C95-472A-99CA-CA4EB96CC7C1}"/>
    <cellStyle name="Normal 5 4 2 3 4 4" xfId="10285" xr:uid="{99EBAB76-FE4B-4A8F-B8F3-A52F3BE62294}"/>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AC0623D-0B0F-443E-9F85-60FB9C9A3016}"/>
    <cellStyle name="Normal 5 4 2 3 5 2 3" xfId="12843" xr:uid="{E96668A5-5CD8-4D4D-A42B-A27D83ABA20D}"/>
    <cellStyle name="Normal 5 4 2 3 5 3" xfId="6487" xr:uid="{00000000-0005-0000-0000-0000E61A0000}"/>
    <cellStyle name="Normal 5 4 2 3 5 3 2" xfId="14916" xr:uid="{71E5B732-98C1-4EA4-B1B6-726C92A8815C}"/>
    <cellStyle name="Normal 5 4 2 3 5 4" xfId="10698" xr:uid="{6AD07EC5-6E60-4A28-92A1-908E731B074F}"/>
    <cellStyle name="Normal 5 4 2 3 6" xfId="2615" xr:uid="{00000000-0005-0000-0000-0000E71A0000}"/>
    <cellStyle name="Normal 5 4 2 3 6 2" xfId="6900" xr:uid="{00000000-0005-0000-0000-0000E81A0000}"/>
    <cellStyle name="Normal 5 4 2 3 6 2 2" xfId="15329" xr:uid="{A0F172FA-3A00-4E03-91BA-0197DC807A32}"/>
    <cellStyle name="Normal 5 4 2 3 6 3" xfId="11111" xr:uid="{3A5D325E-04EE-46B1-80A6-9C6F517600D1}"/>
    <cellStyle name="Normal 5 4 2 3 7" xfId="4835" xr:uid="{00000000-0005-0000-0000-0000E91A0000}"/>
    <cellStyle name="Normal 5 4 2 3 7 2" xfId="13264" xr:uid="{42BE7EAD-121C-4E91-889A-C765C607FACA}"/>
    <cellStyle name="Normal 5 4 2 3 8" xfId="9046" xr:uid="{A4A610F8-7167-4889-9E45-AE802691D377}"/>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F66A3670-552C-4735-AD45-ECFACEECCDE8}"/>
    <cellStyle name="Normal 5 4 2 4 2 3" xfId="11601" xr:uid="{53AD3414-6C72-4077-9619-79FCC6AD086B}"/>
    <cellStyle name="Normal 5 4 2 4 3" xfId="5245" xr:uid="{00000000-0005-0000-0000-0000ED1A0000}"/>
    <cellStyle name="Normal 5 4 2 4 3 2" xfId="13674" xr:uid="{F544510E-97D7-432E-B704-E9FD2FC65E62}"/>
    <cellStyle name="Normal 5 4 2 4 4" xfId="9456" xr:uid="{01FE374B-9726-499D-915C-BDBA0D938FFE}"/>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E70ABD78-6A18-4BC0-9BB5-FC1149F25239}"/>
    <cellStyle name="Normal 5 4 2 5 2 3" xfId="12014" xr:uid="{E050F55D-7E9A-4CD5-9A15-7F9405542A12}"/>
    <cellStyle name="Normal 5 4 2 5 3" xfId="5658" xr:uid="{00000000-0005-0000-0000-0000F11A0000}"/>
    <cellStyle name="Normal 5 4 2 5 3 2" xfId="14087" xr:uid="{E9E6EC56-3AE9-4939-A15F-6ACEEEF03396}"/>
    <cellStyle name="Normal 5 4 2 5 4" xfId="9869" xr:uid="{EF023E25-2292-4470-A79E-9D5F1987F580}"/>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C408AC23-9489-4B57-9489-F790252057C5}"/>
    <cellStyle name="Normal 5 4 2 6 2 3" xfId="12427" xr:uid="{4D321B06-D6AA-4959-BF13-E84505E68B20}"/>
    <cellStyle name="Normal 5 4 2 6 3" xfId="6071" xr:uid="{00000000-0005-0000-0000-0000F51A0000}"/>
    <cellStyle name="Normal 5 4 2 6 3 2" xfId="14500" xr:uid="{4D281643-B241-4534-B37D-BB36385B537E}"/>
    <cellStyle name="Normal 5 4 2 6 4" xfId="10282" xr:uid="{25DFDEE8-04B8-412A-A793-238D61ED9207}"/>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E5C689E2-7210-41C7-8F01-2F8B563C54C6}"/>
    <cellStyle name="Normal 5 4 2 7 2 3" xfId="12840" xr:uid="{8FEDF987-B399-4810-8D75-8C32C4089CCC}"/>
    <cellStyle name="Normal 5 4 2 7 3" xfId="6484" xr:uid="{00000000-0005-0000-0000-0000F91A0000}"/>
    <cellStyle name="Normal 5 4 2 7 3 2" xfId="14913" xr:uid="{389AA859-CD68-4744-829D-C413363B3C5E}"/>
    <cellStyle name="Normal 5 4 2 7 4" xfId="10695" xr:uid="{4F18D8A4-4BD7-41CC-B590-11F62A55E056}"/>
    <cellStyle name="Normal 5 4 2 8" xfId="2612" xr:uid="{00000000-0005-0000-0000-0000FA1A0000}"/>
    <cellStyle name="Normal 5 4 2 8 2" xfId="6897" xr:uid="{00000000-0005-0000-0000-0000FB1A0000}"/>
    <cellStyle name="Normal 5 4 2 8 2 2" xfId="15326" xr:uid="{7E16C772-CD04-4BE6-AEFF-19518009A5A2}"/>
    <cellStyle name="Normal 5 4 2 8 3" xfId="11108" xr:uid="{9F727A31-6965-4BED-A374-3D4E05696A2E}"/>
    <cellStyle name="Normal 5 4 2 9" xfId="4832" xr:uid="{00000000-0005-0000-0000-0000FC1A0000}"/>
    <cellStyle name="Normal 5 4 2 9 2" xfId="13261" xr:uid="{8D47354F-C0FD-4980-9841-9F334C78571C}"/>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7576A90D-09B5-491F-A19B-1D4B982DD31D}"/>
    <cellStyle name="Normal 5 4 3 2 2 2 3" xfId="11606" xr:uid="{0279385A-F331-453D-8497-ECF669E77332}"/>
    <cellStyle name="Normal 5 4 3 2 2 3" xfId="5250" xr:uid="{00000000-0005-0000-0000-0000021B0000}"/>
    <cellStyle name="Normal 5 4 3 2 2 3 2" xfId="13679" xr:uid="{F50B74C8-6008-4EB3-AF22-DEBA5DC689F7}"/>
    <cellStyle name="Normal 5 4 3 2 2 4" xfId="9461" xr:uid="{971D95FD-8983-4CB4-9ED8-9792B3F5B7E7}"/>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67AB557A-8C8E-4ABB-AD24-4AAA9E57A921}"/>
    <cellStyle name="Normal 5 4 3 2 3 2 3" xfId="12019" xr:uid="{464BD6FA-C0E3-4D70-890A-601900826955}"/>
    <cellStyle name="Normal 5 4 3 2 3 3" xfId="5663" xr:uid="{00000000-0005-0000-0000-0000061B0000}"/>
    <cellStyle name="Normal 5 4 3 2 3 3 2" xfId="14092" xr:uid="{7C6EC9C5-E959-4A86-AC77-3816859D8156}"/>
    <cellStyle name="Normal 5 4 3 2 3 4" xfId="9874" xr:uid="{DD2EC278-3AF9-4076-851E-CF16A6400F79}"/>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276383E3-1464-4987-93DD-79ADCBED2B3C}"/>
    <cellStyle name="Normal 5 4 3 2 4 2 3" xfId="12432" xr:uid="{C0963AD3-3CB3-430E-9F2F-FAE2936C7804}"/>
    <cellStyle name="Normal 5 4 3 2 4 3" xfId="6076" xr:uid="{00000000-0005-0000-0000-00000A1B0000}"/>
    <cellStyle name="Normal 5 4 3 2 4 3 2" xfId="14505" xr:uid="{22BCC484-6570-46A1-A8D8-364AEAFDC0C7}"/>
    <cellStyle name="Normal 5 4 3 2 4 4" xfId="10287" xr:uid="{EE4F8C74-669E-47A6-A226-AF67FEA3B097}"/>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EFB58E8F-FA0A-4AC2-913F-29DEFDAB07A7}"/>
    <cellStyle name="Normal 5 4 3 2 5 2 3" xfId="12845" xr:uid="{E69ABD30-8C3B-4305-B39D-3432B1D46C26}"/>
    <cellStyle name="Normal 5 4 3 2 5 3" xfId="6489" xr:uid="{00000000-0005-0000-0000-00000E1B0000}"/>
    <cellStyle name="Normal 5 4 3 2 5 3 2" xfId="14918" xr:uid="{F2884E81-BB58-4F30-A934-A6F55D6225BC}"/>
    <cellStyle name="Normal 5 4 3 2 5 4" xfId="10700" xr:uid="{003F0F4E-1CBA-4EE2-A8FB-F32C087198F5}"/>
    <cellStyle name="Normal 5 4 3 2 6" xfId="2617" xr:uid="{00000000-0005-0000-0000-00000F1B0000}"/>
    <cellStyle name="Normal 5 4 3 2 6 2" xfId="6902" xr:uid="{00000000-0005-0000-0000-0000101B0000}"/>
    <cellStyle name="Normal 5 4 3 2 6 2 2" xfId="15331" xr:uid="{488F433D-345D-4984-88C8-5920B28203B0}"/>
    <cellStyle name="Normal 5 4 3 2 6 3" xfId="11113" xr:uid="{DF3EE6FB-95A2-450E-A232-37E65BDF8EDA}"/>
    <cellStyle name="Normal 5 4 3 2 7" xfId="4837" xr:uid="{00000000-0005-0000-0000-0000111B0000}"/>
    <cellStyle name="Normal 5 4 3 2 7 2" xfId="13266" xr:uid="{6F381251-03E2-4A54-98B3-C80B7BFB4389}"/>
    <cellStyle name="Normal 5 4 3 2 8" xfId="9048" xr:uid="{D88FC98F-62C5-441A-8A4F-FF007693C0FB}"/>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BD4A8B90-A127-48D2-BAAC-B3D9F0BF55A9}"/>
    <cellStyle name="Normal 5 4 3 3 2 3" xfId="11605" xr:uid="{F5A7750A-E259-433D-AB61-297B885029BD}"/>
    <cellStyle name="Normal 5 4 3 3 3" xfId="5249" xr:uid="{00000000-0005-0000-0000-0000151B0000}"/>
    <cellStyle name="Normal 5 4 3 3 3 2" xfId="13678" xr:uid="{D062B9D5-3BDE-46D9-8FB5-F2B44E79A204}"/>
    <cellStyle name="Normal 5 4 3 3 4" xfId="9460" xr:uid="{99B7B01C-06F7-4A5F-81C2-A332DF2A5E2E}"/>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B5C2315A-186B-4260-8539-D2C20D48EAEB}"/>
    <cellStyle name="Normal 5 4 3 4 2 3" xfId="12018" xr:uid="{00D4EDCF-90C6-48AB-BFEB-B0FEC93AC78F}"/>
    <cellStyle name="Normal 5 4 3 4 3" xfId="5662" xr:uid="{00000000-0005-0000-0000-0000191B0000}"/>
    <cellStyle name="Normal 5 4 3 4 3 2" xfId="14091" xr:uid="{B8C8F88B-E998-498D-8C30-32D9BBE12AB0}"/>
    <cellStyle name="Normal 5 4 3 4 4" xfId="9873" xr:uid="{F4D9A234-863E-4E9E-B852-6C64F71219F4}"/>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B96516DC-DBB6-4C1E-BE4E-DED7E55DDC8C}"/>
    <cellStyle name="Normal 5 4 3 5 2 3" xfId="12431" xr:uid="{19149721-C972-4F43-972F-CA66B45AE385}"/>
    <cellStyle name="Normal 5 4 3 5 3" xfId="6075" xr:uid="{00000000-0005-0000-0000-00001D1B0000}"/>
    <cellStyle name="Normal 5 4 3 5 3 2" xfId="14504" xr:uid="{62018A41-43DD-4262-9525-B655E81B172C}"/>
    <cellStyle name="Normal 5 4 3 5 4" xfId="10286" xr:uid="{F8B95D07-D617-45C4-97BB-C28B5BDFA9F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9AF1E3CC-9C38-4FE4-B62A-4FA1B0BBD862}"/>
    <cellStyle name="Normal 5 4 3 6 2 3" xfId="12844" xr:uid="{0ED3C977-CBFA-4F39-A781-ED577C011D4D}"/>
    <cellStyle name="Normal 5 4 3 6 3" xfId="6488" xr:uid="{00000000-0005-0000-0000-0000211B0000}"/>
    <cellStyle name="Normal 5 4 3 6 3 2" xfId="14917" xr:uid="{34826C40-5E01-4C74-B3E5-1C66BA4C07DD}"/>
    <cellStyle name="Normal 5 4 3 6 4" xfId="10699" xr:uid="{C471C513-454F-4660-92FB-8DDDBD689A0D}"/>
    <cellStyle name="Normal 5 4 3 7" xfId="2616" xr:uid="{00000000-0005-0000-0000-0000221B0000}"/>
    <cellStyle name="Normal 5 4 3 7 2" xfId="6901" xr:uid="{00000000-0005-0000-0000-0000231B0000}"/>
    <cellStyle name="Normal 5 4 3 7 2 2" xfId="15330" xr:uid="{185240EB-DCE8-45DA-A958-1F1A67834834}"/>
    <cellStyle name="Normal 5 4 3 7 3" xfId="11112" xr:uid="{9B3BBE30-E7E9-4D37-B964-1B96652E03D0}"/>
    <cellStyle name="Normal 5 4 3 8" xfId="4836" xr:uid="{00000000-0005-0000-0000-0000241B0000}"/>
    <cellStyle name="Normal 5 4 3 8 2" xfId="13265" xr:uid="{5869D5C7-8F2C-4862-A024-39218AD67E7F}"/>
    <cellStyle name="Normal 5 4 3 9" xfId="9047" xr:uid="{906D1CEE-2E21-42FD-9829-A87AB95D77AC}"/>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405DBFFF-38AA-4C2E-8579-04DB51C4D69D}"/>
    <cellStyle name="Normal 5 4 4 2 2 3" xfId="11607" xr:uid="{D282E055-6068-4677-8F9E-FD6C2858F784}"/>
    <cellStyle name="Normal 5 4 4 2 3" xfId="5251" xr:uid="{00000000-0005-0000-0000-0000291B0000}"/>
    <cellStyle name="Normal 5 4 4 2 3 2" xfId="13680" xr:uid="{354E57C0-6868-4DC4-83C0-AF84B235A9E4}"/>
    <cellStyle name="Normal 5 4 4 2 4" xfId="9462" xr:uid="{AC370E3D-9780-43E9-8D13-D7F6A4AFF338}"/>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FF62216D-8A0E-4F7B-8580-8D507E8E847C}"/>
    <cellStyle name="Normal 5 4 4 3 2 3" xfId="12020" xr:uid="{6A569DC8-5347-4C56-8BD9-6498E48BFE2A}"/>
    <cellStyle name="Normal 5 4 4 3 3" xfId="5664" xr:uid="{00000000-0005-0000-0000-00002D1B0000}"/>
    <cellStyle name="Normal 5 4 4 3 3 2" xfId="14093" xr:uid="{2861083A-40D0-44B1-A584-EFAE87560A3F}"/>
    <cellStyle name="Normal 5 4 4 3 4" xfId="9875" xr:uid="{741F8A9B-F249-4BBD-90BB-37092969874E}"/>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390ECC42-F407-4830-A507-135CEC129CFB}"/>
    <cellStyle name="Normal 5 4 4 4 2 3" xfId="12433" xr:uid="{04423204-8344-428C-B7CA-2522373484D3}"/>
    <cellStyle name="Normal 5 4 4 4 3" xfId="6077" xr:uid="{00000000-0005-0000-0000-0000311B0000}"/>
    <cellStyle name="Normal 5 4 4 4 3 2" xfId="14506" xr:uid="{A4AFDAF3-9AB4-4E6A-A3AA-7F04C5642019}"/>
    <cellStyle name="Normal 5 4 4 4 4" xfId="10288" xr:uid="{1FB6AF07-CBA5-41DF-831B-B4AC9A7DD4A6}"/>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ED3FDD9B-217C-4EF7-AA30-CC0436064F19}"/>
    <cellStyle name="Normal 5 4 4 5 2 3" xfId="12846" xr:uid="{8AD38262-3634-4371-900B-10831A19D403}"/>
    <cellStyle name="Normal 5 4 4 5 3" xfId="6490" xr:uid="{00000000-0005-0000-0000-0000351B0000}"/>
    <cellStyle name="Normal 5 4 4 5 3 2" xfId="14919" xr:uid="{5DA51DDE-C2F6-456E-BC3F-BBA09C61EC0D}"/>
    <cellStyle name="Normal 5 4 4 5 4" xfId="10701" xr:uid="{C609D5D8-67EE-4F18-B94B-F36B30BC8346}"/>
    <cellStyle name="Normal 5 4 4 6" xfId="2618" xr:uid="{00000000-0005-0000-0000-0000361B0000}"/>
    <cellStyle name="Normal 5 4 4 6 2" xfId="6903" xr:uid="{00000000-0005-0000-0000-0000371B0000}"/>
    <cellStyle name="Normal 5 4 4 6 2 2" xfId="15332" xr:uid="{39323099-7C0C-49A2-8C32-92920BB014EC}"/>
    <cellStyle name="Normal 5 4 4 6 3" xfId="11114" xr:uid="{F9E0E5DA-A06C-490A-8FCD-CE1F2613741D}"/>
    <cellStyle name="Normal 5 4 4 7" xfId="4838" xr:uid="{00000000-0005-0000-0000-0000381B0000}"/>
    <cellStyle name="Normal 5 4 4 7 2" xfId="13267" xr:uid="{49C1CCB4-1B29-4394-A3B9-1BA061C5685F}"/>
    <cellStyle name="Normal 5 4 4 8" xfId="9049" xr:uid="{C354B4D5-F6DB-4BEB-AB77-8AB30CDFC1B7}"/>
    <cellStyle name="Normal 5 4 5" xfId="931" xr:uid="{00000000-0005-0000-0000-0000391B0000}"/>
    <cellStyle name="Normal 5 4 5 2" xfId="3165" xr:uid="{00000000-0005-0000-0000-00003A1B0000}"/>
    <cellStyle name="Normal 5 4 5 2 2" xfId="7389" xr:uid="{00000000-0005-0000-0000-00003B1B0000}"/>
    <cellStyle name="Normal 5 4 5 2 2 2" xfId="15818" xr:uid="{54FDE938-FD06-4BFA-9ED8-B19E8CD43ED5}"/>
    <cellStyle name="Normal 5 4 5 2 3" xfId="11600" xr:uid="{3D13C28E-A4BF-429D-8CFF-406692D887F8}"/>
    <cellStyle name="Normal 5 4 5 3" xfId="5244" xr:uid="{00000000-0005-0000-0000-00003C1B0000}"/>
    <cellStyle name="Normal 5 4 5 3 2" xfId="13673" xr:uid="{790D08E9-193C-406C-86AA-3885482B45D5}"/>
    <cellStyle name="Normal 5 4 5 4" xfId="9455" xr:uid="{62FD16C2-6E84-40D3-8C29-5CF439AE3565}"/>
    <cellStyle name="Normal 5 4 6" xfId="1348" xr:uid="{00000000-0005-0000-0000-00003D1B0000}"/>
    <cellStyle name="Normal 5 4 6 2" xfId="3578" xr:uid="{00000000-0005-0000-0000-00003E1B0000}"/>
    <cellStyle name="Normal 5 4 6 2 2" xfId="7802" xr:uid="{00000000-0005-0000-0000-00003F1B0000}"/>
    <cellStyle name="Normal 5 4 6 2 2 2" xfId="16231" xr:uid="{64930A86-1C71-404E-AE3F-A940EF349F5A}"/>
    <cellStyle name="Normal 5 4 6 2 3" xfId="12013" xr:uid="{4A4DFB44-362D-49E4-BA9F-03E21DB0BB08}"/>
    <cellStyle name="Normal 5 4 6 3" xfId="5657" xr:uid="{00000000-0005-0000-0000-0000401B0000}"/>
    <cellStyle name="Normal 5 4 6 3 2" xfId="14086" xr:uid="{CBAB22D9-E06D-46C2-8FAD-5484DCC2F88F}"/>
    <cellStyle name="Normal 5 4 6 4" xfId="9868" xr:uid="{55374B23-3AE5-4717-B2D2-25496E47BC02}"/>
    <cellStyle name="Normal 5 4 7" xfId="1761" xr:uid="{00000000-0005-0000-0000-0000411B0000}"/>
    <cellStyle name="Normal 5 4 7 2" xfId="3991" xr:uid="{00000000-0005-0000-0000-0000421B0000}"/>
    <cellStyle name="Normal 5 4 7 2 2" xfId="8215" xr:uid="{00000000-0005-0000-0000-0000431B0000}"/>
    <cellStyle name="Normal 5 4 7 2 2 2" xfId="16644" xr:uid="{98638409-4535-4E1A-89C1-703D47023084}"/>
    <cellStyle name="Normal 5 4 7 2 3" xfId="12426" xr:uid="{8A3357DA-43F8-4149-9C10-F21F21E655E4}"/>
    <cellStyle name="Normal 5 4 7 3" xfId="6070" xr:uid="{00000000-0005-0000-0000-0000441B0000}"/>
    <cellStyle name="Normal 5 4 7 3 2" xfId="14499" xr:uid="{25EA8C8E-6440-48F7-A48F-4032020C1EE9}"/>
    <cellStyle name="Normal 5 4 7 4" xfId="10281" xr:uid="{C955D038-30A1-4015-B71B-00C795C4D5D1}"/>
    <cellStyle name="Normal 5 4 8" xfId="2175" xr:uid="{00000000-0005-0000-0000-0000451B0000}"/>
    <cellStyle name="Normal 5 4 8 2" xfId="4404" xr:uid="{00000000-0005-0000-0000-0000461B0000}"/>
    <cellStyle name="Normal 5 4 8 2 2" xfId="8628" xr:uid="{00000000-0005-0000-0000-0000471B0000}"/>
    <cellStyle name="Normal 5 4 8 2 2 2" xfId="17057" xr:uid="{0BE16E60-6579-43B5-8255-BD7D5AE75569}"/>
    <cellStyle name="Normal 5 4 8 2 3" xfId="12839" xr:uid="{D9C063FC-EEE1-4CB0-B9AA-C422EFF5A8D8}"/>
    <cellStyle name="Normal 5 4 8 3" xfId="6483" xr:uid="{00000000-0005-0000-0000-0000481B0000}"/>
    <cellStyle name="Normal 5 4 8 3 2" xfId="14912" xr:uid="{BA0E60BE-8377-45D1-9731-7BEF55146B91}"/>
    <cellStyle name="Normal 5 4 8 4" xfId="10694" xr:uid="{C7199DCA-0084-4844-8F22-FC423EF83A7A}"/>
    <cellStyle name="Normal 5 4 9" xfId="2611" xr:uid="{00000000-0005-0000-0000-0000491B0000}"/>
    <cellStyle name="Normal 5 4 9 2" xfId="6896" xr:uid="{00000000-0005-0000-0000-00004A1B0000}"/>
    <cellStyle name="Normal 5 4 9 2 2" xfId="15325" xr:uid="{DCB30727-D389-4166-9133-BB9D61238EE6}"/>
    <cellStyle name="Normal 5 4 9 3" xfId="11107" xr:uid="{651133E8-C509-4431-A99D-30F86CDAF057}"/>
    <cellStyle name="Normal 5 5" xfId="464" xr:uid="{00000000-0005-0000-0000-00004B1B0000}"/>
    <cellStyle name="Normal 5 5 10" xfId="9050" xr:uid="{55E29D11-5AE5-4E76-AF57-F300E480D2BF}"/>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EB3BC503-0296-47B5-8551-2C2A5DD3F54C}"/>
    <cellStyle name="Normal 5 5 2 2 2 2 3" xfId="11610" xr:uid="{D61790DB-17DC-4D1C-8B00-C78415777153}"/>
    <cellStyle name="Normal 5 5 2 2 2 3" xfId="5254" xr:uid="{00000000-0005-0000-0000-0000511B0000}"/>
    <cellStyle name="Normal 5 5 2 2 2 3 2" xfId="13683" xr:uid="{95F2F508-7253-45EB-9537-3D46EDE749C6}"/>
    <cellStyle name="Normal 5 5 2 2 2 4" xfId="9465" xr:uid="{B182740B-A606-4A8A-BD81-EE55D32581CB}"/>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A971F9B6-170A-4034-9300-32B574807151}"/>
    <cellStyle name="Normal 5 5 2 2 3 2 3" xfId="12023" xr:uid="{9DA8EE76-6120-4D87-9BA1-03937885F895}"/>
    <cellStyle name="Normal 5 5 2 2 3 3" xfId="5667" xr:uid="{00000000-0005-0000-0000-0000551B0000}"/>
    <cellStyle name="Normal 5 5 2 2 3 3 2" xfId="14096" xr:uid="{E756DFFA-CD36-4EE3-9BC3-72F72BBC1503}"/>
    <cellStyle name="Normal 5 5 2 2 3 4" xfId="9878" xr:uid="{DA1CCE44-6B9D-420A-820E-789ED7A60609}"/>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500D914B-614E-4B2A-8C0C-79D121009EFC}"/>
    <cellStyle name="Normal 5 5 2 2 4 2 3" xfId="12436" xr:uid="{30F6032F-ABEB-4F8A-825C-877C8E99E40E}"/>
    <cellStyle name="Normal 5 5 2 2 4 3" xfId="6080" xr:uid="{00000000-0005-0000-0000-0000591B0000}"/>
    <cellStyle name="Normal 5 5 2 2 4 3 2" xfId="14509" xr:uid="{5040F44F-58F7-47D8-9775-DC22C1EAFB4A}"/>
    <cellStyle name="Normal 5 5 2 2 4 4" xfId="10291" xr:uid="{18DD2479-DAE9-40C9-A7D6-DD3898C8A68A}"/>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3AE1A72E-BDA0-4FCC-8655-CA9C14010C32}"/>
    <cellStyle name="Normal 5 5 2 2 5 2 3" xfId="12849" xr:uid="{ECAC9140-1AB3-4D02-88C8-C0CDBFE344EB}"/>
    <cellStyle name="Normal 5 5 2 2 5 3" xfId="6493" xr:uid="{00000000-0005-0000-0000-00005D1B0000}"/>
    <cellStyle name="Normal 5 5 2 2 5 3 2" xfId="14922" xr:uid="{00658274-2B06-4589-B9CF-E22158D77BE4}"/>
    <cellStyle name="Normal 5 5 2 2 5 4" xfId="10704" xr:uid="{51A41949-46D6-46A6-8469-BED5BA14847F}"/>
    <cellStyle name="Normal 5 5 2 2 6" xfId="2621" xr:uid="{00000000-0005-0000-0000-00005E1B0000}"/>
    <cellStyle name="Normal 5 5 2 2 6 2" xfId="6906" xr:uid="{00000000-0005-0000-0000-00005F1B0000}"/>
    <cellStyle name="Normal 5 5 2 2 6 2 2" xfId="15335" xr:uid="{47F12CA8-9673-4C09-919B-319298026D27}"/>
    <cellStyle name="Normal 5 5 2 2 6 3" xfId="11117" xr:uid="{0CE4EB53-E0B9-4657-9B98-76EB08051B35}"/>
    <cellStyle name="Normal 5 5 2 2 7" xfId="4841" xr:uid="{00000000-0005-0000-0000-0000601B0000}"/>
    <cellStyle name="Normal 5 5 2 2 7 2" xfId="13270" xr:uid="{7D31065A-BF5E-406D-AE88-6FA585925875}"/>
    <cellStyle name="Normal 5 5 2 2 8" xfId="9052" xr:uid="{D6386FA1-B5C4-4E9D-A9F2-31692D0FBC5D}"/>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510DB69A-2B10-4C8B-B41D-08AE5E0C9E02}"/>
    <cellStyle name="Normal 5 5 2 3 2 3" xfId="11609" xr:uid="{CCA80353-D0A2-4527-8577-2F455937F99E}"/>
    <cellStyle name="Normal 5 5 2 3 3" xfId="5253" xr:uid="{00000000-0005-0000-0000-0000641B0000}"/>
    <cellStyle name="Normal 5 5 2 3 3 2" xfId="13682" xr:uid="{3615A328-49F2-4B8B-A5C5-231D91AD2FCD}"/>
    <cellStyle name="Normal 5 5 2 3 4" xfId="9464" xr:uid="{55E1845A-9898-4604-A911-435168424C21}"/>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D6AE2E99-7118-489C-AF0A-49AFA82F4351}"/>
    <cellStyle name="Normal 5 5 2 4 2 3" xfId="12022" xr:uid="{87F20317-C063-4F86-AC2A-3ED04AD161CC}"/>
    <cellStyle name="Normal 5 5 2 4 3" xfId="5666" xr:uid="{00000000-0005-0000-0000-0000681B0000}"/>
    <cellStyle name="Normal 5 5 2 4 3 2" xfId="14095" xr:uid="{3DB67441-F709-41EB-9BC3-99EAC75CC3F6}"/>
    <cellStyle name="Normal 5 5 2 4 4" xfId="9877" xr:uid="{0EB60B3C-4EF5-426B-B060-3200D2D6792A}"/>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61E81A76-C5AF-4A84-8B60-19B3772CF749}"/>
    <cellStyle name="Normal 5 5 2 5 2 3" xfId="12435" xr:uid="{F8F9770E-57EB-4B82-BDBB-358AF8A05541}"/>
    <cellStyle name="Normal 5 5 2 5 3" xfId="6079" xr:uid="{00000000-0005-0000-0000-00006C1B0000}"/>
    <cellStyle name="Normal 5 5 2 5 3 2" xfId="14508" xr:uid="{63637FA0-9643-432C-9F12-6C8D331DD55A}"/>
    <cellStyle name="Normal 5 5 2 5 4" xfId="10290" xr:uid="{B9AF0D48-018D-449F-8BBA-4318F435743F}"/>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EF30475D-4D71-4BA2-9AD2-BB2BFDED6EB7}"/>
    <cellStyle name="Normal 5 5 2 6 2 3" xfId="12848" xr:uid="{8D79A5BB-7908-4C9F-936B-F3F4A77DFAA1}"/>
    <cellStyle name="Normal 5 5 2 6 3" xfId="6492" xr:uid="{00000000-0005-0000-0000-0000701B0000}"/>
    <cellStyle name="Normal 5 5 2 6 3 2" xfId="14921" xr:uid="{E2CED986-9572-4E6E-9ECA-0EA828936E04}"/>
    <cellStyle name="Normal 5 5 2 6 4" xfId="10703" xr:uid="{EAF95666-3E1D-4C70-A180-C8CEF69FE2FD}"/>
    <cellStyle name="Normal 5 5 2 7" xfId="2620" xr:uid="{00000000-0005-0000-0000-0000711B0000}"/>
    <cellStyle name="Normal 5 5 2 7 2" xfId="6905" xr:uid="{00000000-0005-0000-0000-0000721B0000}"/>
    <cellStyle name="Normal 5 5 2 7 2 2" xfId="15334" xr:uid="{4EE7A2F4-4032-49A6-A484-52714F6BA3DE}"/>
    <cellStyle name="Normal 5 5 2 7 3" xfId="11116" xr:uid="{A3E4DB90-43EA-4204-81BA-A3684A4E3C56}"/>
    <cellStyle name="Normal 5 5 2 8" xfId="4840" xr:uid="{00000000-0005-0000-0000-0000731B0000}"/>
    <cellStyle name="Normal 5 5 2 8 2" xfId="13269" xr:uid="{B03FD1A5-328E-4397-9B0E-48C96CA9F7FE}"/>
    <cellStyle name="Normal 5 5 2 9" xfId="9051" xr:uid="{FC616CC9-22F4-4A27-9FD7-2D9346B134BA}"/>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0AC5F096-29C3-4802-8686-76D82E571796}"/>
    <cellStyle name="Normal 5 5 3 2 2 3" xfId="11611" xr:uid="{0C4BCC14-3E28-4A48-BCEA-D3158DFD159A}"/>
    <cellStyle name="Normal 5 5 3 2 3" xfId="5255" xr:uid="{00000000-0005-0000-0000-0000781B0000}"/>
    <cellStyle name="Normal 5 5 3 2 3 2" xfId="13684" xr:uid="{C9D29DCB-43CA-4A54-9D8C-FA2FBB3E6A0B}"/>
    <cellStyle name="Normal 5 5 3 2 4" xfId="9466" xr:uid="{85BDD0A8-AF0B-4BEA-BA82-6681737D6E7F}"/>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9007A40E-A71A-4383-A8CF-78CC2C3EE220}"/>
    <cellStyle name="Normal 5 5 3 3 2 3" xfId="12024" xr:uid="{A013C4CE-334D-4216-9152-9CA152A29E97}"/>
    <cellStyle name="Normal 5 5 3 3 3" xfId="5668" xr:uid="{00000000-0005-0000-0000-00007C1B0000}"/>
    <cellStyle name="Normal 5 5 3 3 3 2" xfId="14097" xr:uid="{73DA51BE-B496-47EC-BEF4-5604B769E814}"/>
    <cellStyle name="Normal 5 5 3 3 4" xfId="9879" xr:uid="{417F2332-1645-4A2E-A46C-193C3271731A}"/>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3BD889EE-011D-4B15-B9F1-BD71215A2FBE}"/>
    <cellStyle name="Normal 5 5 3 4 2 3" xfId="12437" xr:uid="{B6D086B4-AB4E-4AA9-9F35-9286A8169E87}"/>
    <cellStyle name="Normal 5 5 3 4 3" xfId="6081" xr:uid="{00000000-0005-0000-0000-0000801B0000}"/>
    <cellStyle name="Normal 5 5 3 4 3 2" xfId="14510" xr:uid="{9A98332F-BE7C-4AFA-8322-DF2FCF53CE59}"/>
    <cellStyle name="Normal 5 5 3 4 4" xfId="10292" xr:uid="{0C0A8607-9F13-45D5-8E15-A7808D7FE0E9}"/>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E4DB03D0-9148-49D9-977F-2689D74DF56B}"/>
    <cellStyle name="Normal 5 5 3 5 2 3" xfId="12850" xr:uid="{A04F5339-C8E4-447F-A1A2-CCE2931116F6}"/>
    <cellStyle name="Normal 5 5 3 5 3" xfId="6494" xr:uid="{00000000-0005-0000-0000-0000841B0000}"/>
    <cellStyle name="Normal 5 5 3 5 3 2" xfId="14923" xr:uid="{8223CBF4-14B1-4428-A583-CE65D6EE6E7B}"/>
    <cellStyle name="Normal 5 5 3 5 4" xfId="10705" xr:uid="{9289E3FF-F54D-4251-A312-278FCFFD4F54}"/>
    <cellStyle name="Normal 5 5 3 6" xfId="2622" xr:uid="{00000000-0005-0000-0000-0000851B0000}"/>
    <cellStyle name="Normal 5 5 3 6 2" xfId="6907" xr:uid="{00000000-0005-0000-0000-0000861B0000}"/>
    <cellStyle name="Normal 5 5 3 6 2 2" xfId="15336" xr:uid="{2155D2F1-8D27-4691-8E33-4B60F14A3D3A}"/>
    <cellStyle name="Normal 5 5 3 6 3" xfId="11118" xr:uid="{3CD5840C-C078-445D-8FAE-5A43A5A1F52E}"/>
    <cellStyle name="Normal 5 5 3 7" xfId="4842" xr:uid="{00000000-0005-0000-0000-0000871B0000}"/>
    <cellStyle name="Normal 5 5 3 7 2" xfId="13271" xr:uid="{78B83E3F-A4E3-4E68-B08F-CB3439ED4146}"/>
    <cellStyle name="Normal 5 5 3 8" xfId="9053" xr:uid="{125F7E1E-941B-44A5-8AF0-247184BA6CF6}"/>
    <cellStyle name="Normal 5 5 4" xfId="939" xr:uid="{00000000-0005-0000-0000-0000881B0000}"/>
    <cellStyle name="Normal 5 5 4 2" xfId="3173" xr:uid="{00000000-0005-0000-0000-0000891B0000}"/>
    <cellStyle name="Normal 5 5 4 2 2" xfId="7397" xr:uid="{00000000-0005-0000-0000-00008A1B0000}"/>
    <cellStyle name="Normal 5 5 4 2 2 2" xfId="15826" xr:uid="{E5C3C242-58C8-496A-A25D-1E5892BE6088}"/>
    <cellStyle name="Normal 5 5 4 2 3" xfId="11608" xr:uid="{7A9A6721-1A12-4293-BCBD-A7A10043FF7A}"/>
    <cellStyle name="Normal 5 5 4 3" xfId="5252" xr:uid="{00000000-0005-0000-0000-00008B1B0000}"/>
    <cellStyle name="Normal 5 5 4 3 2" xfId="13681" xr:uid="{EF953E59-4DC0-4836-B880-93C13B55D061}"/>
    <cellStyle name="Normal 5 5 4 4" xfId="9463" xr:uid="{4EEE55A5-0A24-4670-AAFE-7E52530F24AF}"/>
    <cellStyle name="Normal 5 5 5" xfId="1356" xr:uid="{00000000-0005-0000-0000-00008C1B0000}"/>
    <cellStyle name="Normal 5 5 5 2" xfId="3586" xr:uid="{00000000-0005-0000-0000-00008D1B0000}"/>
    <cellStyle name="Normal 5 5 5 2 2" xfId="7810" xr:uid="{00000000-0005-0000-0000-00008E1B0000}"/>
    <cellStyle name="Normal 5 5 5 2 2 2" xfId="16239" xr:uid="{65C00F5B-07E0-4D37-8AE0-6D5C3B4C9F31}"/>
    <cellStyle name="Normal 5 5 5 2 3" xfId="12021" xr:uid="{0DE76E1A-1E58-4E93-AC82-48AB43350BDE}"/>
    <cellStyle name="Normal 5 5 5 3" xfId="5665" xr:uid="{00000000-0005-0000-0000-00008F1B0000}"/>
    <cellStyle name="Normal 5 5 5 3 2" xfId="14094" xr:uid="{5E277A1F-DAC0-4911-B8BC-4D9537B4302A}"/>
    <cellStyle name="Normal 5 5 5 4" xfId="9876" xr:uid="{569672AC-8422-4A1E-8D91-C5359FC982B0}"/>
    <cellStyle name="Normal 5 5 6" xfId="1769" xr:uid="{00000000-0005-0000-0000-0000901B0000}"/>
    <cellStyle name="Normal 5 5 6 2" xfId="3999" xr:uid="{00000000-0005-0000-0000-0000911B0000}"/>
    <cellStyle name="Normal 5 5 6 2 2" xfId="8223" xr:uid="{00000000-0005-0000-0000-0000921B0000}"/>
    <cellStyle name="Normal 5 5 6 2 2 2" xfId="16652" xr:uid="{C4D08BE1-55E8-4BAA-929A-105D8DAC3ED0}"/>
    <cellStyle name="Normal 5 5 6 2 3" xfId="12434" xr:uid="{30FE3AD6-6DD1-435A-AA68-CAE0800CCB60}"/>
    <cellStyle name="Normal 5 5 6 3" xfId="6078" xr:uid="{00000000-0005-0000-0000-0000931B0000}"/>
    <cellStyle name="Normal 5 5 6 3 2" xfId="14507" xr:uid="{1BE6DB8A-9397-44F9-8F9E-F3BA2BF456BF}"/>
    <cellStyle name="Normal 5 5 6 4" xfId="10289" xr:uid="{EB7EEA3D-2A30-44C8-B8FD-304475CD57DB}"/>
    <cellStyle name="Normal 5 5 7" xfId="2183" xr:uid="{00000000-0005-0000-0000-0000941B0000}"/>
    <cellStyle name="Normal 5 5 7 2" xfId="4412" xr:uid="{00000000-0005-0000-0000-0000951B0000}"/>
    <cellStyle name="Normal 5 5 7 2 2" xfId="8636" xr:uid="{00000000-0005-0000-0000-0000961B0000}"/>
    <cellStyle name="Normal 5 5 7 2 2 2" xfId="17065" xr:uid="{61C1E559-394D-4D7F-BD0B-BFA5E6309CFF}"/>
    <cellStyle name="Normal 5 5 7 2 3" xfId="12847" xr:uid="{509F0C66-D90A-4E7A-951A-20289FD29F06}"/>
    <cellStyle name="Normal 5 5 7 3" xfId="6491" xr:uid="{00000000-0005-0000-0000-0000971B0000}"/>
    <cellStyle name="Normal 5 5 7 3 2" xfId="14920" xr:uid="{FFC47B39-CE57-4CAF-AE56-0CB0D6AB493E}"/>
    <cellStyle name="Normal 5 5 7 4" xfId="10702" xr:uid="{AEC1EE7E-D921-440C-9C96-FD1C15C5C91C}"/>
    <cellStyle name="Normal 5 5 8" xfId="2619" xr:uid="{00000000-0005-0000-0000-0000981B0000}"/>
    <cellStyle name="Normal 5 5 8 2" xfId="6904" xr:uid="{00000000-0005-0000-0000-0000991B0000}"/>
    <cellStyle name="Normal 5 5 8 2 2" xfId="15333" xr:uid="{BA7219F6-4A4C-45FF-B785-174CAC31EC95}"/>
    <cellStyle name="Normal 5 5 8 3" xfId="11115" xr:uid="{E9FA4DB3-D35B-41C9-8793-56C404CC5735}"/>
    <cellStyle name="Normal 5 5 9" xfId="4839" xr:uid="{00000000-0005-0000-0000-00009A1B0000}"/>
    <cellStyle name="Normal 5 5 9 2" xfId="13268" xr:uid="{30D8EC79-058B-4490-8502-6359756D5BDA}"/>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7B8B2E82-0D39-4FB0-A34D-96D846860E8E}"/>
    <cellStyle name="Normal 5 6 2 2 2 3" xfId="11613" xr:uid="{817EBD39-756D-4BDF-B44D-A9558F843E59}"/>
    <cellStyle name="Normal 5 6 2 2 3" xfId="5257" xr:uid="{00000000-0005-0000-0000-0000A01B0000}"/>
    <cellStyle name="Normal 5 6 2 2 3 2" xfId="13686" xr:uid="{494408CA-ABDE-4B04-AE87-B47DD9BF261A}"/>
    <cellStyle name="Normal 5 6 2 2 4" xfId="9468" xr:uid="{4BA44BFB-F4F2-4284-B172-DD07F62ACD12}"/>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82010146-978A-417D-88E1-28952BB354D8}"/>
    <cellStyle name="Normal 5 6 2 3 2 3" xfId="12026" xr:uid="{E7D40A8D-36BC-4726-AE52-98F4D8D4BD8F}"/>
    <cellStyle name="Normal 5 6 2 3 3" xfId="5670" xr:uid="{00000000-0005-0000-0000-0000A41B0000}"/>
    <cellStyle name="Normal 5 6 2 3 3 2" xfId="14099" xr:uid="{C9C7C590-A07B-4432-97FD-1B3508D12CBB}"/>
    <cellStyle name="Normal 5 6 2 3 4" xfId="9881" xr:uid="{AA7398FF-8E19-4D82-A835-A851EEAACFF6}"/>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D74369C3-2C71-42DC-9A5F-D6DD46120050}"/>
    <cellStyle name="Normal 5 6 2 4 2 3" xfId="12439" xr:uid="{E4EB41D9-2763-4086-8B28-AD05C63BA26B}"/>
    <cellStyle name="Normal 5 6 2 4 3" xfId="6083" xr:uid="{00000000-0005-0000-0000-0000A81B0000}"/>
    <cellStyle name="Normal 5 6 2 4 3 2" xfId="14512" xr:uid="{72EAD5C0-7046-45BC-B06F-43D44C8FB55F}"/>
    <cellStyle name="Normal 5 6 2 4 4" xfId="10294" xr:uid="{D527FBED-3DA5-42AD-9B75-14F1175227FD}"/>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3871FC1B-FAB1-4169-A207-C0534B42EDFF}"/>
    <cellStyle name="Normal 5 6 2 5 2 3" xfId="12852" xr:uid="{7DA49F66-FB51-46C7-96EF-14B601022D01}"/>
    <cellStyle name="Normal 5 6 2 5 3" xfId="6496" xr:uid="{00000000-0005-0000-0000-0000AC1B0000}"/>
    <cellStyle name="Normal 5 6 2 5 3 2" xfId="14925" xr:uid="{E29FB63A-47B5-4262-A873-0F48B175AFD6}"/>
    <cellStyle name="Normal 5 6 2 5 4" xfId="10707" xr:uid="{14C64F98-DEF6-4E18-B5BB-19E62DAB7F4A}"/>
    <cellStyle name="Normal 5 6 2 6" xfId="2624" xr:uid="{00000000-0005-0000-0000-0000AD1B0000}"/>
    <cellStyle name="Normal 5 6 2 6 2" xfId="6909" xr:uid="{00000000-0005-0000-0000-0000AE1B0000}"/>
    <cellStyle name="Normal 5 6 2 6 2 2" xfId="15338" xr:uid="{485A6629-6AB0-40FD-BE6E-1D30EBAC0DFB}"/>
    <cellStyle name="Normal 5 6 2 6 3" xfId="11120" xr:uid="{93DAEA28-96F1-43CB-A2EF-1A0BC1F4E73B}"/>
    <cellStyle name="Normal 5 6 2 7" xfId="4844" xr:uid="{00000000-0005-0000-0000-0000AF1B0000}"/>
    <cellStyle name="Normal 5 6 2 7 2" xfId="13273" xr:uid="{AD4F07FB-452A-408A-8240-3806FA3D6B03}"/>
    <cellStyle name="Normal 5 6 2 8" xfId="9055" xr:uid="{6E68555C-DF91-456C-89B8-6A6055A764FD}"/>
    <cellStyle name="Normal 5 6 3" xfId="943" xr:uid="{00000000-0005-0000-0000-0000B01B0000}"/>
    <cellStyle name="Normal 5 6 3 2" xfId="3177" xr:uid="{00000000-0005-0000-0000-0000B11B0000}"/>
    <cellStyle name="Normal 5 6 3 2 2" xfId="7401" xr:uid="{00000000-0005-0000-0000-0000B21B0000}"/>
    <cellStyle name="Normal 5 6 3 2 2 2" xfId="15830" xr:uid="{491E1BBA-F483-4A0E-B876-73D7C7BDF907}"/>
    <cellStyle name="Normal 5 6 3 2 3" xfId="11612" xr:uid="{82CC0981-4D2E-4FC2-975F-4A43CE1D2389}"/>
    <cellStyle name="Normal 5 6 3 3" xfId="5256" xr:uid="{00000000-0005-0000-0000-0000B31B0000}"/>
    <cellStyle name="Normal 5 6 3 3 2" xfId="13685" xr:uid="{50409741-22A8-4D1D-8835-CE7159320F80}"/>
    <cellStyle name="Normal 5 6 3 4" xfId="9467" xr:uid="{744D28AE-D20F-4706-AE33-9660009AE3B0}"/>
    <cellStyle name="Normal 5 6 4" xfId="1360" xr:uid="{00000000-0005-0000-0000-0000B41B0000}"/>
    <cellStyle name="Normal 5 6 4 2" xfId="3590" xr:uid="{00000000-0005-0000-0000-0000B51B0000}"/>
    <cellStyle name="Normal 5 6 4 2 2" xfId="7814" xr:uid="{00000000-0005-0000-0000-0000B61B0000}"/>
    <cellStyle name="Normal 5 6 4 2 2 2" xfId="16243" xr:uid="{822722CD-4302-4857-81D6-253233045879}"/>
    <cellStyle name="Normal 5 6 4 2 3" xfId="12025" xr:uid="{B4675E58-A664-4187-AC18-5FB1407AB1BA}"/>
    <cellStyle name="Normal 5 6 4 3" xfId="5669" xr:uid="{00000000-0005-0000-0000-0000B71B0000}"/>
    <cellStyle name="Normal 5 6 4 3 2" xfId="14098" xr:uid="{1D3E5F21-84A1-4F37-B4D7-4FB6C3EE9878}"/>
    <cellStyle name="Normal 5 6 4 4" xfId="9880" xr:uid="{10147DBD-4D19-41B5-AB29-9616C3DF073B}"/>
    <cellStyle name="Normal 5 6 5" xfId="1773" xr:uid="{00000000-0005-0000-0000-0000B81B0000}"/>
    <cellStyle name="Normal 5 6 5 2" xfId="4003" xr:uid="{00000000-0005-0000-0000-0000B91B0000}"/>
    <cellStyle name="Normal 5 6 5 2 2" xfId="8227" xr:uid="{00000000-0005-0000-0000-0000BA1B0000}"/>
    <cellStyle name="Normal 5 6 5 2 2 2" xfId="16656" xr:uid="{6C032EF3-5AF9-4D39-81E4-88301B74E167}"/>
    <cellStyle name="Normal 5 6 5 2 3" xfId="12438" xr:uid="{420C633B-C7D6-44DC-861C-3CFFF8047B21}"/>
    <cellStyle name="Normal 5 6 5 3" xfId="6082" xr:uid="{00000000-0005-0000-0000-0000BB1B0000}"/>
    <cellStyle name="Normal 5 6 5 3 2" xfId="14511" xr:uid="{0399A6D4-4491-4656-95D3-EC8019DA99CB}"/>
    <cellStyle name="Normal 5 6 5 4" xfId="10293" xr:uid="{592B57F5-A1E8-4571-A526-F2892D069CA2}"/>
    <cellStyle name="Normal 5 6 6" xfId="2187" xr:uid="{00000000-0005-0000-0000-0000BC1B0000}"/>
    <cellStyle name="Normal 5 6 6 2" xfId="4416" xr:uid="{00000000-0005-0000-0000-0000BD1B0000}"/>
    <cellStyle name="Normal 5 6 6 2 2" xfId="8640" xr:uid="{00000000-0005-0000-0000-0000BE1B0000}"/>
    <cellStyle name="Normal 5 6 6 2 2 2" xfId="17069" xr:uid="{C978A528-8411-45CE-8A3A-FD626FBF5360}"/>
    <cellStyle name="Normal 5 6 6 2 3" xfId="12851" xr:uid="{4686D8A1-BE89-4657-9E07-55727CD0B446}"/>
    <cellStyle name="Normal 5 6 6 3" xfId="6495" xr:uid="{00000000-0005-0000-0000-0000BF1B0000}"/>
    <cellStyle name="Normal 5 6 6 3 2" xfId="14924" xr:uid="{26A9B509-A347-4E14-BE55-AA7A04BE9A38}"/>
    <cellStyle name="Normal 5 6 6 4" xfId="10706" xr:uid="{1946D425-D084-4D8F-889F-0FC7E05B568E}"/>
    <cellStyle name="Normal 5 6 7" xfId="2623" xr:uid="{00000000-0005-0000-0000-0000C01B0000}"/>
    <cellStyle name="Normal 5 6 7 2" xfId="6908" xr:uid="{00000000-0005-0000-0000-0000C11B0000}"/>
    <cellStyle name="Normal 5 6 7 2 2" xfId="15337" xr:uid="{BE014077-9538-47F0-9433-344C1364C9C1}"/>
    <cellStyle name="Normal 5 6 7 3" xfId="11119" xr:uid="{F218975D-1E58-479E-97CF-CCA3421CA64C}"/>
    <cellStyle name="Normal 5 6 8" xfId="4843" xr:uid="{00000000-0005-0000-0000-0000C21B0000}"/>
    <cellStyle name="Normal 5 6 8 2" xfId="13272" xr:uid="{655CBB50-5D64-4AC1-AC00-4262C48248B7}"/>
    <cellStyle name="Normal 5 6 9" xfId="9054" xr:uid="{EDE34392-9EAE-40DD-8D11-AE82C207D11C}"/>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6443240C-E723-4992-A65B-5D641365214D}"/>
    <cellStyle name="Normal 5 7 2 2 3" xfId="11614" xr:uid="{37DDE984-D709-447D-8557-67B2897D1B0E}"/>
    <cellStyle name="Normal 5 7 2 3" xfId="5258" xr:uid="{00000000-0005-0000-0000-0000C71B0000}"/>
    <cellStyle name="Normal 5 7 2 3 2" xfId="13687" xr:uid="{EEA2B2D5-0999-460F-A924-A63403C292FB}"/>
    <cellStyle name="Normal 5 7 2 4" xfId="9469" xr:uid="{1EF4BC2A-21FB-400C-92E6-910D1D5964C2}"/>
    <cellStyle name="Normal 5 7 3" xfId="1362" xr:uid="{00000000-0005-0000-0000-0000C81B0000}"/>
    <cellStyle name="Normal 5 7 3 2" xfId="3592" xr:uid="{00000000-0005-0000-0000-0000C91B0000}"/>
    <cellStyle name="Normal 5 7 3 2 2" xfId="7816" xr:uid="{00000000-0005-0000-0000-0000CA1B0000}"/>
    <cellStyle name="Normal 5 7 3 2 2 2" xfId="16245" xr:uid="{0B7C9912-BA76-4736-ACBC-04B300B082F1}"/>
    <cellStyle name="Normal 5 7 3 2 3" xfId="12027" xr:uid="{FD1C0E3F-D925-40C1-A0B7-E41214989367}"/>
    <cellStyle name="Normal 5 7 3 3" xfId="5671" xr:uid="{00000000-0005-0000-0000-0000CB1B0000}"/>
    <cellStyle name="Normal 5 7 3 3 2" xfId="14100" xr:uid="{AF92C1AD-4910-4C0E-8971-B056E7CAF078}"/>
    <cellStyle name="Normal 5 7 3 4" xfId="9882" xr:uid="{1E9F2EB4-1954-46D1-B9AF-5D9CAB697DD3}"/>
    <cellStyle name="Normal 5 7 4" xfId="1775" xr:uid="{00000000-0005-0000-0000-0000CC1B0000}"/>
    <cellStyle name="Normal 5 7 4 2" xfId="4005" xr:uid="{00000000-0005-0000-0000-0000CD1B0000}"/>
    <cellStyle name="Normal 5 7 4 2 2" xfId="8229" xr:uid="{00000000-0005-0000-0000-0000CE1B0000}"/>
    <cellStyle name="Normal 5 7 4 2 2 2" xfId="16658" xr:uid="{578FCFF0-2B0A-4739-AAF0-5BC04FD1A28A}"/>
    <cellStyle name="Normal 5 7 4 2 3" xfId="12440" xr:uid="{D4800CE1-02EF-4298-938F-B1B5E885FCF5}"/>
    <cellStyle name="Normal 5 7 4 3" xfId="6084" xr:uid="{00000000-0005-0000-0000-0000CF1B0000}"/>
    <cellStyle name="Normal 5 7 4 3 2" xfId="14513" xr:uid="{C87AC458-94C4-459C-A370-4F7009C39E43}"/>
    <cellStyle name="Normal 5 7 4 4" xfId="10295" xr:uid="{CB7DBC6B-EF25-430A-B00A-2534515C31F3}"/>
    <cellStyle name="Normal 5 7 5" xfId="2189" xr:uid="{00000000-0005-0000-0000-0000D01B0000}"/>
    <cellStyle name="Normal 5 7 5 2" xfId="4418" xr:uid="{00000000-0005-0000-0000-0000D11B0000}"/>
    <cellStyle name="Normal 5 7 5 2 2" xfId="8642" xr:uid="{00000000-0005-0000-0000-0000D21B0000}"/>
    <cellStyle name="Normal 5 7 5 2 2 2" xfId="17071" xr:uid="{C9741D88-5BB0-4B63-9219-5368C42DB7D1}"/>
    <cellStyle name="Normal 5 7 5 2 3" xfId="12853" xr:uid="{91BA3175-75E0-4CFA-879B-4F02EFD7402D}"/>
    <cellStyle name="Normal 5 7 5 3" xfId="6497" xr:uid="{00000000-0005-0000-0000-0000D31B0000}"/>
    <cellStyle name="Normal 5 7 5 3 2" xfId="14926" xr:uid="{C8793E33-952A-490F-A7E1-B29D51C54AFA}"/>
    <cellStyle name="Normal 5 7 5 4" xfId="10708" xr:uid="{8EBA9BFC-470A-465B-9575-797A101F3F39}"/>
    <cellStyle name="Normal 5 7 6" xfId="2625" xr:uid="{00000000-0005-0000-0000-0000D41B0000}"/>
    <cellStyle name="Normal 5 7 6 2" xfId="6910" xr:uid="{00000000-0005-0000-0000-0000D51B0000}"/>
    <cellStyle name="Normal 5 7 6 2 2" xfId="15339" xr:uid="{AE457BED-9732-4412-8457-E77475B35592}"/>
    <cellStyle name="Normal 5 7 6 3" xfId="11121" xr:uid="{C2E009EE-D6DC-4C98-8122-9CE8CCB76C95}"/>
    <cellStyle name="Normal 5 7 7" xfId="4845" xr:uid="{00000000-0005-0000-0000-0000D61B0000}"/>
    <cellStyle name="Normal 5 7 7 2" xfId="13274" xr:uid="{DED075AD-5A04-4044-8974-888DB557BC48}"/>
    <cellStyle name="Normal 5 7 8" xfId="9056" xr:uid="{4D66F6D0-997B-4D2A-9B04-0BD20CBD5D7F}"/>
    <cellStyle name="Normal 5 8" xfId="881" xr:uid="{00000000-0005-0000-0000-0000D71B0000}"/>
    <cellStyle name="Normal 5 8 2" xfId="3116" xr:uid="{00000000-0005-0000-0000-0000D81B0000}"/>
    <cellStyle name="Normal 5 8 2 2" xfId="7340" xr:uid="{00000000-0005-0000-0000-0000D91B0000}"/>
    <cellStyle name="Normal 5 8 2 2 2" xfId="15769" xr:uid="{F89965F8-0F05-42EC-B261-B5340A48BF0B}"/>
    <cellStyle name="Normal 5 8 2 3" xfId="11551" xr:uid="{F9E60842-42B0-4055-B83A-6398781343FA}"/>
    <cellStyle name="Normal 5 8 3" xfId="5195" xr:uid="{00000000-0005-0000-0000-0000DA1B0000}"/>
    <cellStyle name="Normal 5 8 3 2" xfId="13624" xr:uid="{E6A20A27-4C8B-43F3-A9E6-D7D47BAD9678}"/>
    <cellStyle name="Normal 5 8 4" xfId="9406" xr:uid="{04066DCD-8A11-4CA1-B60E-8AF6D7F8E28E}"/>
    <cellStyle name="Normal 5 9" xfId="1299" xr:uid="{00000000-0005-0000-0000-0000DB1B0000}"/>
    <cellStyle name="Normal 5 9 2" xfId="3529" xr:uid="{00000000-0005-0000-0000-0000DC1B0000}"/>
    <cellStyle name="Normal 5 9 2 2" xfId="7753" xr:uid="{00000000-0005-0000-0000-0000DD1B0000}"/>
    <cellStyle name="Normal 5 9 2 2 2" xfId="16182" xr:uid="{B346500E-7A6F-4629-AFB5-1D2D5E074B01}"/>
    <cellStyle name="Normal 5 9 2 3" xfId="11964" xr:uid="{A2DD7FD6-A827-4901-A2DD-387A6F46821B}"/>
    <cellStyle name="Normal 5 9 3" xfId="5608" xr:uid="{00000000-0005-0000-0000-0000DE1B0000}"/>
    <cellStyle name="Normal 5 9 3 2" xfId="14037" xr:uid="{A9E4496A-34A0-4F97-A534-D58BEDA96AA3}"/>
    <cellStyle name="Normal 5 9 4" xfId="9819" xr:uid="{39A3EEEA-B6B3-487D-9D4E-CA3C0D95784E}"/>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C2F43702-511F-4A13-9682-40E35A292E98}"/>
    <cellStyle name="Normal 8 10 2 3" xfId="12854" xr:uid="{73FA8B55-D31F-4DC4-AEAC-55BDB9434C3B}"/>
    <cellStyle name="Normal 8 10 3" xfId="6498" xr:uid="{00000000-0005-0000-0000-0000EA1B0000}"/>
    <cellStyle name="Normal 8 10 3 2" xfId="14927" xr:uid="{B99629B4-0477-492E-9B33-91FDAC2ED4C5}"/>
    <cellStyle name="Normal 8 10 4" xfId="10709" xr:uid="{546A2B29-8C98-404E-B080-2A4487FC37E0}"/>
    <cellStyle name="Normal 8 11" xfId="2626" xr:uid="{00000000-0005-0000-0000-0000EB1B0000}"/>
    <cellStyle name="Normal 8 11 2" xfId="6911" xr:uid="{00000000-0005-0000-0000-0000EC1B0000}"/>
    <cellStyle name="Normal 8 11 2 2" xfId="15340" xr:uid="{04BE78BC-6093-4317-96D8-F652AFB27736}"/>
    <cellStyle name="Normal 8 11 3" xfId="11122" xr:uid="{3C736E4D-4D44-4B93-B717-2030BC6790B4}"/>
    <cellStyle name="Normal 8 12" xfId="4846" xr:uid="{00000000-0005-0000-0000-0000ED1B0000}"/>
    <cellStyle name="Normal 8 12 2" xfId="13275" xr:uid="{2994DA6F-DD51-4C74-A1A2-115D10CA6F34}"/>
    <cellStyle name="Normal 8 13" xfId="9057" xr:uid="{72E01770-CBFD-40D0-8B4F-15DC79060AEE}"/>
    <cellStyle name="Normal 8 2" xfId="479" xr:uid="{00000000-0005-0000-0000-0000EE1B0000}"/>
    <cellStyle name="Normal 8 2 10" xfId="2627" xr:uid="{00000000-0005-0000-0000-0000EF1B0000}"/>
    <cellStyle name="Normal 8 2 10 2" xfId="6912" xr:uid="{00000000-0005-0000-0000-0000F01B0000}"/>
    <cellStyle name="Normal 8 2 10 2 2" xfId="15341" xr:uid="{BAA27ED3-1769-4CFB-84A8-14808D920D85}"/>
    <cellStyle name="Normal 8 2 10 3" xfId="11123" xr:uid="{B1A123D6-989D-42E2-98E9-A1C72A3FAF91}"/>
    <cellStyle name="Normal 8 2 11" xfId="4847" xr:uid="{00000000-0005-0000-0000-0000F11B0000}"/>
    <cellStyle name="Normal 8 2 11 2" xfId="13276" xr:uid="{7AC2CDF3-3E3A-4C1C-B51D-3873F612DCF5}"/>
    <cellStyle name="Normal 8 2 12" xfId="9058" xr:uid="{347AFA86-9450-4E82-B3C4-33E427BC2775}"/>
    <cellStyle name="Normal 8 2 2" xfId="480" xr:uid="{00000000-0005-0000-0000-0000F21B0000}"/>
    <cellStyle name="Normal 8 2 2 10" xfId="4848" xr:uid="{00000000-0005-0000-0000-0000F31B0000}"/>
    <cellStyle name="Normal 8 2 2 10 2" xfId="13277" xr:uid="{0B491B95-9934-4277-846D-5D15650B5B57}"/>
    <cellStyle name="Normal 8 2 2 11" xfId="9059" xr:uid="{17171E34-C037-43E2-83C6-FD6C635B4F33}"/>
    <cellStyle name="Normal 8 2 2 2" xfId="481" xr:uid="{00000000-0005-0000-0000-0000F41B0000}"/>
    <cellStyle name="Normal 8 2 2 2 10" xfId="9060" xr:uid="{9FA8AB90-A5B0-47B3-BF8A-B1B22345D7A2}"/>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73949210-770C-4235-9E12-323B896CC346}"/>
    <cellStyle name="Normal 8 2 2 2 2 2 2 2 3" xfId="11620" xr:uid="{C0046349-29A1-412B-8612-E0F14A055D5C}"/>
    <cellStyle name="Normal 8 2 2 2 2 2 2 3" xfId="5264" xr:uid="{00000000-0005-0000-0000-0000FA1B0000}"/>
    <cellStyle name="Normal 8 2 2 2 2 2 2 3 2" xfId="13693" xr:uid="{803B318E-DD29-415F-8B74-63BA4521CC65}"/>
    <cellStyle name="Normal 8 2 2 2 2 2 2 4" xfId="9475" xr:uid="{9C4FEEED-DAA9-47D9-B7A8-1DDF7F12C426}"/>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FC6134B7-EFFE-4AEB-9F2C-1FEABC3EBC61}"/>
    <cellStyle name="Normal 8 2 2 2 2 2 3 2 3" xfId="12033" xr:uid="{F0283626-4A57-4105-8109-F8B4B73F973F}"/>
    <cellStyle name="Normal 8 2 2 2 2 2 3 3" xfId="5677" xr:uid="{00000000-0005-0000-0000-0000FE1B0000}"/>
    <cellStyle name="Normal 8 2 2 2 2 2 3 3 2" xfId="14106" xr:uid="{82F01D25-DB0C-4AE6-A692-C080D5965543}"/>
    <cellStyle name="Normal 8 2 2 2 2 2 3 4" xfId="9888" xr:uid="{2645F61A-4571-45D9-BB01-9FE01CF6824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05F90361-7D21-4F5C-9A41-1B220C71830E}"/>
    <cellStyle name="Normal 8 2 2 2 2 2 4 2 3" xfId="12446" xr:uid="{DCD9D8A9-B3B9-44B6-9BE9-45E994623AE3}"/>
    <cellStyle name="Normal 8 2 2 2 2 2 4 3" xfId="6090" xr:uid="{00000000-0005-0000-0000-0000021C0000}"/>
    <cellStyle name="Normal 8 2 2 2 2 2 4 3 2" xfId="14519" xr:uid="{83BEB8AF-1F8B-43EC-94B0-0C89B62F30BB}"/>
    <cellStyle name="Normal 8 2 2 2 2 2 4 4" xfId="10301" xr:uid="{C19D19DD-C381-44B3-8670-6186E001D6F3}"/>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64F30AE0-CB33-482D-BC02-8F49621F2F6F}"/>
    <cellStyle name="Normal 8 2 2 2 2 2 5 2 3" xfId="12859" xr:uid="{771DBBFB-F115-4FAA-AA68-F0033117600E}"/>
    <cellStyle name="Normal 8 2 2 2 2 2 5 3" xfId="6503" xr:uid="{00000000-0005-0000-0000-0000061C0000}"/>
    <cellStyle name="Normal 8 2 2 2 2 2 5 3 2" xfId="14932" xr:uid="{1EE9A586-B930-46A9-AEAB-0ED8B9E31F31}"/>
    <cellStyle name="Normal 8 2 2 2 2 2 5 4" xfId="10714" xr:uid="{8C3FBD34-83BF-4CB1-95DA-CA8AF2A5ABBC}"/>
    <cellStyle name="Normal 8 2 2 2 2 2 6" xfId="2631" xr:uid="{00000000-0005-0000-0000-0000071C0000}"/>
    <cellStyle name="Normal 8 2 2 2 2 2 6 2" xfId="6916" xr:uid="{00000000-0005-0000-0000-0000081C0000}"/>
    <cellStyle name="Normal 8 2 2 2 2 2 6 2 2" xfId="15345" xr:uid="{D439D721-44AE-4E65-843C-B65BA4BDA63A}"/>
    <cellStyle name="Normal 8 2 2 2 2 2 6 3" xfId="11127" xr:uid="{7CE587DC-08CB-4F31-A23C-7178B4BB9D8F}"/>
    <cellStyle name="Normal 8 2 2 2 2 2 7" xfId="4851" xr:uid="{00000000-0005-0000-0000-0000091C0000}"/>
    <cellStyle name="Normal 8 2 2 2 2 2 7 2" xfId="13280" xr:uid="{D4B9BBE8-E0C7-4497-9E36-EB62114D011B}"/>
    <cellStyle name="Normal 8 2 2 2 2 2 8" xfId="9062" xr:uid="{04F6B78D-2706-4B39-A9C4-7122F61050E6}"/>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7657478E-1DDA-4243-8DB1-61B9A4DAD697}"/>
    <cellStyle name="Normal 8 2 2 2 2 3 2 3" xfId="11619" xr:uid="{D5E54F56-AAC3-4645-ACF9-08A9969DCAE7}"/>
    <cellStyle name="Normal 8 2 2 2 2 3 3" xfId="5263" xr:uid="{00000000-0005-0000-0000-00000D1C0000}"/>
    <cellStyle name="Normal 8 2 2 2 2 3 3 2" xfId="13692" xr:uid="{28556271-7015-4A96-ADBC-87EBC8502D51}"/>
    <cellStyle name="Normal 8 2 2 2 2 3 4" xfId="9474" xr:uid="{AE7A5BA5-558F-4480-928C-21147015A18F}"/>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10382665-29F6-4745-A536-E4F24D56749D}"/>
    <cellStyle name="Normal 8 2 2 2 2 4 2 3" xfId="12032" xr:uid="{2F2A39A3-1725-4C4A-A887-6049DECF279B}"/>
    <cellStyle name="Normal 8 2 2 2 2 4 3" xfId="5676" xr:uid="{00000000-0005-0000-0000-0000111C0000}"/>
    <cellStyle name="Normal 8 2 2 2 2 4 3 2" xfId="14105" xr:uid="{96B25606-5666-40A2-AA5A-B88A975C3E87}"/>
    <cellStyle name="Normal 8 2 2 2 2 4 4" xfId="9887" xr:uid="{830565F7-771F-4F24-AE3B-1F98FF678DFB}"/>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5095059C-F2DD-4A9F-95BC-3A02C3DFA7A1}"/>
    <cellStyle name="Normal 8 2 2 2 2 5 2 3" xfId="12445" xr:uid="{06FB6CD6-32B9-431A-93F4-09C30696304A}"/>
    <cellStyle name="Normal 8 2 2 2 2 5 3" xfId="6089" xr:uid="{00000000-0005-0000-0000-0000151C0000}"/>
    <cellStyle name="Normal 8 2 2 2 2 5 3 2" xfId="14518" xr:uid="{8272BA0F-4B70-46E4-B9FF-9D69D045DDC9}"/>
    <cellStyle name="Normal 8 2 2 2 2 5 4" xfId="10300" xr:uid="{F7AA8674-5806-4D26-B1AA-95FABE92D547}"/>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C5CB2740-C7DE-4ACF-89DA-6A2D5376C507}"/>
    <cellStyle name="Normal 8 2 2 2 2 6 2 3" xfId="12858" xr:uid="{F3689B15-8B41-478A-8F08-EDCBBF2597AF}"/>
    <cellStyle name="Normal 8 2 2 2 2 6 3" xfId="6502" xr:uid="{00000000-0005-0000-0000-0000191C0000}"/>
    <cellStyle name="Normal 8 2 2 2 2 6 3 2" xfId="14931" xr:uid="{2CD98691-E22E-4D2C-BF5D-BBB540EB7F02}"/>
    <cellStyle name="Normal 8 2 2 2 2 6 4" xfId="10713" xr:uid="{22A8976B-5EB7-428A-A30C-BA2296D86B80}"/>
    <cellStyle name="Normal 8 2 2 2 2 7" xfId="2630" xr:uid="{00000000-0005-0000-0000-00001A1C0000}"/>
    <cellStyle name="Normal 8 2 2 2 2 7 2" xfId="6915" xr:uid="{00000000-0005-0000-0000-00001B1C0000}"/>
    <cellStyle name="Normal 8 2 2 2 2 7 2 2" xfId="15344" xr:uid="{0A8C78DE-AA71-4AE1-8993-3213DB11DCEE}"/>
    <cellStyle name="Normal 8 2 2 2 2 7 3" xfId="11126" xr:uid="{27C0F7A7-7EB7-4253-BA22-B56C4D90E804}"/>
    <cellStyle name="Normal 8 2 2 2 2 8" xfId="4850" xr:uid="{00000000-0005-0000-0000-00001C1C0000}"/>
    <cellStyle name="Normal 8 2 2 2 2 8 2" xfId="13279" xr:uid="{ADF58261-CB08-4E3F-98E5-CCFB2F499EE2}"/>
    <cellStyle name="Normal 8 2 2 2 2 9" xfId="9061" xr:uid="{897AF83D-1A58-42EA-9798-2A80323E2D92}"/>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C9735236-0CB5-4C92-B8E1-DB83E2725751}"/>
    <cellStyle name="Normal 8 2 2 2 3 2 2 3" xfId="11621" xr:uid="{AF5D81BE-8543-47FA-AB2D-3BDA90A4733A}"/>
    <cellStyle name="Normal 8 2 2 2 3 2 3" xfId="5265" xr:uid="{00000000-0005-0000-0000-0000211C0000}"/>
    <cellStyle name="Normal 8 2 2 2 3 2 3 2" xfId="13694" xr:uid="{50EF9A08-310B-4914-A160-4FA81216D010}"/>
    <cellStyle name="Normal 8 2 2 2 3 2 4" xfId="9476" xr:uid="{71EE7487-49B2-48DA-8396-CD524D61E1D4}"/>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AF0F3ECD-B0DF-454F-85B3-D27450120AEC}"/>
    <cellStyle name="Normal 8 2 2 2 3 3 2 3" xfId="12034" xr:uid="{93FA399B-1F3C-4CB7-B0D1-87455DAC7AEC}"/>
    <cellStyle name="Normal 8 2 2 2 3 3 3" xfId="5678" xr:uid="{00000000-0005-0000-0000-0000251C0000}"/>
    <cellStyle name="Normal 8 2 2 2 3 3 3 2" xfId="14107" xr:uid="{EFC8FA6E-5313-4728-9F39-4F679CD0BF3F}"/>
    <cellStyle name="Normal 8 2 2 2 3 3 4" xfId="9889" xr:uid="{23C64204-FFAF-4E7D-B601-0540196F7D97}"/>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A90F4164-2DF5-4A85-B4DB-6A90F1E8A394}"/>
    <cellStyle name="Normal 8 2 2 2 3 4 2 3" xfId="12447" xr:uid="{A9147540-4F85-4DD2-9578-EE8E4DAD9E78}"/>
    <cellStyle name="Normal 8 2 2 2 3 4 3" xfId="6091" xr:uid="{00000000-0005-0000-0000-0000291C0000}"/>
    <cellStyle name="Normal 8 2 2 2 3 4 3 2" xfId="14520" xr:uid="{15944730-EB9A-4999-B302-CAC2B2992BC1}"/>
    <cellStyle name="Normal 8 2 2 2 3 4 4" xfId="10302" xr:uid="{463A3C5F-629F-479E-97D9-9E626D0AEB6E}"/>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4DBE42AB-C683-496C-B756-EDBCFCE7ACB9}"/>
    <cellStyle name="Normal 8 2 2 2 3 5 2 3" xfId="12860" xr:uid="{F8BFE10B-96D9-45A3-AF85-465040ADC1EA}"/>
    <cellStyle name="Normal 8 2 2 2 3 5 3" xfId="6504" xr:uid="{00000000-0005-0000-0000-00002D1C0000}"/>
    <cellStyle name="Normal 8 2 2 2 3 5 3 2" xfId="14933" xr:uid="{EB031219-B699-4ADF-B856-D9B61869EC48}"/>
    <cellStyle name="Normal 8 2 2 2 3 5 4" xfId="10715" xr:uid="{2591E552-F346-45C0-9D4C-9D844BD81E0D}"/>
    <cellStyle name="Normal 8 2 2 2 3 6" xfId="2632" xr:uid="{00000000-0005-0000-0000-00002E1C0000}"/>
    <cellStyle name="Normal 8 2 2 2 3 6 2" xfId="6917" xr:uid="{00000000-0005-0000-0000-00002F1C0000}"/>
    <cellStyle name="Normal 8 2 2 2 3 6 2 2" xfId="15346" xr:uid="{219C090C-0846-42C2-BE10-980C561BBB19}"/>
    <cellStyle name="Normal 8 2 2 2 3 6 3" xfId="11128" xr:uid="{C0EA26B0-8891-4CBF-BA06-01E1CE69EBDB}"/>
    <cellStyle name="Normal 8 2 2 2 3 7" xfId="4852" xr:uid="{00000000-0005-0000-0000-0000301C0000}"/>
    <cellStyle name="Normal 8 2 2 2 3 7 2" xfId="13281" xr:uid="{371E8228-C5F2-4401-A087-BA679337E678}"/>
    <cellStyle name="Normal 8 2 2 2 3 8" xfId="9063" xr:uid="{A15E5BE5-4B5B-45B6-862F-4E0A863427F2}"/>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C6380490-1249-40DF-8FF1-B3429F24D44F}"/>
    <cellStyle name="Normal 8 2 2 2 4 2 3" xfId="11618" xr:uid="{1F151307-9105-48A5-9E17-8DC7F44CEACC}"/>
    <cellStyle name="Normal 8 2 2 2 4 3" xfId="5262" xr:uid="{00000000-0005-0000-0000-0000341C0000}"/>
    <cellStyle name="Normal 8 2 2 2 4 3 2" xfId="13691" xr:uid="{0DFC7C3B-7D41-43A2-B7EE-FACB21D07176}"/>
    <cellStyle name="Normal 8 2 2 2 4 4" xfId="9473" xr:uid="{9BD9E7EE-FB68-4D20-AA01-FBA83D8E8E67}"/>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90E94EDE-FD55-49D1-84E9-2D641B9977B9}"/>
    <cellStyle name="Normal 8 2 2 2 5 2 3" xfId="12031" xr:uid="{3FD5BF88-5CC8-4EBA-A9F2-FF27A84808CE}"/>
    <cellStyle name="Normal 8 2 2 2 5 3" xfId="5675" xr:uid="{00000000-0005-0000-0000-0000381C0000}"/>
    <cellStyle name="Normal 8 2 2 2 5 3 2" xfId="14104" xr:uid="{93492F0A-9A48-441E-852D-632574BCF0EF}"/>
    <cellStyle name="Normal 8 2 2 2 5 4" xfId="9886" xr:uid="{D43BAF82-7BC0-481F-8993-2399993373F9}"/>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723A61FE-C1F3-41DF-9F83-B9EC8A6C1B84}"/>
    <cellStyle name="Normal 8 2 2 2 6 2 3" xfId="12444" xr:uid="{B3A5FCB6-A2CB-49DC-95E1-418F764B5A5C}"/>
    <cellStyle name="Normal 8 2 2 2 6 3" xfId="6088" xr:uid="{00000000-0005-0000-0000-00003C1C0000}"/>
    <cellStyle name="Normal 8 2 2 2 6 3 2" xfId="14517" xr:uid="{CDB21E83-4FBB-4AA2-8EA9-9C3802E1E7AC}"/>
    <cellStyle name="Normal 8 2 2 2 6 4" xfId="10299" xr:uid="{F490E748-6E30-459C-A5C4-D146E999AAA0}"/>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196EABA4-827D-4290-8D10-7D373127AA62}"/>
    <cellStyle name="Normal 8 2 2 2 7 2 3" xfId="12857" xr:uid="{40D4418B-FC21-4385-B300-44E994B87084}"/>
    <cellStyle name="Normal 8 2 2 2 7 3" xfId="6501" xr:uid="{00000000-0005-0000-0000-0000401C0000}"/>
    <cellStyle name="Normal 8 2 2 2 7 3 2" xfId="14930" xr:uid="{F3DF347C-8FD1-44E3-861B-1645BCF6B488}"/>
    <cellStyle name="Normal 8 2 2 2 7 4" xfId="10712" xr:uid="{9F786ECF-61CD-482B-985A-E6A731CDF3E2}"/>
    <cellStyle name="Normal 8 2 2 2 8" xfId="2629" xr:uid="{00000000-0005-0000-0000-0000411C0000}"/>
    <cellStyle name="Normal 8 2 2 2 8 2" xfId="6914" xr:uid="{00000000-0005-0000-0000-0000421C0000}"/>
    <cellStyle name="Normal 8 2 2 2 8 2 2" xfId="15343" xr:uid="{742E8B06-761F-41BD-AB6B-FA34F466FD2F}"/>
    <cellStyle name="Normal 8 2 2 2 8 3" xfId="11125" xr:uid="{430BC5FB-6161-44C4-931C-3B2BF9B02931}"/>
    <cellStyle name="Normal 8 2 2 2 9" xfId="4849" xr:uid="{00000000-0005-0000-0000-0000431C0000}"/>
    <cellStyle name="Normal 8 2 2 2 9 2" xfId="13278" xr:uid="{2CC989C3-0294-4FE9-AC51-55303E09F807}"/>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A6D38CAB-3487-4C30-A74A-F71E8D4708EB}"/>
    <cellStyle name="Normal 8 2 2 3 2 2 2 3" xfId="11623" xr:uid="{200C536A-FA98-4E68-B74C-986B9420CD8B}"/>
    <cellStyle name="Normal 8 2 2 3 2 2 3" xfId="5267" xr:uid="{00000000-0005-0000-0000-0000491C0000}"/>
    <cellStyle name="Normal 8 2 2 3 2 2 3 2" xfId="13696" xr:uid="{1E97DE0D-6570-4A2E-B190-6C7148F32911}"/>
    <cellStyle name="Normal 8 2 2 3 2 2 4" xfId="9478" xr:uid="{2B6F51EA-A6D1-4010-A299-2EB9640AFDC9}"/>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47D78014-CE4E-4030-8778-4B1D6EFC3E67}"/>
    <cellStyle name="Normal 8 2 2 3 2 3 2 3" xfId="12036" xr:uid="{05CF1F15-7996-45DC-AB78-C7D950F7AF01}"/>
    <cellStyle name="Normal 8 2 2 3 2 3 3" xfId="5680" xr:uid="{00000000-0005-0000-0000-00004D1C0000}"/>
    <cellStyle name="Normal 8 2 2 3 2 3 3 2" xfId="14109" xr:uid="{01AE45AB-93C5-45BA-8D50-9A4D9EF72FA8}"/>
    <cellStyle name="Normal 8 2 2 3 2 3 4" xfId="9891" xr:uid="{25B6B8D2-B43C-4F52-9560-9624BED9C41E}"/>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897DD9FA-4A78-47D4-906B-9A13CE8E72C9}"/>
    <cellStyle name="Normal 8 2 2 3 2 4 2 3" xfId="12449" xr:uid="{86041732-C55B-40FF-AD53-9C18268CEFAF}"/>
    <cellStyle name="Normal 8 2 2 3 2 4 3" xfId="6093" xr:uid="{00000000-0005-0000-0000-0000511C0000}"/>
    <cellStyle name="Normal 8 2 2 3 2 4 3 2" xfId="14522" xr:uid="{59ECEB6C-AC4D-45DE-A160-7A43554E0AD2}"/>
    <cellStyle name="Normal 8 2 2 3 2 4 4" xfId="10304" xr:uid="{9770FD47-E3DD-427B-B875-0710BA7206D2}"/>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EB79B525-FAAC-4805-99B2-009545BE4BC1}"/>
    <cellStyle name="Normal 8 2 2 3 2 5 2 3" xfId="12862" xr:uid="{C39AB008-D7D6-4523-AB02-8E78A1D8B363}"/>
    <cellStyle name="Normal 8 2 2 3 2 5 3" xfId="6506" xr:uid="{00000000-0005-0000-0000-0000551C0000}"/>
    <cellStyle name="Normal 8 2 2 3 2 5 3 2" xfId="14935" xr:uid="{B13ADEEE-CD33-47B8-81C7-63833854BA02}"/>
    <cellStyle name="Normal 8 2 2 3 2 5 4" xfId="10717" xr:uid="{3681EC28-E038-406D-9B0F-0C118B8A1C74}"/>
    <cellStyle name="Normal 8 2 2 3 2 6" xfId="2634" xr:uid="{00000000-0005-0000-0000-0000561C0000}"/>
    <cellStyle name="Normal 8 2 2 3 2 6 2" xfId="6919" xr:uid="{00000000-0005-0000-0000-0000571C0000}"/>
    <cellStyle name="Normal 8 2 2 3 2 6 2 2" xfId="15348" xr:uid="{F5ECB30B-9E38-4FC5-B0C8-EC87D958B91E}"/>
    <cellStyle name="Normal 8 2 2 3 2 6 3" xfId="11130" xr:uid="{6203894D-6091-4561-8425-51139A2AA2D1}"/>
    <cellStyle name="Normal 8 2 2 3 2 7" xfId="4854" xr:uid="{00000000-0005-0000-0000-0000581C0000}"/>
    <cellStyle name="Normal 8 2 2 3 2 7 2" xfId="13283" xr:uid="{55CBADB1-9AF9-4C7B-9FCF-B5AF1A21A4EE}"/>
    <cellStyle name="Normal 8 2 2 3 2 8" xfId="9065" xr:uid="{F6F51D60-175B-4507-84DF-B64B89C6FE7C}"/>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559CEF8D-9441-4C17-888E-5C6810EC755F}"/>
    <cellStyle name="Normal 8 2 2 3 3 2 3" xfId="11622" xr:uid="{987F0894-27AC-40FD-8715-89B4A7AAD122}"/>
    <cellStyle name="Normal 8 2 2 3 3 3" xfId="5266" xr:uid="{00000000-0005-0000-0000-00005C1C0000}"/>
    <cellStyle name="Normal 8 2 2 3 3 3 2" xfId="13695" xr:uid="{0B394BD0-3477-49C6-8BE8-DDE98D0FF0FC}"/>
    <cellStyle name="Normal 8 2 2 3 3 4" xfId="9477" xr:uid="{3FCEFB3E-29D0-4109-98FC-1A1716C7E31D}"/>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951F38E7-FC1D-4C8E-AD97-2EEF8A6330BE}"/>
    <cellStyle name="Normal 8 2 2 3 4 2 3" xfId="12035" xr:uid="{A1496471-5C09-4119-B731-62E73A46D263}"/>
    <cellStyle name="Normal 8 2 2 3 4 3" xfId="5679" xr:uid="{00000000-0005-0000-0000-0000601C0000}"/>
    <cellStyle name="Normal 8 2 2 3 4 3 2" xfId="14108" xr:uid="{4D1FAEEB-38DE-4E16-BC72-2603F1D53354}"/>
    <cellStyle name="Normal 8 2 2 3 4 4" xfId="9890" xr:uid="{97393ABF-2A57-4F88-9E65-FB6A6F116512}"/>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EB2C6243-3FC2-4D5B-B132-0BE9223D3BC3}"/>
    <cellStyle name="Normal 8 2 2 3 5 2 3" xfId="12448" xr:uid="{0FF3EE77-4045-4FE3-9BC6-690509343FA0}"/>
    <cellStyle name="Normal 8 2 2 3 5 3" xfId="6092" xr:uid="{00000000-0005-0000-0000-0000641C0000}"/>
    <cellStyle name="Normal 8 2 2 3 5 3 2" xfId="14521" xr:uid="{C944C60F-D2F0-4DF7-8DF2-BE1CD976951F}"/>
    <cellStyle name="Normal 8 2 2 3 5 4" xfId="10303" xr:uid="{4AF9FB10-9017-400A-8781-11423311541F}"/>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46B3AA4B-A9BB-4B2E-966A-AAF69D954F6B}"/>
    <cellStyle name="Normal 8 2 2 3 6 2 3" xfId="12861" xr:uid="{6FDFE851-AD9F-49EA-B3CC-AED4B6441FFE}"/>
    <cellStyle name="Normal 8 2 2 3 6 3" xfId="6505" xr:uid="{00000000-0005-0000-0000-0000681C0000}"/>
    <cellStyle name="Normal 8 2 2 3 6 3 2" xfId="14934" xr:uid="{A8BECE32-1D60-4D5D-826D-71BAFD6DFA00}"/>
    <cellStyle name="Normal 8 2 2 3 6 4" xfId="10716" xr:uid="{68082676-0089-4DA0-8A43-D74A8B65E544}"/>
    <cellStyle name="Normal 8 2 2 3 7" xfId="2633" xr:uid="{00000000-0005-0000-0000-0000691C0000}"/>
    <cellStyle name="Normal 8 2 2 3 7 2" xfId="6918" xr:uid="{00000000-0005-0000-0000-00006A1C0000}"/>
    <cellStyle name="Normal 8 2 2 3 7 2 2" xfId="15347" xr:uid="{D32F231F-E023-4AB7-964A-B184B2F1A2A5}"/>
    <cellStyle name="Normal 8 2 2 3 7 3" xfId="11129" xr:uid="{DA601FDB-64AE-45D9-8787-E83435DCD22A}"/>
    <cellStyle name="Normal 8 2 2 3 8" xfId="4853" xr:uid="{00000000-0005-0000-0000-00006B1C0000}"/>
    <cellStyle name="Normal 8 2 2 3 8 2" xfId="13282" xr:uid="{037809F3-EA40-4ADD-8D6D-514DCB523401}"/>
    <cellStyle name="Normal 8 2 2 3 9" xfId="9064" xr:uid="{1CAA7487-DA01-49A2-B4E3-F8694C98AEFC}"/>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CF7CA744-4E09-4D3F-ABBA-158F86A34ECA}"/>
    <cellStyle name="Normal 8 2 2 4 2 2 3" xfId="11624" xr:uid="{2F6F917B-C3D1-4877-80FD-D027999F22CC}"/>
    <cellStyle name="Normal 8 2 2 4 2 3" xfId="5268" xr:uid="{00000000-0005-0000-0000-0000701C0000}"/>
    <cellStyle name="Normal 8 2 2 4 2 3 2" xfId="13697" xr:uid="{8A888084-1060-49B9-9F73-FEAEB457C154}"/>
    <cellStyle name="Normal 8 2 2 4 2 4" xfId="9479" xr:uid="{EB9A64B9-10B2-48CE-B8FC-5E8EF6ACA0DB}"/>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D13E26A2-BB00-456B-924E-E999B65E980B}"/>
    <cellStyle name="Normal 8 2 2 4 3 2 3" xfId="12037" xr:uid="{5213BA31-9521-48A6-9CEF-292A992FD1F9}"/>
    <cellStyle name="Normal 8 2 2 4 3 3" xfId="5681" xr:uid="{00000000-0005-0000-0000-0000741C0000}"/>
    <cellStyle name="Normal 8 2 2 4 3 3 2" xfId="14110" xr:uid="{FB675FCF-BA6C-4B51-B7EB-2D1C0EBA3C71}"/>
    <cellStyle name="Normal 8 2 2 4 3 4" xfId="9892" xr:uid="{33241FDF-1570-4C5C-8593-312C47B2A8A9}"/>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2D76D4AB-61DB-4EBE-AB84-FD0F0F14FFC1}"/>
    <cellStyle name="Normal 8 2 2 4 4 2 3" xfId="12450" xr:uid="{370641CF-0440-45FA-901A-87551FA5AA31}"/>
    <cellStyle name="Normal 8 2 2 4 4 3" xfId="6094" xr:uid="{00000000-0005-0000-0000-0000781C0000}"/>
    <cellStyle name="Normal 8 2 2 4 4 3 2" xfId="14523" xr:uid="{5B261336-8278-4B44-AC20-5624D1D5946D}"/>
    <cellStyle name="Normal 8 2 2 4 4 4" xfId="10305" xr:uid="{4F5788B9-2E46-491F-9788-47A31A651B65}"/>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534CB2FC-09D5-46C1-9BEA-03B08E52A756}"/>
    <cellStyle name="Normal 8 2 2 4 5 2 3" xfId="12863" xr:uid="{D817C527-2B52-482D-A5EF-0FB19797CDBD}"/>
    <cellStyle name="Normal 8 2 2 4 5 3" xfId="6507" xr:uid="{00000000-0005-0000-0000-00007C1C0000}"/>
    <cellStyle name="Normal 8 2 2 4 5 3 2" xfId="14936" xr:uid="{74CC4109-363A-42A7-A7B9-18849F43D83F}"/>
    <cellStyle name="Normal 8 2 2 4 5 4" xfId="10718" xr:uid="{CFB53F8F-4644-40CC-85C2-8DA1F9A9C1C4}"/>
    <cellStyle name="Normal 8 2 2 4 6" xfId="2635" xr:uid="{00000000-0005-0000-0000-00007D1C0000}"/>
    <cellStyle name="Normal 8 2 2 4 6 2" xfId="6920" xr:uid="{00000000-0005-0000-0000-00007E1C0000}"/>
    <cellStyle name="Normal 8 2 2 4 6 2 2" xfId="15349" xr:uid="{36BAA2A9-7640-46B0-A7FF-4E81E3C535B3}"/>
    <cellStyle name="Normal 8 2 2 4 6 3" xfId="11131" xr:uid="{3EED6CDA-5D08-433A-B0D7-1EC0D6C30D1A}"/>
    <cellStyle name="Normal 8 2 2 4 7" xfId="4855" xr:uid="{00000000-0005-0000-0000-00007F1C0000}"/>
    <cellStyle name="Normal 8 2 2 4 7 2" xfId="13284" xr:uid="{DA9EB61B-23CF-4930-A648-0E16517314A2}"/>
    <cellStyle name="Normal 8 2 2 4 8" xfId="9066" xr:uid="{DC50AC99-33AB-4669-9B65-530365AE1EE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0ECD2FC5-B8FD-48EC-B93D-AFD2B6F0DFA5}"/>
    <cellStyle name="Normal 8 2 2 5 2 3" xfId="11617" xr:uid="{729373DF-A2C8-467A-85B6-50801A3237A0}"/>
    <cellStyle name="Normal 8 2 2 5 3" xfId="5261" xr:uid="{00000000-0005-0000-0000-0000831C0000}"/>
    <cellStyle name="Normal 8 2 2 5 3 2" xfId="13690" xr:uid="{916FA2FA-7A28-4F30-BFF1-CCF8B0C2F8CD}"/>
    <cellStyle name="Normal 8 2 2 5 4" xfId="9472" xr:uid="{FF860ED9-E88C-4EC1-8C93-97C53DDCE26A}"/>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0C442DBA-96FD-4A24-B866-122CAB2E7353}"/>
    <cellStyle name="Normal 8 2 2 6 2 3" xfId="12030" xr:uid="{160A08B1-B87B-4C1D-A246-CF252F5F8B64}"/>
    <cellStyle name="Normal 8 2 2 6 3" xfId="5674" xr:uid="{00000000-0005-0000-0000-0000871C0000}"/>
    <cellStyle name="Normal 8 2 2 6 3 2" xfId="14103" xr:uid="{DE1B71FD-C9DD-43E3-8089-A95309560E61}"/>
    <cellStyle name="Normal 8 2 2 6 4" xfId="9885" xr:uid="{CE6153B8-6239-4B3F-8E53-2985EB48BE30}"/>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4B1AE7EF-BDEC-4E7F-A218-E0986D0A15BD}"/>
    <cellStyle name="Normal 8 2 2 7 2 3" xfId="12443" xr:uid="{5B4A23A0-126A-4C75-8ED6-A60355907A1B}"/>
    <cellStyle name="Normal 8 2 2 7 3" xfId="6087" xr:uid="{00000000-0005-0000-0000-00008B1C0000}"/>
    <cellStyle name="Normal 8 2 2 7 3 2" xfId="14516" xr:uid="{417C7305-60C0-4A58-982B-5F900B63DDEC}"/>
    <cellStyle name="Normal 8 2 2 7 4" xfId="10298" xr:uid="{B3330A2A-AB08-439A-8EB9-9640014A50F4}"/>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64FB21E3-C526-460E-A897-42C3EB532A03}"/>
    <cellStyle name="Normal 8 2 2 8 2 3" xfId="12856" xr:uid="{92BCDB90-1F9C-4B4F-A048-6CE754BE18B3}"/>
    <cellStyle name="Normal 8 2 2 8 3" xfId="6500" xr:uid="{00000000-0005-0000-0000-00008F1C0000}"/>
    <cellStyle name="Normal 8 2 2 8 3 2" xfId="14929" xr:uid="{0ACA7F0C-2401-42D8-9F18-9BF83D8E4308}"/>
    <cellStyle name="Normal 8 2 2 8 4" xfId="10711" xr:uid="{50723E34-DD63-4485-8CDA-4FE9CC485B05}"/>
    <cellStyle name="Normal 8 2 2 9" xfId="2628" xr:uid="{00000000-0005-0000-0000-0000901C0000}"/>
    <cellStyle name="Normal 8 2 2 9 2" xfId="6913" xr:uid="{00000000-0005-0000-0000-0000911C0000}"/>
    <cellStyle name="Normal 8 2 2 9 2 2" xfId="15342" xr:uid="{C220FC33-1B53-4429-8339-960E16A61102}"/>
    <cellStyle name="Normal 8 2 2 9 3" xfId="11124" xr:uid="{336ACD77-140A-4BE7-AC3D-AB6E9DB36618}"/>
    <cellStyle name="Normal 8 2 3" xfId="488" xr:uid="{00000000-0005-0000-0000-0000921C0000}"/>
    <cellStyle name="Normal 8 2 3 10" xfId="9067" xr:uid="{A01F0AEC-193C-4675-9C69-5E241B7569F2}"/>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57A17D8E-9F7E-4DBA-85F1-015E3B73D3C5}"/>
    <cellStyle name="Normal 8 2 3 2 2 2 2 3" xfId="11627" xr:uid="{2C5A58ED-B208-4620-934C-9E4E2CD46E64}"/>
    <cellStyle name="Normal 8 2 3 2 2 2 3" xfId="5271" xr:uid="{00000000-0005-0000-0000-0000981C0000}"/>
    <cellStyle name="Normal 8 2 3 2 2 2 3 2" xfId="13700" xr:uid="{E38F0BA8-4FA9-4D2A-9632-E1145975DC0F}"/>
    <cellStyle name="Normal 8 2 3 2 2 2 4" xfId="9482" xr:uid="{53B9C77C-0333-455D-8B9C-17E3E2ECF6DB}"/>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C881AB6A-BAC8-488E-A0B9-78D05E885B35}"/>
    <cellStyle name="Normal 8 2 3 2 2 3 2 3" xfId="12040" xr:uid="{2E14378E-29D4-4CAE-BE3E-28250A6DF5C2}"/>
    <cellStyle name="Normal 8 2 3 2 2 3 3" xfId="5684" xr:uid="{00000000-0005-0000-0000-00009C1C0000}"/>
    <cellStyle name="Normal 8 2 3 2 2 3 3 2" xfId="14113" xr:uid="{9D12AEA5-C693-4591-909D-46C5FB0865DD}"/>
    <cellStyle name="Normal 8 2 3 2 2 3 4" xfId="9895" xr:uid="{51464061-7251-4383-A87C-7954B247ABC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312F5E76-C5DC-4B95-B446-13A7E47FE1E8}"/>
    <cellStyle name="Normal 8 2 3 2 2 4 2 3" xfId="12453" xr:uid="{9DE63796-B326-4E8E-905C-9A8439BAF365}"/>
    <cellStyle name="Normal 8 2 3 2 2 4 3" xfId="6097" xr:uid="{00000000-0005-0000-0000-0000A01C0000}"/>
    <cellStyle name="Normal 8 2 3 2 2 4 3 2" xfId="14526" xr:uid="{E61E4C30-0693-4E7F-9A33-D3713D3BC238}"/>
    <cellStyle name="Normal 8 2 3 2 2 4 4" xfId="10308" xr:uid="{BAF11AD7-A126-4710-A9D7-FF16067B374F}"/>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59E518EC-EE70-4A55-BB28-B39439D3099E}"/>
    <cellStyle name="Normal 8 2 3 2 2 5 2 3" xfId="12866" xr:uid="{D9138EF1-159C-4E4F-B473-B8983536988A}"/>
    <cellStyle name="Normal 8 2 3 2 2 5 3" xfId="6510" xr:uid="{00000000-0005-0000-0000-0000A41C0000}"/>
    <cellStyle name="Normal 8 2 3 2 2 5 3 2" xfId="14939" xr:uid="{F5CA0081-537C-42A2-8F9E-6C9988001040}"/>
    <cellStyle name="Normal 8 2 3 2 2 5 4" xfId="10721" xr:uid="{4AE240CB-2FC2-4999-9902-D4460A86479F}"/>
    <cellStyle name="Normal 8 2 3 2 2 6" xfId="2638" xr:uid="{00000000-0005-0000-0000-0000A51C0000}"/>
    <cellStyle name="Normal 8 2 3 2 2 6 2" xfId="6923" xr:uid="{00000000-0005-0000-0000-0000A61C0000}"/>
    <cellStyle name="Normal 8 2 3 2 2 6 2 2" xfId="15352" xr:uid="{2BF3B85C-04F2-4C01-9184-35A5552C6BB6}"/>
    <cellStyle name="Normal 8 2 3 2 2 6 3" xfId="11134" xr:uid="{D9653881-5BBC-4AC8-AD5D-FC32B0D1FCFF}"/>
    <cellStyle name="Normal 8 2 3 2 2 7" xfId="4858" xr:uid="{00000000-0005-0000-0000-0000A71C0000}"/>
    <cellStyle name="Normal 8 2 3 2 2 7 2" xfId="13287" xr:uid="{3B5EF429-7A2C-49EF-881F-8D09DA6D9C0C}"/>
    <cellStyle name="Normal 8 2 3 2 2 8" xfId="9069" xr:uid="{FFCD97AE-FC28-44D4-8649-2AA40386C733}"/>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B60FDAA0-5B3F-4794-9129-7BA1F7F345E5}"/>
    <cellStyle name="Normal 8 2 3 2 3 2 3" xfId="11626" xr:uid="{B5776DCF-785B-4D19-AB5F-2D3F77F64E5C}"/>
    <cellStyle name="Normal 8 2 3 2 3 3" xfId="5270" xr:uid="{00000000-0005-0000-0000-0000AB1C0000}"/>
    <cellStyle name="Normal 8 2 3 2 3 3 2" xfId="13699" xr:uid="{59856669-B3EF-42FC-89A6-E535453C7DEA}"/>
    <cellStyle name="Normal 8 2 3 2 3 4" xfId="9481" xr:uid="{270BBD5A-CAB4-496B-AC6A-27292AE4CD67}"/>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BE03A41E-A528-4A09-BA9B-0D29CEC295D5}"/>
    <cellStyle name="Normal 8 2 3 2 4 2 3" xfId="12039" xr:uid="{C959105E-3EE0-4638-BA08-A4F5F6C49B77}"/>
    <cellStyle name="Normal 8 2 3 2 4 3" xfId="5683" xr:uid="{00000000-0005-0000-0000-0000AF1C0000}"/>
    <cellStyle name="Normal 8 2 3 2 4 3 2" xfId="14112" xr:uid="{9336634B-C1D5-482C-B82A-9573D8CFD5E8}"/>
    <cellStyle name="Normal 8 2 3 2 4 4" xfId="9894" xr:uid="{BAC11371-7A2E-4127-99B4-BA419C81F73C}"/>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B70FC4DD-ABF0-4F31-A630-346104F2590B}"/>
    <cellStyle name="Normal 8 2 3 2 5 2 3" xfId="12452" xr:uid="{44A72E57-FA7A-4BBD-8986-448B522A04AA}"/>
    <cellStyle name="Normal 8 2 3 2 5 3" xfId="6096" xr:uid="{00000000-0005-0000-0000-0000B31C0000}"/>
    <cellStyle name="Normal 8 2 3 2 5 3 2" xfId="14525" xr:uid="{9E541EC5-8336-42CF-870D-6E8B9981B8AF}"/>
    <cellStyle name="Normal 8 2 3 2 5 4" xfId="10307" xr:uid="{F0C9810D-0146-4998-8A59-3888BC647ABF}"/>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74D12B65-6936-48D3-B515-FF5413F076B0}"/>
    <cellStyle name="Normal 8 2 3 2 6 2 3" xfId="12865" xr:uid="{EBE02A57-F348-4EB3-B15B-967693C55019}"/>
    <cellStyle name="Normal 8 2 3 2 6 3" xfId="6509" xr:uid="{00000000-0005-0000-0000-0000B71C0000}"/>
    <cellStyle name="Normal 8 2 3 2 6 3 2" xfId="14938" xr:uid="{3E33B1D4-A154-4A79-8224-019036E48222}"/>
    <cellStyle name="Normal 8 2 3 2 6 4" xfId="10720" xr:uid="{05C81A89-A349-4EE3-9B70-136979DB5126}"/>
    <cellStyle name="Normal 8 2 3 2 7" xfId="2637" xr:uid="{00000000-0005-0000-0000-0000B81C0000}"/>
    <cellStyle name="Normal 8 2 3 2 7 2" xfId="6922" xr:uid="{00000000-0005-0000-0000-0000B91C0000}"/>
    <cellStyle name="Normal 8 2 3 2 7 2 2" xfId="15351" xr:uid="{D5ACC629-F2AE-4F6C-91C0-2CB001736DE9}"/>
    <cellStyle name="Normal 8 2 3 2 7 3" xfId="11133" xr:uid="{47514D9D-8BB1-42CF-A223-499EB1578FBD}"/>
    <cellStyle name="Normal 8 2 3 2 8" xfId="4857" xr:uid="{00000000-0005-0000-0000-0000BA1C0000}"/>
    <cellStyle name="Normal 8 2 3 2 8 2" xfId="13286" xr:uid="{E6D543D2-B3B6-483E-804D-C5F2FF3AE067}"/>
    <cellStyle name="Normal 8 2 3 2 9" xfId="9068" xr:uid="{C29E7321-3977-4FB3-89B8-3099CA2971A8}"/>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B457FF48-2D5D-4370-AEE9-95F37333AECE}"/>
    <cellStyle name="Normal 8 2 3 3 2 2 3" xfId="11628" xr:uid="{AD25CDBF-F313-4554-886E-3E40BD095B4E}"/>
    <cellStyle name="Normal 8 2 3 3 2 3" xfId="5272" xr:uid="{00000000-0005-0000-0000-0000BF1C0000}"/>
    <cellStyle name="Normal 8 2 3 3 2 3 2" xfId="13701" xr:uid="{BBEA43D0-DA1B-49D2-9ABF-B312554B644B}"/>
    <cellStyle name="Normal 8 2 3 3 2 4" xfId="9483" xr:uid="{93092C5C-0D5C-47EB-9F59-E8EA858803F5}"/>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AD0547E4-35E3-459B-BE32-02603BB4D7AE}"/>
    <cellStyle name="Normal 8 2 3 3 3 2 3" xfId="12041" xr:uid="{9293A76A-5A3E-4218-B7C8-B253568E254F}"/>
    <cellStyle name="Normal 8 2 3 3 3 3" xfId="5685" xr:uid="{00000000-0005-0000-0000-0000C31C0000}"/>
    <cellStyle name="Normal 8 2 3 3 3 3 2" xfId="14114" xr:uid="{1E0AF75B-A7AD-4B79-911D-9529395B35E9}"/>
    <cellStyle name="Normal 8 2 3 3 3 4" xfId="9896" xr:uid="{84F9923D-2695-4ECF-8F0F-80F9C6CA3D69}"/>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A7F71A84-3788-4939-9E23-C664D8EFA2C0}"/>
    <cellStyle name="Normal 8 2 3 3 4 2 3" xfId="12454" xr:uid="{51EAC41D-B380-4AA9-A2B7-0EC1A8D01065}"/>
    <cellStyle name="Normal 8 2 3 3 4 3" xfId="6098" xr:uid="{00000000-0005-0000-0000-0000C71C0000}"/>
    <cellStyle name="Normal 8 2 3 3 4 3 2" xfId="14527" xr:uid="{0C06EF5B-AB26-4A4E-86C8-4B7CEC6D6FC1}"/>
    <cellStyle name="Normal 8 2 3 3 4 4" xfId="10309" xr:uid="{6D42FD61-938C-4D5B-BDDB-EC10534DFA10}"/>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90C21CE7-8141-4E04-835F-79E2D9A84C42}"/>
    <cellStyle name="Normal 8 2 3 3 5 2 3" xfId="12867" xr:uid="{5DD5664C-9DF5-478D-95A3-48A09A128D76}"/>
    <cellStyle name="Normal 8 2 3 3 5 3" xfId="6511" xr:uid="{00000000-0005-0000-0000-0000CB1C0000}"/>
    <cellStyle name="Normal 8 2 3 3 5 3 2" xfId="14940" xr:uid="{5CD0C643-CAC3-4ED3-84CF-F47B641AEBA2}"/>
    <cellStyle name="Normal 8 2 3 3 5 4" xfId="10722" xr:uid="{7AB1DBCC-5A2A-4228-B79D-06AA55F66189}"/>
    <cellStyle name="Normal 8 2 3 3 6" xfId="2639" xr:uid="{00000000-0005-0000-0000-0000CC1C0000}"/>
    <cellStyle name="Normal 8 2 3 3 6 2" xfId="6924" xr:uid="{00000000-0005-0000-0000-0000CD1C0000}"/>
    <cellStyle name="Normal 8 2 3 3 6 2 2" xfId="15353" xr:uid="{4A01CA7B-F9D0-4569-93BD-FC64675B79BD}"/>
    <cellStyle name="Normal 8 2 3 3 6 3" xfId="11135" xr:uid="{0205D697-E9E0-41FD-8BBC-546818ABBAF6}"/>
    <cellStyle name="Normal 8 2 3 3 7" xfId="4859" xr:uid="{00000000-0005-0000-0000-0000CE1C0000}"/>
    <cellStyle name="Normal 8 2 3 3 7 2" xfId="13288" xr:uid="{EA8999E9-648C-4E63-8A75-9882FE4B6E35}"/>
    <cellStyle name="Normal 8 2 3 3 8" xfId="9070" xr:uid="{77AC5CAD-DF70-4443-A080-28AB88DFD17F}"/>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B04E9FDD-9AA6-47BC-A80A-F040AC597495}"/>
    <cellStyle name="Normal 8 2 3 4 2 3" xfId="11625" xr:uid="{534A16F7-BE53-4265-B6B0-61970A90B084}"/>
    <cellStyle name="Normal 8 2 3 4 3" xfId="5269" xr:uid="{00000000-0005-0000-0000-0000D21C0000}"/>
    <cellStyle name="Normal 8 2 3 4 3 2" xfId="13698" xr:uid="{732BB409-0FA9-4087-B84F-4B236E76EB20}"/>
    <cellStyle name="Normal 8 2 3 4 4" xfId="9480" xr:uid="{12A41BDF-8AA2-4045-A791-DC08FCD24245}"/>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A10012B4-5FDC-469C-90C7-B1CB24C070A3}"/>
    <cellStyle name="Normal 8 2 3 5 2 3" xfId="12038" xr:uid="{81A21CBD-E6C6-4EBD-A1D0-51B6B1196372}"/>
    <cellStyle name="Normal 8 2 3 5 3" xfId="5682" xr:uid="{00000000-0005-0000-0000-0000D61C0000}"/>
    <cellStyle name="Normal 8 2 3 5 3 2" xfId="14111" xr:uid="{5354FA16-FE98-40ED-9CDC-CE3F105BB744}"/>
    <cellStyle name="Normal 8 2 3 5 4" xfId="9893" xr:uid="{C4983936-55B0-4DA5-B550-7EB3202BC126}"/>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C69E890C-C4A9-40ED-B9E8-406B5D7D0433}"/>
    <cellStyle name="Normal 8 2 3 6 2 3" xfId="12451" xr:uid="{4212C84F-EB95-49F4-AE05-7D66FD8F0FAB}"/>
    <cellStyle name="Normal 8 2 3 6 3" xfId="6095" xr:uid="{00000000-0005-0000-0000-0000DA1C0000}"/>
    <cellStyle name="Normal 8 2 3 6 3 2" xfId="14524" xr:uid="{1A1A4875-A94E-46BF-A549-2A565C62D6BC}"/>
    <cellStyle name="Normal 8 2 3 6 4" xfId="10306" xr:uid="{3DFB58B1-19CF-4A53-8474-2E79C24B826A}"/>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2C04B481-1B96-4CED-96B0-29A80C9AAD07}"/>
    <cellStyle name="Normal 8 2 3 7 2 3" xfId="12864" xr:uid="{7BAA8B74-2E06-4605-BCBB-3D5EE4BCB6BA}"/>
    <cellStyle name="Normal 8 2 3 7 3" xfId="6508" xr:uid="{00000000-0005-0000-0000-0000DE1C0000}"/>
    <cellStyle name="Normal 8 2 3 7 3 2" xfId="14937" xr:uid="{CC40C3C3-1E2E-465D-AFE3-3C316D2EA79C}"/>
    <cellStyle name="Normal 8 2 3 7 4" xfId="10719" xr:uid="{326AF2A8-564D-4E57-BEED-A5D5BBE0D303}"/>
    <cellStyle name="Normal 8 2 3 8" xfId="2636" xr:uid="{00000000-0005-0000-0000-0000DF1C0000}"/>
    <cellStyle name="Normal 8 2 3 8 2" xfId="6921" xr:uid="{00000000-0005-0000-0000-0000E01C0000}"/>
    <cellStyle name="Normal 8 2 3 8 2 2" xfId="15350" xr:uid="{8343C02D-6A62-401D-94C4-C19859440B15}"/>
    <cellStyle name="Normal 8 2 3 8 3" xfId="11132" xr:uid="{C8E54E81-F04D-4AD0-9E35-015ECB316A75}"/>
    <cellStyle name="Normal 8 2 3 9" xfId="4856" xr:uid="{00000000-0005-0000-0000-0000E11C0000}"/>
    <cellStyle name="Normal 8 2 3 9 2" xfId="13285" xr:uid="{84661D54-FB49-486F-B700-A737EC351D18}"/>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F1A46DAA-3734-4E8E-8617-EFAE20413658}"/>
    <cellStyle name="Normal 8 2 4 2 2 2 3" xfId="11630" xr:uid="{3E8F35CA-AD95-402F-B37B-4955FB41E04D}"/>
    <cellStyle name="Normal 8 2 4 2 2 3" xfId="5274" xr:uid="{00000000-0005-0000-0000-0000E71C0000}"/>
    <cellStyle name="Normal 8 2 4 2 2 3 2" xfId="13703" xr:uid="{F4FEDD1E-3B5D-4A6A-BA9A-410A28BB7579}"/>
    <cellStyle name="Normal 8 2 4 2 2 4" xfId="9485" xr:uid="{62FAFE60-BE3B-4216-B7DE-573A89CB029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9DEBE1CF-26E2-4608-BCC6-C7F45826888F}"/>
    <cellStyle name="Normal 8 2 4 2 3 2 3" xfId="12043" xr:uid="{636CCF01-F0EE-409B-96DA-9CE238C94D9C}"/>
    <cellStyle name="Normal 8 2 4 2 3 3" xfId="5687" xr:uid="{00000000-0005-0000-0000-0000EB1C0000}"/>
    <cellStyle name="Normal 8 2 4 2 3 3 2" xfId="14116" xr:uid="{B694F6FE-D328-49FA-A1E2-C9DC2411B5C6}"/>
    <cellStyle name="Normal 8 2 4 2 3 4" xfId="9898" xr:uid="{CD32E945-5993-41F9-865B-A8DBEF90D86D}"/>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16799EE1-D315-4B4A-A373-68D5646FF79E}"/>
    <cellStyle name="Normal 8 2 4 2 4 2 3" xfId="12456" xr:uid="{2E14484C-24A7-4202-B1B3-93B86646239C}"/>
    <cellStyle name="Normal 8 2 4 2 4 3" xfId="6100" xr:uid="{00000000-0005-0000-0000-0000EF1C0000}"/>
    <cellStyle name="Normal 8 2 4 2 4 3 2" xfId="14529" xr:uid="{0B6088F1-06CA-4994-B318-D8E252920E01}"/>
    <cellStyle name="Normal 8 2 4 2 4 4" xfId="10311" xr:uid="{DCFFB263-6F7B-4156-BBDD-C21F4EC7E6B7}"/>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DACDC2B9-45EB-4BD2-81D0-6B67A22059B1}"/>
    <cellStyle name="Normal 8 2 4 2 5 2 3" xfId="12869" xr:uid="{C0F4D36A-87FF-4C71-8F0E-BFF783A5C66D}"/>
    <cellStyle name="Normal 8 2 4 2 5 3" xfId="6513" xr:uid="{00000000-0005-0000-0000-0000F31C0000}"/>
    <cellStyle name="Normal 8 2 4 2 5 3 2" xfId="14942" xr:uid="{041F5B87-B93D-42E9-A05F-E9A88B31FD6E}"/>
    <cellStyle name="Normal 8 2 4 2 5 4" xfId="10724" xr:uid="{B3440366-9B1A-48DE-B8D1-7E2C317EB6C0}"/>
    <cellStyle name="Normal 8 2 4 2 6" xfId="2641" xr:uid="{00000000-0005-0000-0000-0000F41C0000}"/>
    <cellStyle name="Normal 8 2 4 2 6 2" xfId="6926" xr:uid="{00000000-0005-0000-0000-0000F51C0000}"/>
    <cellStyle name="Normal 8 2 4 2 6 2 2" xfId="15355" xr:uid="{03D36C96-650F-451E-B8B5-64DCF0DD76DF}"/>
    <cellStyle name="Normal 8 2 4 2 6 3" xfId="11137" xr:uid="{2C121AAB-788C-471D-B720-06A42872380C}"/>
    <cellStyle name="Normal 8 2 4 2 7" xfId="4861" xr:uid="{00000000-0005-0000-0000-0000F61C0000}"/>
    <cellStyle name="Normal 8 2 4 2 7 2" xfId="13290" xr:uid="{6020E978-796B-4D56-9D9F-7924CD57891B}"/>
    <cellStyle name="Normal 8 2 4 2 8" xfId="9072" xr:uid="{E9311AD3-03CC-4587-92A5-01B85F29C5BE}"/>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04CB6979-5FDE-4DDD-8DDB-C8FFB7981AB5}"/>
    <cellStyle name="Normal 8 2 4 3 2 3" xfId="11629" xr:uid="{A5EB5374-FE52-4952-96A2-C95B22E9A297}"/>
    <cellStyle name="Normal 8 2 4 3 3" xfId="5273" xr:uid="{00000000-0005-0000-0000-0000FA1C0000}"/>
    <cellStyle name="Normal 8 2 4 3 3 2" xfId="13702" xr:uid="{AF2CF5BF-585B-42E0-9360-03AB7B7ABD63}"/>
    <cellStyle name="Normal 8 2 4 3 4" xfId="9484" xr:uid="{DDFD5D0B-D28D-446E-BB05-B6D4011203A4}"/>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6EA152D3-E23F-4F6C-8D6B-14CE44BF824A}"/>
    <cellStyle name="Normal 8 2 4 4 2 3" xfId="12042" xr:uid="{23C9B344-6A0B-4A04-ACAF-5401FB58CC6D}"/>
    <cellStyle name="Normal 8 2 4 4 3" xfId="5686" xr:uid="{00000000-0005-0000-0000-0000FE1C0000}"/>
    <cellStyle name="Normal 8 2 4 4 3 2" xfId="14115" xr:uid="{C2C6816C-20FB-47F2-98DE-6889A623CE01}"/>
    <cellStyle name="Normal 8 2 4 4 4" xfId="9897" xr:uid="{8A8F2A34-282B-44C2-A652-005EBB9929D8}"/>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4D3391EC-3621-43A4-808B-B00AB7A663FF}"/>
    <cellStyle name="Normal 8 2 4 5 2 3" xfId="12455" xr:uid="{990E3D56-D53C-413C-B7B9-3836D3D2BBE1}"/>
    <cellStyle name="Normal 8 2 4 5 3" xfId="6099" xr:uid="{00000000-0005-0000-0000-0000021D0000}"/>
    <cellStyle name="Normal 8 2 4 5 3 2" xfId="14528" xr:uid="{91DA8655-2398-4ED0-8EBA-42D2338F1144}"/>
    <cellStyle name="Normal 8 2 4 5 4" xfId="10310" xr:uid="{FBD7774F-EBFE-4D26-8837-C8D6316DF4C5}"/>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2D17117D-E289-45AF-AC80-B457E0A63E89}"/>
    <cellStyle name="Normal 8 2 4 6 2 3" xfId="12868" xr:uid="{5C3D0C4A-887D-45DF-BDC4-788C08181668}"/>
    <cellStyle name="Normal 8 2 4 6 3" xfId="6512" xr:uid="{00000000-0005-0000-0000-0000061D0000}"/>
    <cellStyle name="Normal 8 2 4 6 3 2" xfId="14941" xr:uid="{182ADD7B-2EB2-4E6F-AD51-AD92612BED5E}"/>
    <cellStyle name="Normal 8 2 4 6 4" xfId="10723" xr:uid="{5A9E3E24-B1DC-4CFD-A56C-950D8A9477AD}"/>
    <cellStyle name="Normal 8 2 4 7" xfId="2640" xr:uid="{00000000-0005-0000-0000-0000071D0000}"/>
    <cellStyle name="Normal 8 2 4 7 2" xfId="6925" xr:uid="{00000000-0005-0000-0000-0000081D0000}"/>
    <cellStyle name="Normal 8 2 4 7 2 2" xfId="15354" xr:uid="{54473A79-5AA2-4708-A596-5B0AB9B80026}"/>
    <cellStyle name="Normal 8 2 4 7 3" xfId="11136" xr:uid="{A79C2167-7A85-48F9-AB4D-A234EE552CBF}"/>
    <cellStyle name="Normal 8 2 4 8" xfId="4860" xr:uid="{00000000-0005-0000-0000-0000091D0000}"/>
    <cellStyle name="Normal 8 2 4 8 2" xfId="13289" xr:uid="{1A6B316F-71E1-4F19-99CF-764412D19099}"/>
    <cellStyle name="Normal 8 2 4 9" xfId="9071" xr:uid="{562C4162-5D4F-4EB3-8C7F-C0C91EF41F3E}"/>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11E38A26-37F0-486C-AB89-FFEC2A819DE8}"/>
    <cellStyle name="Normal 8 2 5 2 2 3" xfId="11631" xr:uid="{79FB83FB-E0EF-445D-86EC-665967AAD1BD}"/>
    <cellStyle name="Normal 8 2 5 2 3" xfId="5275" xr:uid="{00000000-0005-0000-0000-00000E1D0000}"/>
    <cellStyle name="Normal 8 2 5 2 3 2" xfId="13704" xr:uid="{2ED10397-A869-4040-928B-5781014D5ED7}"/>
    <cellStyle name="Normal 8 2 5 2 4" xfId="9486" xr:uid="{F8FF590C-8120-4BE1-9CE6-6424201750AD}"/>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4E3D61CE-672F-4F48-B581-C89D47CDEEE4}"/>
    <cellStyle name="Normal 8 2 5 3 2 3" xfId="12044" xr:uid="{CAA9624E-437C-491C-A9BC-44620E70A53F}"/>
    <cellStyle name="Normal 8 2 5 3 3" xfId="5688" xr:uid="{00000000-0005-0000-0000-0000121D0000}"/>
    <cellStyle name="Normal 8 2 5 3 3 2" xfId="14117" xr:uid="{141BB52C-6872-4984-AB38-43F6B43B7D63}"/>
    <cellStyle name="Normal 8 2 5 3 4" xfId="9899" xr:uid="{6EF2AB35-3A62-4762-B69A-05DA89EE3035}"/>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786F0C84-EE18-4AD2-BC06-7029C4495B3F}"/>
    <cellStyle name="Normal 8 2 5 4 2 3" xfId="12457" xr:uid="{CDE8DE9A-E570-447E-A9C2-534BB93628CF}"/>
    <cellStyle name="Normal 8 2 5 4 3" xfId="6101" xr:uid="{00000000-0005-0000-0000-0000161D0000}"/>
    <cellStyle name="Normal 8 2 5 4 3 2" xfId="14530" xr:uid="{F14FAD12-1F1B-4C60-9A82-A94BD204DBD3}"/>
    <cellStyle name="Normal 8 2 5 4 4" xfId="10312" xr:uid="{03878A7A-EA73-4C8F-A542-EC525DB2833F}"/>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D26E1C08-85D5-405F-98BF-93393BE74328}"/>
    <cellStyle name="Normal 8 2 5 5 2 3" xfId="12870" xr:uid="{0904543B-5C6C-445F-A181-4D097305277F}"/>
    <cellStyle name="Normal 8 2 5 5 3" xfId="6514" xr:uid="{00000000-0005-0000-0000-00001A1D0000}"/>
    <cellStyle name="Normal 8 2 5 5 3 2" xfId="14943" xr:uid="{3A7B3747-ECE6-4A41-AEA9-7B176081AA10}"/>
    <cellStyle name="Normal 8 2 5 5 4" xfId="10725" xr:uid="{6A02660C-2A29-4BA8-9D68-F05B324BE2A7}"/>
    <cellStyle name="Normal 8 2 5 6" xfId="2642" xr:uid="{00000000-0005-0000-0000-00001B1D0000}"/>
    <cellStyle name="Normal 8 2 5 6 2" xfId="6927" xr:uid="{00000000-0005-0000-0000-00001C1D0000}"/>
    <cellStyle name="Normal 8 2 5 6 2 2" xfId="15356" xr:uid="{D036CE3C-0CFA-48DC-A0FA-B27FFB193F5E}"/>
    <cellStyle name="Normal 8 2 5 6 3" xfId="11138" xr:uid="{438F3C2C-0E3C-480F-8623-937C0740CDDC}"/>
    <cellStyle name="Normal 8 2 5 7" xfId="4862" xr:uid="{00000000-0005-0000-0000-00001D1D0000}"/>
    <cellStyle name="Normal 8 2 5 7 2" xfId="13291" xr:uid="{A014781D-01F1-4F0B-963A-FC310DC7BBF9}"/>
    <cellStyle name="Normal 8 2 5 8" xfId="9073" xr:uid="{ECFA4A08-5BDB-4766-8A88-EB2A88B1E928}"/>
    <cellStyle name="Normal 8 2 6" xfId="947" xr:uid="{00000000-0005-0000-0000-00001E1D0000}"/>
    <cellStyle name="Normal 8 2 6 2" xfId="3181" xr:uid="{00000000-0005-0000-0000-00001F1D0000}"/>
    <cellStyle name="Normal 8 2 6 2 2" xfId="7405" xr:uid="{00000000-0005-0000-0000-0000201D0000}"/>
    <cellStyle name="Normal 8 2 6 2 2 2" xfId="15834" xr:uid="{9512444A-00C7-43FA-960C-BA0F399B80D8}"/>
    <cellStyle name="Normal 8 2 6 2 3" xfId="11616" xr:uid="{A54C3800-9B99-4939-961D-09AF522D8AA6}"/>
    <cellStyle name="Normal 8 2 6 3" xfId="5260" xr:uid="{00000000-0005-0000-0000-0000211D0000}"/>
    <cellStyle name="Normal 8 2 6 3 2" xfId="13689" xr:uid="{676CB6EF-82C1-4DBD-B656-051F03840B5D}"/>
    <cellStyle name="Normal 8 2 6 4" xfId="9471" xr:uid="{9842ECE1-4477-43C7-83AE-37AA62B3C208}"/>
    <cellStyle name="Normal 8 2 7" xfId="1364" xr:uid="{00000000-0005-0000-0000-0000221D0000}"/>
    <cellStyle name="Normal 8 2 7 2" xfId="3594" xr:uid="{00000000-0005-0000-0000-0000231D0000}"/>
    <cellStyle name="Normal 8 2 7 2 2" xfId="7818" xr:uid="{00000000-0005-0000-0000-0000241D0000}"/>
    <cellStyle name="Normal 8 2 7 2 2 2" xfId="16247" xr:uid="{2AC3EDE2-89C9-43AA-9F22-02859DC6BF79}"/>
    <cellStyle name="Normal 8 2 7 2 3" xfId="12029" xr:uid="{53EA872B-DCA8-4361-904C-F9E225E21FD2}"/>
    <cellStyle name="Normal 8 2 7 3" xfId="5673" xr:uid="{00000000-0005-0000-0000-0000251D0000}"/>
    <cellStyle name="Normal 8 2 7 3 2" xfId="14102" xr:uid="{6272BC45-4664-43A2-82F5-864E8BC471E1}"/>
    <cellStyle name="Normal 8 2 7 4" xfId="9884" xr:uid="{51176B85-D12B-4764-82BB-30B9972A62E0}"/>
    <cellStyle name="Normal 8 2 8" xfId="1777" xr:uid="{00000000-0005-0000-0000-0000261D0000}"/>
    <cellStyle name="Normal 8 2 8 2" xfId="4007" xr:uid="{00000000-0005-0000-0000-0000271D0000}"/>
    <cellStyle name="Normal 8 2 8 2 2" xfId="8231" xr:uid="{00000000-0005-0000-0000-0000281D0000}"/>
    <cellStyle name="Normal 8 2 8 2 2 2" xfId="16660" xr:uid="{C6D655D0-E653-4C3F-855D-AB65F4DC94D9}"/>
    <cellStyle name="Normal 8 2 8 2 3" xfId="12442" xr:uid="{113BD976-A504-45F9-AC1E-E434B799B087}"/>
    <cellStyle name="Normal 8 2 8 3" xfId="6086" xr:uid="{00000000-0005-0000-0000-0000291D0000}"/>
    <cellStyle name="Normal 8 2 8 3 2" xfId="14515" xr:uid="{1CEE4CE3-DBAC-4843-ACAF-BDA60CE60091}"/>
    <cellStyle name="Normal 8 2 8 4" xfId="10297" xr:uid="{2C40C181-2663-454E-9464-89FF93CFD434}"/>
    <cellStyle name="Normal 8 2 9" xfId="2191" xr:uid="{00000000-0005-0000-0000-00002A1D0000}"/>
    <cellStyle name="Normal 8 2 9 2" xfId="4420" xr:uid="{00000000-0005-0000-0000-00002B1D0000}"/>
    <cellStyle name="Normal 8 2 9 2 2" xfId="8644" xr:uid="{00000000-0005-0000-0000-00002C1D0000}"/>
    <cellStyle name="Normal 8 2 9 2 2 2" xfId="17073" xr:uid="{C4BF42E5-3F03-4AD4-8905-7FCE77309409}"/>
    <cellStyle name="Normal 8 2 9 2 3" xfId="12855" xr:uid="{9F985220-1FD5-4D6C-AC9C-1630DF6A322B}"/>
    <cellStyle name="Normal 8 2 9 3" xfId="6499" xr:uid="{00000000-0005-0000-0000-00002D1D0000}"/>
    <cellStyle name="Normal 8 2 9 3 2" xfId="14928" xr:uid="{C395C666-F033-42F3-9433-AC16702FAB91}"/>
    <cellStyle name="Normal 8 2 9 4" xfId="10710" xr:uid="{F6E91AFB-E956-4E81-9A87-C5FD74173002}"/>
    <cellStyle name="Normal 8 3" xfId="495" xr:uid="{00000000-0005-0000-0000-00002E1D0000}"/>
    <cellStyle name="Normal 8 3 10" xfId="4863" xr:uid="{00000000-0005-0000-0000-00002F1D0000}"/>
    <cellStyle name="Normal 8 3 10 2" xfId="13292" xr:uid="{EC1FC8F6-BA18-452D-8225-E3D9F9B467B1}"/>
    <cellStyle name="Normal 8 3 11" xfId="9074" xr:uid="{9518EBA5-3BAA-4E25-8DF7-683326945558}"/>
    <cellStyle name="Normal 8 3 2" xfId="496" xr:uid="{00000000-0005-0000-0000-0000301D0000}"/>
    <cellStyle name="Normal 8 3 2 10" xfId="9075" xr:uid="{6D868EBC-476A-451B-BA1B-8881886453D8}"/>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AEF7EBCF-CD97-4FAF-8E8A-F04F578C0DE4}"/>
    <cellStyle name="Normal 8 3 2 2 2 2 2 3" xfId="11635" xr:uid="{FD96AC70-41E8-46BE-B302-8EC0B2BEB4DD}"/>
    <cellStyle name="Normal 8 3 2 2 2 2 3" xfId="5279" xr:uid="{00000000-0005-0000-0000-0000361D0000}"/>
    <cellStyle name="Normal 8 3 2 2 2 2 3 2" xfId="13708" xr:uid="{CF599FE7-2D96-46BA-B683-A77EF1CA504E}"/>
    <cellStyle name="Normal 8 3 2 2 2 2 4" xfId="9490" xr:uid="{F449E23E-B4D8-42D2-8666-CDBCEED07C3B}"/>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66D107C3-BBA1-4F13-B228-18060361E56D}"/>
    <cellStyle name="Normal 8 3 2 2 2 3 2 3" xfId="12048" xr:uid="{70D5EB3B-26F0-4810-988C-C917B633EE34}"/>
    <cellStyle name="Normal 8 3 2 2 2 3 3" xfId="5692" xr:uid="{00000000-0005-0000-0000-00003A1D0000}"/>
    <cellStyle name="Normal 8 3 2 2 2 3 3 2" xfId="14121" xr:uid="{DB215051-4615-42F3-8485-882C93C7039D}"/>
    <cellStyle name="Normal 8 3 2 2 2 3 4" xfId="9903" xr:uid="{F46859CF-8C84-4723-854C-1DCC3ECDEBB2}"/>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A99190E6-0879-401F-9FDD-738E0A9B7BC8}"/>
    <cellStyle name="Normal 8 3 2 2 2 4 2 3" xfId="12461" xr:uid="{5A313600-039B-4FA6-96DD-8CECF3CC197C}"/>
    <cellStyle name="Normal 8 3 2 2 2 4 3" xfId="6105" xr:uid="{00000000-0005-0000-0000-00003E1D0000}"/>
    <cellStyle name="Normal 8 3 2 2 2 4 3 2" xfId="14534" xr:uid="{C4104638-D041-457D-AF16-185494446CAB}"/>
    <cellStyle name="Normal 8 3 2 2 2 4 4" xfId="10316" xr:uid="{EFF784E6-6932-4D83-9167-12286832887B}"/>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A3656C5B-9371-4C29-89C8-FFFA54E7CA73}"/>
    <cellStyle name="Normal 8 3 2 2 2 5 2 3" xfId="12874" xr:uid="{A5F7DE1B-E3D7-49BF-ABB3-B744C5D92C5C}"/>
    <cellStyle name="Normal 8 3 2 2 2 5 3" xfId="6518" xr:uid="{00000000-0005-0000-0000-0000421D0000}"/>
    <cellStyle name="Normal 8 3 2 2 2 5 3 2" xfId="14947" xr:uid="{39D9BC09-49D4-44E9-8269-990D38E7E3E1}"/>
    <cellStyle name="Normal 8 3 2 2 2 5 4" xfId="10729" xr:uid="{7FD75393-5EA8-4B14-8F22-4F0921F9C22A}"/>
    <cellStyle name="Normal 8 3 2 2 2 6" xfId="2646" xr:uid="{00000000-0005-0000-0000-0000431D0000}"/>
    <cellStyle name="Normal 8 3 2 2 2 6 2" xfId="6931" xr:uid="{00000000-0005-0000-0000-0000441D0000}"/>
    <cellStyle name="Normal 8 3 2 2 2 6 2 2" xfId="15360" xr:uid="{66CC4A14-04FD-47DE-9FD3-2BC8D5E0E0B1}"/>
    <cellStyle name="Normal 8 3 2 2 2 6 3" xfId="11142" xr:uid="{A69500DF-0B0B-45AB-8B04-C9721004228B}"/>
    <cellStyle name="Normal 8 3 2 2 2 7" xfId="4866" xr:uid="{00000000-0005-0000-0000-0000451D0000}"/>
    <cellStyle name="Normal 8 3 2 2 2 7 2" xfId="13295" xr:uid="{B91502CE-31EC-47CB-8C9D-937ED80CFBFE}"/>
    <cellStyle name="Normal 8 3 2 2 2 8" xfId="9077" xr:uid="{65FAEA5A-C795-4FED-95B9-7C95862B76EE}"/>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B5794B73-B29A-4F66-8244-B6D93EC53D7C}"/>
    <cellStyle name="Normal 8 3 2 2 3 2 3" xfId="11634" xr:uid="{72E24659-2071-473E-B7FA-A5BC4EBC1321}"/>
    <cellStyle name="Normal 8 3 2 2 3 3" xfId="5278" xr:uid="{00000000-0005-0000-0000-0000491D0000}"/>
    <cellStyle name="Normal 8 3 2 2 3 3 2" xfId="13707" xr:uid="{9E130999-6DE9-49C3-B463-017CA75E49E2}"/>
    <cellStyle name="Normal 8 3 2 2 3 4" xfId="9489" xr:uid="{D6CD1F60-FB69-4FBE-A229-B47B769084EC}"/>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E4055E17-8482-4CA0-92F0-D88BFE7B27EA}"/>
    <cellStyle name="Normal 8 3 2 2 4 2 3" xfId="12047" xr:uid="{403CF052-B283-4A72-9C0A-CD073B9DFD6C}"/>
    <cellStyle name="Normal 8 3 2 2 4 3" xfId="5691" xr:uid="{00000000-0005-0000-0000-00004D1D0000}"/>
    <cellStyle name="Normal 8 3 2 2 4 3 2" xfId="14120" xr:uid="{7323F1A7-A925-42FC-BCC8-7F625AC987E7}"/>
    <cellStyle name="Normal 8 3 2 2 4 4" xfId="9902" xr:uid="{E5072CD1-9CF0-4242-9EE1-7B6B7BFD7CB9}"/>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A21638CF-E80A-4C3C-B050-8B91645757FB}"/>
    <cellStyle name="Normal 8 3 2 2 5 2 3" xfId="12460" xr:uid="{CC92F81F-9219-4FA3-B0A1-1AEBAB89FDE4}"/>
    <cellStyle name="Normal 8 3 2 2 5 3" xfId="6104" xr:uid="{00000000-0005-0000-0000-0000511D0000}"/>
    <cellStyle name="Normal 8 3 2 2 5 3 2" xfId="14533" xr:uid="{D92E4DB2-A2F6-45A4-8155-A7B7C8F122D9}"/>
    <cellStyle name="Normal 8 3 2 2 5 4" xfId="10315" xr:uid="{37B5686E-6617-4A86-B918-15EADA38D5FC}"/>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CA0C90F6-1801-4977-859D-9B0F003219E6}"/>
    <cellStyle name="Normal 8 3 2 2 6 2 3" xfId="12873" xr:uid="{0095197A-A832-4F30-A38F-27429E5BD8D0}"/>
    <cellStyle name="Normal 8 3 2 2 6 3" xfId="6517" xr:uid="{00000000-0005-0000-0000-0000551D0000}"/>
    <cellStyle name="Normal 8 3 2 2 6 3 2" xfId="14946" xr:uid="{840A5754-9FC1-469D-8CB9-EFF6C7B28439}"/>
    <cellStyle name="Normal 8 3 2 2 6 4" xfId="10728" xr:uid="{9E5DEC78-5CDF-45D7-9870-15FB5A6F903A}"/>
    <cellStyle name="Normal 8 3 2 2 7" xfId="2645" xr:uid="{00000000-0005-0000-0000-0000561D0000}"/>
    <cellStyle name="Normal 8 3 2 2 7 2" xfId="6930" xr:uid="{00000000-0005-0000-0000-0000571D0000}"/>
    <cellStyle name="Normal 8 3 2 2 7 2 2" xfId="15359" xr:uid="{6EC7D0F5-0D38-407F-B3F9-416FB6BA9F44}"/>
    <cellStyle name="Normal 8 3 2 2 7 3" xfId="11141" xr:uid="{D29A2AB4-6904-4049-BE23-1CF85A5E4F7C}"/>
    <cellStyle name="Normal 8 3 2 2 8" xfId="4865" xr:uid="{00000000-0005-0000-0000-0000581D0000}"/>
    <cellStyle name="Normal 8 3 2 2 8 2" xfId="13294" xr:uid="{607216FB-3139-4D1B-B417-DE79CA5303BC}"/>
    <cellStyle name="Normal 8 3 2 2 9" xfId="9076" xr:uid="{98C027D4-B6D9-4981-93C4-DB6F7F0F063F}"/>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2A438E84-EE60-4E09-A9E4-94DC24AF996E}"/>
    <cellStyle name="Normal 8 3 2 3 2 2 3" xfId="11636" xr:uid="{0338C31F-2C38-4E65-A6E8-317757A773B6}"/>
    <cellStyle name="Normal 8 3 2 3 2 3" xfId="5280" xr:uid="{00000000-0005-0000-0000-00005D1D0000}"/>
    <cellStyle name="Normal 8 3 2 3 2 3 2" xfId="13709" xr:uid="{2EBE31AA-F95A-4B22-9C82-B99509C1D59F}"/>
    <cellStyle name="Normal 8 3 2 3 2 4" xfId="9491" xr:uid="{CD16213B-13D4-49B3-9066-2380D124D9CB}"/>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185213C6-785B-4521-8E68-756D1C254A7B}"/>
    <cellStyle name="Normal 8 3 2 3 3 2 3" xfId="12049" xr:uid="{75B58E78-02D8-4942-B1B6-DC4C15E189CB}"/>
    <cellStyle name="Normal 8 3 2 3 3 3" xfId="5693" xr:uid="{00000000-0005-0000-0000-0000611D0000}"/>
    <cellStyle name="Normal 8 3 2 3 3 3 2" xfId="14122" xr:uid="{0575524B-7E6C-4B85-A766-419EB4A198D6}"/>
    <cellStyle name="Normal 8 3 2 3 3 4" xfId="9904" xr:uid="{2667B6F9-AC7D-4AD0-819A-D4F177EFB177}"/>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413E9CDE-B6E4-4E89-9A53-4D0E6FB73F89}"/>
    <cellStyle name="Normal 8 3 2 3 4 2 3" xfId="12462" xr:uid="{ADBBF350-18B4-433B-9A69-0CDDA815FA83}"/>
    <cellStyle name="Normal 8 3 2 3 4 3" xfId="6106" xr:uid="{00000000-0005-0000-0000-0000651D0000}"/>
    <cellStyle name="Normal 8 3 2 3 4 3 2" xfId="14535" xr:uid="{8B36EEDB-AB03-4415-9367-167312B7867B}"/>
    <cellStyle name="Normal 8 3 2 3 4 4" xfId="10317" xr:uid="{A1A5E8A1-9CC6-42BE-974B-A9767DD77347}"/>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A563BC6B-C3EA-4F0B-A1D8-E79CE58CB130}"/>
    <cellStyle name="Normal 8 3 2 3 5 2 3" xfId="12875" xr:uid="{DA899A64-16E1-4A72-8726-143375BE3D0E}"/>
    <cellStyle name="Normal 8 3 2 3 5 3" xfId="6519" xr:uid="{00000000-0005-0000-0000-0000691D0000}"/>
    <cellStyle name="Normal 8 3 2 3 5 3 2" xfId="14948" xr:uid="{419143E3-796E-4455-AC05-52601B534B9C}"/>
    <cellStyle name="Normal 8 3 2 3 5 4" xfId="10730" xr:uid="{04307F64-5C3B-47E0-B894-F006A9B23605}"/>
    <cellStyle name="Normal 8 3 2 3 6" xfId="2647" xr:uid="{00000000-0005-0000-0000-00006A1D0000}"/>
    <cellStyle name="Normal 8 3 2 3 6 2" xfId="6932" xr:uid="{00000000-0005-0000-0000-00006B1D0000}"/>
    <cellStyle name="Normal 8 3 2 3 6 2 2" xfId="15361" xr:uid="{E19DA65D-21FC-4C48-AF49-FA2AE9C03B79}"/>
    <cellStyle name="Normal 8 3 2 3 6 3" xfId="11143" xr:uid="{D1B3C57F-CDF3-4AF7-A55D-11DA4081E80D}"/>
    <cellStyle name="Normal 8 3 2 3 7" xfId="4867" xr:uid="{00000000-0005-0000-0000-00006C1D0000}"/>
    <cellStyle name="Normal 8 3 2 3 7 2" xfId="13296" xr:uid="{13BABE58-55FE-4C46-8C7A-11B19C823436}"/>
    <cellStyle name="Normal 8 3 2 3 8" xfId="9078" xr:uid="{3503AF2A-EA8A-4A1C-8430-DED0412BD563}"/>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B4B529AA-AFB2-4156-857E-91859CB5EBC3}"/>
    <cellStyle name="Normal 8 3 2 4 2 3" xfId="11633" xr:uid="{D9E42FF0-821C-4A23-B9A3-6C104FEE109D}"/>
    <cellStyle name="Normal 8 3 2 4 3" xfId="5277" xr:uid="{00000000-0005-0000-0000-0000701D0000}"/>
    <cellStyle name="Normal 8 3 2 4 3 2" xfId="13706" xr:uid="{D4ED5482-4BC8-4BEB-A3B0-5BEFE72CCC79}"/>
    <cellStyle name="Normal 8 3 2 4 4" xfId="9488" xr:uid="{A5F09EB7-890E-4A99-AFAD-8C6CEACE221A}"/>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0A9F7626-366D-4F5F-84FE-D6D0CF595AEE}"/>
    <cellStyle name="Normal 8 3 2 5 2 3" xfId="12046" xr:uid="{4D1D79B4-D86E-40B4-A4FB-B38EA8B7C2F4}"/>
    <cellStyle name="Normal 8 3 2 5 3" xfId="5690" xr:uid="{00000000-0005-0000-0000-0000741D0000}"/>
    <cellStyle name="Normal 8 3 2 5 3 2" xfId="14119" xr:uid="{556E3C10-9F23-4E30-B3B3-24ECDF02022F}"/>
    <cellStyle name="Normal 8 3 2 5 4" xfId="9901" xr:uid="{8D79D419-5492-4F14-92F3-176221F92139}"/>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323770E4-E77D-4091-AD2D-B1916DAF611A}"/>
    <cellStyle name="Normal 8 3 2 6 2 3" xfId="12459" xr:uid="{CF59410F-5A66-44AB-9559-CCF540B9F15D}"/>
    <cellStyle name="Normal 8 3 2 6 3" xfId="6103" xr:uid="{00000000-0005-0000-0000-0000781D0000}"/>
    <cellStyle name="Normal 8 3 2 6 3 2" xfId="14532" xr:uid="{5F6E276D-4829-4A17-9F97-560F0EE897C0}"/>
    <cellStyle name="Normal 8 3 2 6 4" xfId="10314" xr:uid="{AB1C577F-662C-4D25-AB04-AC7B23EB7511}"/>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D59DB43C-FBC4-4D90-BFEC-9C515CDAB3B2}"/>
    <cellStyle name="Normal 8 3 2 7 2 3" xfId="12872" xr:uid="{636520C4-84D8-4051-861A-404788792079}"/>
    <cellStyle name="Normal 8 3 2 7 3" xfId="6516" xr:uid="{00000000-0005-0000-0000-00007C1D0000}"/>
    <cellStyle name="Normal 8 3 2 7 3 2" xfId="14945" xr:uid="{EF54B7D2-7E45-4A59-A80E-45251A52C49E}"/>
    <cellStyle name="Normal 8 3 2 7 4" xfId="10727" xr:uid="{CEF53D5B-9A95-4AEF-AFF3-DCFBFD7C5BC7}"/>
    <cellStyle name="Normal 8 3 2 8" xfId="2644" xr:uid="{00000000-0005-0000-0000-00007D1D0000}"/>
    <cellStyle name="Normal 8 3 2 8 2" xfId="6929" xr:uid="{00000000-0005-0000-0000-00007E1D0000}"/>
    <cellStyle name="Normal 8 3 2 8 2 2" xfId="15358" xr:uid="{EB347D07-B8F5-4CD7-8F52-DE3F8037B72E}"/>
    <cellStyle name="Normal 8 3 2 8 3" xfId="11140" xr:uid="{B5A141B5-BC07-445F-86BA-D4F91C4EB48C}"/>
    <cellStyle name="Normal 8 3 2 9" xfId="4864" xr:uid="{00000000-0005-0000-0000-00007F1D0000}"/>
    <cellStyle name="Normal 8 3 2 9 2" xfId="13293" xr:uid="{30D7F702-4C20-47B6-864C-FCD749AC9287}"/>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60C4F9F2-D29D-431C-AEA7-409A5C29C5AE}"/>
    <cellStyle name="Normal 8 3 3 2 2 2 3" xfId="11638" xr:uid="{AE9AE0EA-A549-4DA3-8273-01465790F847}"/>
    <cellStyle name="Normal 8 3 3 2 2 3" xfId="5282" xr:uid="{00000000-0005-0000-0000-0000851D0000}"/>
    <cellStyle name="Normal 8 3 3 2 2 3 2" xfId="13711" xr:uid="{463B1AA7-78D4-4A80-9517-D12428AC3C1A}"/>
    <cellStyle name="Normal 8 3 3 2 2 4" xfId="9493" xr:uid="{E120F99F-A837-4752-89C8-6F21EC4E945C}"/>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CF8A627F-1C7B-4483-8FBD-B6C5172B8A1E}"/>
    <cellStyle name="Normal 8 3 3 2 3 2 3" xfId="12051" xr:uid="{08690F94-4BE8-454E-919C-7CF8428249EB}"/>
    <cellStyle name="Normal 8 3 3 2 3 3" xfId="5695" xr:uid="{00000000-0005-0000-0000-0000891D0000}"/>
    <cellStyle name="Normal 8 3 3 2 3 3 2" xfId="14124" xr:uid="{BBA8F1F9-4097-46C4-BA46-583096AB19F5}"/>
    <cellStyle name="Normal 8 3 3 2 3 4" xfId="9906" xr:uid="{25A8C0C3-72BB-4ACF-8FD4-9B868941923C}"/>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2FCC3FE0-CDBC-4F39-9276-8533AF1DEEFB}"/>
    <cellStyle name="Normal 8 3 3 2 4 2 3" xfId="12464" xr:uid="{57C9761F-14B2-4AAF-BA65-3B3CA1A131A8}"/>
    <cellStyle name="Normal 8 3 3 2 4 3" xfId="6108" xr:uid="{00000000-0005-0000-0000-00008D1D0000}"/>
    <cellStyle name="Normal 8 3 3 2 4 3 2" xfId="14537" xr:uid="{349DE74B-943E-495B-8F6E-F3EE854B5A4E}"/>
    <cellStyle name="Normal 8 3 3 2 4 4" xfId="10319" xr:uid="{5CD469A6-9502-491D-85C8-88BDBDA14013}"/>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5B3DB16C-FA0C-4188-8783-67C1B9D4E5A6}"/>
    <cellStyle name="Normal 8 3 3 2 5 2 3" xfId="12877" xr:uid="{F81DAC66-197E-4EA7-9160-6039F66A3558}"/>
    <cellStyle name="Normal 8 3 3 2 5 3" xfId="6521" xr:uid="{00000000-0005-0000-0000-0000911D0000}"/>
    <cellStyle name="Normal 8 3 3 2 5 3 2" xfId="14950" xr:uid="{6F51EE14-18F8-487A-963A-EE99A2CB4F58}"/>
    <cellStyle name="Normal 8 3 3 2 5 4" xfId="10732" xr:uid="{7BFBE225-4FF3-4533-8F9B-0A3EEEB685B0}"/>
    <cellStyle name="Normal 8 3 3 2 6" xfId="2649" xr:uid="{00000000-0005-0000-0000-0000921D0000}"/>
    <cellStyle name="Normal 8 3 3 2 6 2" xfId="6934" xr:uid="{00000000-0005-0000-0000-0000931D0000}"/>
    <cellStyle name="Normal 8 3 3 2 6 2 2" xfId="15363" xr:uid="{15BC0C8A-A5B5-4F80-98B4-B96FB8BC6752}"/>
    <cellStyle name="Normal 8 3 3 2 6 3" xfId="11145" xr:uid="{08694E49-668A-4777-B09B-BF49EDBB1C7A}"/>
    <cellStyle name="Normal 8 3 3 2 7" xfId="4869" xr:uid="{00000000-0005-0000-0000-0000941D0000}"/>
    <cellStyle name="Normal 8 3 3 2 7 2" xfId="13298" xr:uid="{A8A8AB89-DCB6-48AD-96EC-789A4D2AFD0A}"/>
    <cellStyle name="Normal 8 3 3 2 8" xfId="9080" xr:uid="{4A63CC9F-AADA-410D-9A60-ECCECFBD0C2D}"/>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621E9533-E609-4393-9F8C-ACD70016989E}"/>
    <cellStyle name="Normal 8 3 3 3 2 3" xfId="11637" xr:uid="{CB561007-04C7-4A11-9291-C04FE124A5CD}"/>
    <cellStyle name="Normal 8 3 3 3 3" xfId="5281" xr:uid="{00000000-0005-0000-0000-0000981D0000}"/>
    <cellStyle name="Normal 8 3 3 3 3 2" xfId="13710" xr:uid="{077656AF-C839-4310-8399-3E450FB727FC}"/>
    <cellStyle name="Normal 8 3 3 3 4" xfId="9492" xr:uid="{87C745D5-F261-4F22-8CA6-21F2E50225FF}"/>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B145B651-7981-47B2-A258-287B7CBA2A19}"/>
    <cellStyle name="Normal 8 3 3 4 2 3" xfId="12050" xr:uid="{8AA2B22E-5D31-444E-8468-EE8A47060BDE}"/>
    <cellStyle name="Normal 8 3 3 4 3" xfId="5694" xr:uid="{00000000-0005-0000-0000-00009C1D0000}"/>
    <cellStyle name="Normal 8 3 3 4 3 2" xfId="14123" xr:uid="{30086274-52A7-4004-AACC-23FEBA84654C}"/>
    <cellStyle name="Normal 8 3 3 4 4" xfId="9905" xr:uid="{6C6FF9AB-E885-460F-A351-BD48537EB5FA}"/>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520E43C9-B225-4A05-B34C-237A14ED1598}"/>
    <cellStyle name="Normal 8 3 3 5 2 3" xfId="12463" xr:uid="{0C4A1E2D-AC11-4EA9-B069-B7009D842D2D}"/>
    <cellStyle name="Normal 8 3 3 5 3" xfId="6107" xr:uid="{00000000-0005-0000-0000-0000A01D0000}"/>
    <cellStyle name="Normal 8 3 3 5 3 2" xfId="14536" xr:uid="{D12B141C-3C72-4427-B67C-9CD3AA3771AC}"/>
    <cellStyle name="Normal 8 3 3 5 4" xfId="10318" xr:uid="{4AD1A4E4-39E0-4D4A-BF34-FB190EEDA01B}"/>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7A03AD8F-09AE-4EAD-9845-0C6A6C9D3D41}"/>
    <cellStyle name="Normal 8 3 3 6 2 3" xfId="12876" xr:uid="{94E2FD23-9C78-49AF-954D-CD790824F089}"/>
    <cellStyle name="Normal 8 3 3 6 3" xfId="6520" xr:uid="{00000000-0005-0000-0000-0000A41D0000}"/>
    <cellStyle name="Normal 8 3 3 6 3 2" xfId="14949" xr:uid="{7B4B1AA3-929B-45F6-9849-B6C12226E78D}"/>
    <cellStyle name="Normal 8 3 3 6 4" xfId="10731" xr:uid="{DD3E4CE3-C166-46FC-A82D-71D451E4884B}"/>
    <cellStyle name="Normal 8 3 3 7" xfId="2648" xr:uid="{00000000-0005-0000-0000-0000A51D0000}"/>
    <cellStyle name="Normal 8 3 3 7 2" xfId="6933" xr:uid="{00000000-0005-0000-0000-0000A61D0000}"/>
    <cellStyle name="Normal 8 3 3 7 2 2" xfId="15362" xr:uid="{DDD41A13-5F5D-49A6-A41E-023F09397ACC}"/>
    <cellStyle name="Normal 8 3 3 7 3" xfId="11144" xr:uid="{7813E624-630B-4660-BF96-70C4DED2C43D}"/>
    <cellStyle name="Normal 8 3 3 8" xfId="4868" xr:uid="{00000000-0005-0000-0000-0000A71D0000}"/>
    <cellStyle name="Normal 8 3 3 8 2" xfId="13297" xr:uid="{3E354725-C65E-489B-B30F-9B76BAE3195D}"/>
    <cellStyle name="Normal 8 3 3 9" xfId="9079" xr:uid="{38BADDDC-7044-4610-A2FD-9EB8EEF389E8}"/>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19FA7A91-4716-4D55-AD82-3799CD0231E1}"/>
    <cellStyle name="Normal 8 3 4 2 2 3" xfId="11639" xr:uid="{8D0F6B87-C1A5-47C9-8C15-A00318435738}"/>
    <cellStyle name="Normal 8 3 4 2 3" xfId="5283" xr:uid="{00000000-0005-0000-0000-0000AC1D0000}"/>
    <cellStyle name="Normal 8 3 4 2 3 2" xfId="13712" xr:uid="{9D3D6CB5-0DB6-4DC9-955A-3F8E7CFF5C6B}"/>
    <cellStyle name="Normal 8 3 4 2 4" xfId="9494" xr:uid="{C2E929ED-D815-447F-9E07-F6B5DB99C9B4}"/>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D4631C0D-E37C-4079-8790-C89C3F231D8C}"/>
    <cellStyle name="Normal 8 3 4 3 2 3" xfId="12052" xr:uid="{94450AF7-DDE1-4641-A7B8-F3822B4CF606}"/>
    <cellStyle name="Normal 8 3 4 3 3" xfId="5696" xr:uid="{00000000-0005-0000-0000-0000B01D0000}"/>
    <cellStyle name="Normal 8 3 4 3 3 2" xfId="14125" xr:uid="{715FE3EB-12C9-43A4-AB93-9C2002D18946}"/>
    <cellStyle name="Normal 8 3 4 3 4" xfId="9907" xr:uid="{2B9D83DE-ED9C-4511-A988-F98BDCC7B1B6}"/>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F4EAE5A3-F235-4EC0-AD4C-3A65F7D120A8}"/>
    <cellStyle name="Normal 8 3 4 4 2 3" xfId="12465" xr:uid="{8743908E-FDF0-4683-B214-E85D0CB82D6D}"/>
    <cellStyle name="Normal 8 3 4 4 3" xfId="6109" xr:uid="{00000000-0005-0000-0000-0000B41D0000}"/>
    <cellStyle name="Normal 8 3 4 4 3 2" xfId="14538" xr:uid="{D9C4D9AB-B92B-45BC-B4FE-8AC9B495555F}"/>
    <cellStyle name="Normal 8 3 4 4 4" xfId="10320" xr:uid="{172A0337-8BBB-4391-80B2-7F4A84A4C19F}"/>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DBD18168-731D-4739-8B40-2D110D638950}"/>
    <cellStyle name="Normal 8 3 4 5 2 3" xfId="12878" xr:uid="{C18CBF66-72EB-4296-A622-CCAE4A5702A6}"/>
    <cellStyle name="Normal 8 3 4 5 3" xfId="6522" xr:uid="{00000000-0005-0000-0000-0000B81D0000}"/>
    <cellStyle name="Normal 8 3 4 5 3 2" xfId="14951" xr:uid="{D2ADB70A-F4B0-4A3D-B102-136451ED7070}"/>
    <cellStyle name="Normal 8 3 4 5 4" xfId="10733" xr:uid="{0E5E26B5-9582-4986-A982-5D6CD19673FB}"/>
    <cellStyle name="Normal 8 3 4 6" xfId="2650" xr:uid="{00000000-0005-0000-0000-0000B91D0000}"/>
    <cellStyle name="Normal 8 3 4 6 2" xfId="6935" xr:uid="{00000000-0005-0000-0000-0000BA1D0000}"/>
    <cellStyle name="Normal 8 3 4 6 2 2" xfId="15364" xr:uid="{89BB017D-AF14-4A84-8A68-EE1C70C46FBB}"/>
    <cellStyle name="Normal 8 3 4 6 3" xfId="11146" xr:uid="{609AEDE4-1A5C-47D7-911D-36575BF3340E}"/>
    <cellStyle name="Normal 8 3 4 7" xfId="4870" xr:uid="{00000000-0005-0000-0000-0000BB1D0000}"/>
    <cellStyle name="Normal 8 3 4 7 2" xfId="13299" xr:uid="{B411316C-B1EA-4E48-8EFF-3D50E712E83B}"/>
    <cellStyle name="Normal 8 3 4 8" xfId="9081" xr:uid="{B94FDEE8-9C19-4E07-B5AB-986CDE551478}"/>
    <cellStyle name="Normal 8 3 5" xfId="963" xr:uid="{00000000-0005-0000-0000-0000BC1D0000}"/>
    <cellStyle name="Normal 8 3 5 2" xfId="3197" xr:uid="{00000000-0005-0000-0000-0000BD1D0000}"/>
    <cellStyle name="Normal 8 3 5 2 2" xfId="7421" xr:uid="{00000000-0005-0000-0000-0000BE1D0000}"/>
    <cellStyle name="Normal 8 3 5 2 2 2" xfId="15850" xr:uid="{C3B928A7-C175-4D34-B309-902EF11295FF}"/>
    <cellStyle name="Normal 8 3 5 2 3" xfId="11632" xr:uid="{BA7C77E3-E270-47AE-BD5C-ED593BC8BE20}"/>
    <cellStyle name="Normal 8 3 5 3" xfId="5276" xr:uid="{00000000-0005-0000-0000-0000BF1D0000}"/>
    <cellStyle name="Normal 8 3 5 3 2" xfId="13705" xr:uid="{F0CE6502-55D6-4E06-B174-ED6CF50D86AC}"/>
    <cellStyle name="Normal 8 3 5 4" xfId="9487" xr:uid="{FE21C41D-5231-4ACA-AF69-3D64387AD699}"/>
    <cellStyle name="Normal 8 3 6" xfId="1380" xr:uid="{00000000-0005-0000-0000-0000C01D0000}"/>
    <cellStyle name="Normal 8 3 6 2" xfId="3610" xr:uid="{00000000-0005-0000-0000-0000C11D0000}"/>
    <cellStyle name="Normal 8 3 6 2 2" xfId="7834" xr:uid="{00000000-0005-0000-0000-0000C21D0000}"/>
    <cellStyle name="Normal 8 3 6 2 2 2" xfId="16263" xr:uid="{34B13CED-E7FE-4DDA-9F22-2BD307BE17F0}"/>
    <cellStyle name="Normal 8 3 6 2 3" xfId="12045" xr:uid="{B1C34A37-23BE-48BB-B9BF-DD7214EF08E9}"/>
    <cellStyle name="Normal 8 3 6 3" xfId="5689" xr:uid="{00000000-0005-0000-0000-0000C31D0000}"/>
    <cellStyle name="Normal 8 3 6 3 2" xfId="14118" xr:uid="{2677C678-A262-40C2-AF5B-4200EF1D2274}"/>
    <cellStyle name="Normal 8 3 6 4" xfId="9900" xr:uid="{84ADB7B4-4606-46F3-B33A-B315CADF98FB}"/>
    <cellStyle name="Normal 8 3 7" xfId="1793" xr:uid="{00000000-0005-0000-0000-0000C41D0000}"/>
    <cellStyle name="Normal 8 3 7 2" xfId="4023" xr:uid="{00000000-0005-0000-0000-0000C51D0000}"/>
    <cellStyle name="Normal 8 3 7 2 2" xfId="8247" xr:uid="{00000000-0005-0000-0000-0000C61D0000}"/>
    <cellStyle name="Normal 8 3 7 2 2 2" xfId="16676" xr:uid="{07C63AE6-195B-4D94-A409-5B53006978FE}"/>
    <cellStyle name="Normal 8 3 7 2 3" xfId="12458" xr:uid="{34B34B20-500F-45E4-A3C1-E2DCCC0514D3}"/>
    <cellStyle name="Normal 8 3 7 3" xfId="6102" xr:uid="{00000000-0005-0000-0000-0000C71D0000}"/>
    <cellStyle name="Normal 8 3 7 3 2" xfId="14531" xr:uid="{80C29DD7-E916-4B46-AC1F-27C9D7C52C7B}"/>
    <cellStyle name="Normal 8 3 7 4" xfId="10313" xr:uid="{344B07EA-0996-48AE-A548-749A41807FCA}"/>
    <cellStyle name="Normal 8 3 8" xfId="2207" xr:uid="{00000000-0005-0000-0000-0000C81D0000}"/>
    <cellStyle name="Normal 8 3 8 2" xfId="4436" xr:uid="{00000000-0005-0000-0000-0000C91D0000}"/>
    <cellStyle name="Normal 8 3 8 2 2" xfId="8660" xr:uid="{00000000-0005-0000-0000-0000CA1D0000}"/>
    <cellStyle name="Normal 8 3 8 2 2 2" xfId="17089" xr:uid="{01A0206A-15B2-4429-9E3B-05AAABEBD8CA}"/>
    <cellStyle name="Normal 8 3 8 2 3" xfId="12871" xr:uid="{EE914E46-3523-4C58-A642-6D9A4E744BC2}"/>
    <cellStyle name="Normal 8 3 8 3" xfId="6515" xr:uid="{00000000-0005-0000-0000-0000CB1D0000}"/>
    <cellStyle name="Normal 8 3 8 3 2" xfId="14944" xr:uid="{3F625ACB-D0E6-4F8C-BF61-6BB31AAADE1B}"/>
    <cellStyle name="Normal 8 3 8 4" xfId="10726" xr:uid="{D142966B-AD8E-4067-BEBC-A0870E53CA18}"/>
    <cellStyle name="Normal 8 3 9" xfId="2643" xr:uid="{00000000-0005-0000-0000-0000CC1D0000}"/>
    <cellStyle name="Normal 8 3 9 2" xfId="6928" xr:uid="{00000000-0005-0000-0000-0000CD1D0000}"/>
    <cellStyle name="Normal 8 3 9 2 2" xfId="15357" xr:uid="{9180CC0C-1242-46BC-BCAA-423DD19A51EC}"/>
    <cellStyle name="Normal 8 3 9 3" xfId="11139" xr:uid="{A1860473-6CCE-4CD9-BB43-CC81EFD547C5}"/>
    <cellStyle name="Normal 8 4" xfId="503" xr:uid="{00000000-0005-0000-0000-0000CE1D0000}"/>
    <cellStyle name="Normal 8 4 10" xfId="9082" xr:uid="{D0EFF834-132A-4A6D-9DC2-2AC0C3B0D07B}"/>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4E13D149-79D2-4476-8DA6-6F2AC99B7B4D}"/>
    <cellStyle name="Normal 8 4 2 2 2 2 3" xfId="11642" xr:uid="{B418CE77-E9E7-4613-AF0B-D1763F846B71}"/>
    <cellStyle name="Normal 8 4 2 2 2 3" xfId="5286" xr:uid="{00000000-0005-0000-0000-0000D41D0000}"/>
    <cellStyle name="Normal 8 4 2 2 2 3 2" xfId="13715" xr:uid="{8D2AC230-7549-4322-B5FD-DE0FA0588ACA}"/>
    <cellStyle name="Normal 8 4 2 2 2 4" xfId="9497" xr:uid="{F013167A-9153-4BEC-AC67-80AEBF8BEBFA}"/>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BC6540BC-6EB1-40FD-98F9-036CAF69442B}"/>
    <cellStyle name="Normal 8 4 2 2 3 2 3" xfId="12055" xr:uid="{16FDD536-022F-40BE-8038-5478A1582E8D}"/>
    <cellStyle name="Normal 8 4 2 2 3 3" xfId="5699" xr:uid="{00000000-0005-0000-0000-0000D81D0000}"/>
    <cellStyle name="Normal 8 4 2 2 3 3 2" xfId="14128" xr:uid="{6BCCCA5F-262D-46E2-8582-A7B147BF74F7}"/>
    <cellStyle name="Normal 8 4 2 2 3 4" xfId="9910" xr:uid="{D2BE1667-943E-4E76-BE1B-3E61AC64B3B9}"/>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3153BE73-957D-417C-84EB-83A8E3D57CD6}"/>
    <cellStyle name="Normal 8 4 2 2 4 2 3" xfId="12468" xr:uid="{7E53E832-727F-45E1-A914-1C492246F408}"/>
    <cellStyle name="Normal 8 4 2 2 4 3" xfId="6112" xr:uid="{00000000-0005-0000-0000-0000DC1D0000}"/>
    <cellStyle name="Normal 8 4 2 2 4 3 2" xfId="14541" xr:uid="{48E76856-1557-4F48-AA0A-923136BF0053}"/>
    <cellStyle name="Normal 8 4 2 2 4 4" xfId="10323" xr:uid="{8E561393-76EF-4195-A77B-E73D912E8B6A}"/>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0010F1FE-74BE-4F50-9392-5F37ACB5CA3E}"/>
    <cellStyle name="Normal 8 4 2 2 5 2 3" xfId="12881" xr:uid="{FC7401AF-30B6-4848-80B0-B9911385E22E}"/>
    <cellStyle name="Normal 8 4 2 2 5 3" xfId="6525" xr:uid="{00000000-0005-0000-0000-0000E01D0000}"/>
    <cellStyle name="Normal 8 4 2 2 5 3 2" xfId="14954" xr:uid="{1DF3CB12-1A71-4F72-8F2A-9EFFF3955B78}"/>
    <cellStyle name="Normal 8 4 2 2 5 4" xfId="10736" xr:uid="{0BF2871F-A1EC-4112-B9D6-78B41759168B}"/>
    <cellStyle name="Normal 8 4 2 2 6" xfId="2653" xr:uid="{00000000-0005-0000-0000-0000E11D0000}"/>
    <cellStyle name="Normal 8 4 2 2 6 2" xfId="6938" xr:uid="{00000000-0005-0000-0000-0000E21D0000}"/>
    <cellStyle name="Normal 8 4 2 2 6 2 2" xfId="15367" xr:uid="{38BD658D-DFF4-4211-8148-26356CDCBDFA}"/>
    <cellStyle name="Normal 8 4 2 2 6 3" xfId="11149" xr:uid="{7BD7052C-964E-4562-AD00-09C773ACDDEB}"/>
    <cellStyle name="Normal 8 4 2 2 7" xfId="4873" xr:uid="{00000000-0005-0000-0000-0000E31D0000}"/>
    <cellStyle name="Normal 8 4 2 2 7 2" xfId="13302" xr:uid="{8C4FBC61-17B0-47B3-BEFA-678E7C364893}"/>
    <cellStyle name="Normal 8 4 2 2 8" xfId="9084" xr:uid="{EC106E7A-0547-41DE-A107-0321BADF370F}"/>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553B6CD9-429B-4B70-AEE0-7ED4C099EB94}"/>
    <cellStyle name="Normal 8 4 2 3 2 3" xfId="11641" xr:uid="{52DA6411-6187-493F-B05B-C7336A4A22F2}"/>
    <cellStyle name="Normal 8 4 2 3 3" xfId="5285" xr:uid="{00000000-0005-0000-0000-0000E71D0000}"/>
    <cellStyle name="Normal 8 4 2 3 3 2" xfId="13714" xr:uid="{979D34D9-D32C-4400-BACF-EDA2B5C9F9C7}"/>
    <cellStyle name="Normal 8 4 2 3 4" xfId="9496" xr:uid="{1F516F0D-ED27-42DF-A5FF-E269658FC9E2}"/>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56E3A25B-951C-4925-81B1-A8510DF674E7}"/>
    <cellStyle name="Normal 8 4 2 4 2 3" xfId="12054" xr:uid="{B1941B68-9135-4375-B3AC-65C4B205953D}"/>
    <cellStyle name="Normal 8 4 2 4 3" xfId="5698" xr:uid="{00000000-0005-0000-0000-0000EB1D0000}"/>
    <cellStyle name="Normal 8 4 2 4 3 2" xfId="14127" xr:uid="{ABE811BE-01F6-4F71-95DB-33DE6B203CA3}"/>
    <cellStyle name="Normal 8 4 2 4 4" xfId="9909" xr:uid="{D0EAA11E-38EC-43FC-8E4B-4AE10FD5B8A9}"/>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5312E4BF-EFF6-4DCF-8E81-6C5DBDC987BB}"/>
    <cellStyle name="Normal 8 4 2 5 2 3" xfId="12467" xr:uid="{D49DEEE9-FE06-4BFF-BF4C-DFAC83094A22}"/>
    <cellStyle name="Normal 8 4 2 5 3" xfId="6111" xr:uid="{00000000-0005-0000-0000-0000EF1D0000}"/>
    <cellStyle name="Normal 8 4 2 5 3 2" xfId="14540" xr:uid="{08DAE9A4-83F9-4BC6-8D3D-0C432A4DF6EC}"/>
    <cellStyle name="Normal 8 4 2 5 4" xfId="10322" xr:uid="{51511E7D-2FA5-48C8-9EC4-4871678BB933}"/>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55B1ACBC-7621-4AD1-9166-4827EF1E319E}"/>
    <cellStyle name="Normal 8 4 2 6 2 3" xfId="12880" xr:uid="{363B74AA-2DF1-41A8-A319-DD598D824A75}"/>
    <cellStyle name="Normal 8 4 2 6 3" xfId="6524" xr:uid="{00000000-0005-0000-0000-0000F31D0000}"/>
    <cellStyle name="Normal 8 4 2 6 3 2" xfId="14953" xr:uid="{71D7B612-4FD5-4C6F-80D2-5ABA1BE66363}"/>
    <cellStyle name="Normal 8 4 2 6 4" xfId="10735" xr:uid="{90131973-483D-4B20-B7C8-4A580998D92D}"/>
    <cellStyle name="Normal 8 4 2 7" xfId="2652" xr:uid="{00000000-0005-0000-0000-0000F41D0000}"/>
    <cellStyle name="Normal 8 4 2 7 2" xfId="6937" xr:uid="{00000000-0005-0000-0000-0000F51D0000}"/>
    <cellStyle name="Normal 8 4 2 7 2 2" xfId="15366" xr:uid="{8364DCE8-3273-4A0B-9015-30EC846D1361}"/>
    <cellStyle name="Normal 8 4 2 7 3" xfId="11148" xr:uid="{5FDD21F7-1BE9-4493-8332-925B8A4D6905}"/>
    <cellStyle name="Normal 8 4 2 8" xfId="4872" xr:uid="{00000000-0005-0000-0000-0000F61D0000}"/>
    <cellStyle name="Normal 8 4 2 8 2" xfId="13301" xr:uid="{43DB78B7-9F8C-4E6D-932F-790F36ECC455}"/>
    <cellStyle name="Normal 8 4 2 9" xfId="9083" xr:uid="{4FF8BDE2-E405-4B48-B472-4D9035561898}"/>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741EC1E1-8F54-49B6-83B6-04C3CDBB32D4}"/>
    <cellStyle name="Normal 8 4 3 2 2 3" xfId="11643" xr:uid="{7D5EFA07-A565-4574-B97A-E2801B9AA0A1}"/>
    <cellStyle name="Normal 8 4 3 2 3" xfId="5287" xr:uid="{00000000-0005-0000-0000-0000FB1D0000}"/>
    <cellStyle name="Normal 8 4 3 2 3 2" xfId="13716" xr:uid="{5EA37B70-DA60-474D-A66A-35A49D94C5BA}"/>
    <cellStyle name="Normal 8 4 3 2 4" xfId="9498" xr:uid="{2A9CB5B0-FD99-4875-B163-A08D27D14669}"/>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A0456980-097C-4A01-9A86-A35713D9FD83}"/>
    <cellStyle name="Normal 8 4 3 3 2 3" xfId="12056" xr:uid="{B5777D66-21B9-4576-9831-84986A32DCD7}"/>
    <cellStyle name="Normal 8 4 3 3 3" xfId="5700" xr:uid="{00000000-0005-0000-0000-0000FF1D0000}"/>
    <cellStyle name="Normal 8 4 3 3 3 2" xfId="14129" xr:uid="{EF188DDF-E934-4D12-95CA-48A97D83E8F0}"/>
    <cellStyle name="Normal 8 4 3 3 4" xfId="9911" xr:uid="{C3E3243E-6027-418D-BE1B-DAB3AE02F8D4}"/>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7FE721FC-B08B-443F-9552-4C318B876033}"/>
    <cellStyle name="Normal 8 4 3 4 2 3" xfId="12469" xr:uid="{38609D62-53BE-4696-89E5-05C15B6A7192}"/>
    <cellStyle name="Normal 8 4 3 4 3" xfId="6113" xr:uid="{00000000-0005-0000-0000-0000031E0000}"/>
    <cellStyle name="Normal 8 4 3 4 3 2" xfId="14542" xr:uid="{A416A0C5-2180-4A6C-89FB-E5CAEDB229FF}"/>
    <cellStyle name="Normal 8 4 3 4 4" xfId="10324" xr:uid="{D8218FBF-3A18-4AA2-B9C4-27F7B17B531B}"/>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A89DBB5C-EBE7-4364-8652-E42FE504A900}"/>
    <cellStyle name="Normal 8 4 3 5 2 3" xfId="12882" xr:uid="{99307A57-BC68-4F9B-92E8-7C10851F4836}"/>
    <cellStyle name="Normal 8 4 3 5 3" xfId="6526" xr:uid="{00000000-0005-0000-0000-0000071E0000}"/>
    <cellStyle name="Normal 8 4 3 5 3 2" xfId="14955" xr:uid="{DED10913-591D-419F-BE99-B12FA8A0145F}"/>
    <cellStyle name="Normal 8 4 3 5 4" xfId="10737" xr:uid="{A15A945C-5BD2-4D53-9A9F-B1451C4DBBD1}"/>
    <cellStyle name="Normal 8 4 3 6" xfId="2654" xr:uid="{00000000-0005-0000-0000-0000081E0000}"/>
    <cellStyle name="Normal 8 4 3 6 2" xfId="6939" xr:uid="{00000000-0005-0000-0000-0000091E0000}"/>
    <cellStyle name="Normal 8 4 3 6 2 2" xfId="15368" xr:uid="{1C12AEC8-3A23-4FD5-9BAC-F2FE9928AC3F}"/>
    <cellStyle name="Normal 8 4 3 6 3" xfId="11150" xr:uid="{8A6E2C49-219F-4E22-B41B-DB83AB84F69F}"/>
    <cellStyle name="Normal 8 4 3 7" xfId="4874" xr:uid="{00000000-0005-0000-0000-00000A1E0000}"/>
    <cellStyle name="Normal 8 4 3 7 2" xfId="13303" xr:uid="{367A7ED6-0BB4-4463-AAED-6B2461B4F7FC}"/>
    <cellStyle name="Normal 8 4 3 8" xfId="9085" xr:uid="{A81B5A10-F444-427D-84CB-12AC5DBFB06D}"/>
    <cellStyle name="Normal 8 4 4" xfId="971" xr:uid="{00000000-0005-0000-0000-00000B1E0000}"/>
    <cellStyle name="Normal 8 4 4 2" xfId="3205" xr:uid="{00000000-0005-0000-0000-00000C1E0000}"/>
    <cellStyle name="Normal 8 4 4 2 2" xfId="7429" xr:uid="{00000000-0005-0000-0000-00000D1E0000}"/>
    <cellStyle name="Normal 8 4 4 2 2 2" xfId="15858" xr:uid="{3560F74B-4618-4B1B-BB3D-EC4CBA04AB4B}"/>
    <cellStyle name="Normal 8 4 4 2 3" xfId="11640" xr:uid="{6BCEDBA7-3C78-4E73-AB3E-B297C691ECD8}"/>
    <cellStyle name="Normal 8 4 4 3" xfId="5284" xr:uid="{00000000-0005-0000-0000-00000E1E0000}"/>
    <cellStyle name="Normal 8 4 4 3 2" xfId="13713" xr:uid="{08568D62-C9C0-4052-9651-E80F222FC597}"/>
    <cellStyle name="Normal 8 4 4 4" xfId="9495" xr:uid="{7219AD30-2FFF-43D2-BDFB-CC4F073B2F1D}"/>
    <cellStyle name="Normal 8 4 5" xfId="1388" xr:uid="{00000000-0005-0000-0000-00000F1E0000}"/>
    <cellStyle name="Normal 8 4 5 2" xfId="3618" xr:uid="{00000000-0005-0000-0000-0000101E0000}"/>
    <cellStyle name="Normal 8 4 5 2 2" xfId="7842" xr:uid="{00000000-0005-0000-0000-0000111E0000}"/>
    <cellStyle name="Normal 8 4 5 2 2 2" xfId="16271" xr:uid="{FCA5FFBD-CE09-4985-85CD-D6AAC880D60A}"/>
    <cellStyle name="Normal 8 4 5 2 3" xfId="12053" xr:uid="{EDAF2178-CB49-4946-8569-7B9161CABB77}"/>
    <cellStyle name="Normal 8 4 5 3" xfId="5697" xr:uid="{00000000-0005-0000-0000-0000121E0000}"/>
    <cellStyle name="Normal 8 4 5 3 2" xfId="14126" xr:uid="{13A0F6F6-BA6D-4607-AD29-57703206A282}"/>
    <cellStyle name="Normal 8 4 5 4" xfId="9908" xr:uid="{1FC304C9-157A-499D-A0FA-D9C3D10FC4E1}"/>
    <cellStyle name="Normal 8 4 6" xfId="1801" xr:uid="{00000000-0005-0000-0000-0000131E0000}"/>
    <cellStyle name="Normal 8 4 6 2" xfId="4031" xr:uid="{00000000-0005-0000-0000-0000141E0000}"/>
    <cellStyle name="Normal 8 4 6 2 2" xfId="8255" xr:uid="{00000000-0005-0000-0000-0000151E0000}"/>
    <cellStyle name="Normal 8 4 6 2 2 2" xfId="16684" xr:uid="{F53CA7F2-55AF-4CCB-BA35-B487F6F14BC5}"/>
    <cellStyle name="Normal 8 4 6 2 3" xfId="12466" xr:uid="{C83963CE-9BFF-41A4-A64F-DE9DE5263D80}"/>
    <cellStyle name="Normal 8 4 6 3" xfId="6110" xr:uid="{00000000-0005-0000-0000-0000161E0000}"/>
    <cellStyle name="Normal 8 4 6 3 2" xfId="14539" xr:uid="{4E6DF111-49B3-49B9-AE27-23B34D9833B5}"/>
    <cellStyle name="Normal 8 4 6 4" xfId="10321" xr:uid="{472BDCAE-BD51-4F33-BCE6-7AD34539AC93}"/>
    <cellStyle name="Normal 8 4 7" xfId="2215" xr:uid="{00000000-0005-0000-0000-0000171E0000}"/>
    <cellStyle name="Normal 8 4 7 2" xfId="4444" xr:uid="{00000000-0005-0000-0000-0000181E0000}"/>
    <cellStyle name="Normal 8 4 7 2 2" xfId="8668" xr:uid="{00000000-0005-0000-0000-0000191E0000}"/>
    <cellStyle name="Normal 8 4 7 2 2 2" xfId="17097" xr:uid="{0275C308-D1DC-4199-921E-C2E644BD2558}"/>
    <cellStyle name="Normal 8 4 7 2 3" xfId="12879" xr:uid="{3D908B3E-55D7-47AC-8BA2-0FDAF56CC3A7}"/>
    <cellStyle name="Normal 8 4 7 3" xfId="6523" xr:uid="{00000000-0005-0000-0000-00001A1E0000}"/>
    <cellStyle name="Normal 8 4 7 3 2" xfId="14952" xr:uid="{234CCA01-FD7D-443A-8FE0-5F7F5EC09F9D}"/>
    <cellStyle name="Normal 8 4 7 4" xfId="10734" xr:uid="{FBFFB039-C5D2-45C6-B8B5-CFCA8B7D818A}"/>
    <cellStyle name="Normal 8 4 8" xfId="2651" xr:uid="{00000000-0005-0000-0000-00001B1E0000}"/>
    <cellStyle name="Normal 8 4 8 2" xfId="6936" xr:uid="{00000000-0005-0000-0000-00001C1E0000}"/>
    <cellStyle name="Normal 8 4 8 2 2" xfId="15365" xr:uid="{EE3A4D57-6F7B-4CB1-9605-FFA55DA3D9FE}"/>
    <cellStyle name="Normal 8 4 8 3" xfId="11147" xr:uid="{F93C4713-5206-4F66-8B27-23FAAB10F82B}"/>
    <cellStyle name="Normal 8 4 9" xfId="4871" xr:uid="{00000000-0005-0000-0000-00001D1E0000}"/>
    <cellStyle name="Normal 8 4 9 2" xfId="13300" xr:uid="{0726349E-41F8-410B-B81A-267D34D353F1}"/>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9FBE42F0-4819-4EB2-8CED-003700BE60A9}"/>
    <cellStyle name="Normal 8 5 2 2 2 3" xfId="11645" xr:uid="{DC18FD2E-9A36-4A09-A818-51F22417675A}"/>
    <cellStyle name="Normal 8 5 2 2 3" xfId="5289" xr:uid="{00000000-0005-0000-0000-0000231E0000}"/>
    <cellStyle name="Normal 8 5 2 2 3 2" xfId="13718" xr:uid="{F4C8C30E-C68A-41EB-A836-BBC3876FB509}"/>
    <cellStyle name="Normal 8 5 2 2 4" xfId="9500" xr:uid="{642C543F-32E4-4673-975F-8661F5CAD93D}"/>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3C015BE1-82E3-4EF7-8F10-3FC005936BBD}"/>
    <cellStyle name="Normal 8 5 2 3 2 3" xfId="12058" xr:uid="{B5F029DA-0E75-429D-96CF-072EF7216CA2}"/>
    <cellStyle name="Normal 8 5 2 3 3" xfId="5702" xr:uid="{00000000-0005-0000-0000-0000271E0000}"/>
    <cellStyle name="Normal 8 5 2 3 3 2" xfId="14131" xr:uid="{608EBD46-AD99-452D-8DED-646656C97A17}"/>
    <cellStyle name="Normal 8 5 2 3 4" xfId="9913" xr:uid="{592D2681-FBD5-441B-9463-8E6B7D0E648E}"/>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27E24CA8-A463-4814-922D-15FB2CF34A44}"/>
    <cellStyle name="Normal 8 5 2 4 2 3" xfId="12471" xr:uid="{F871DA13-CB05-4848-BA02-549913EA6A67}"/>
    <cellStyle name="Normal 8 5 2 4 3" xfId="6115" xr:uid="{00000000-0005-0000-0000-00002B1E0000}"/>
    <cellStyle name="Normal 8 5 2 4 3 2" xfId="14544" xr:uid="{3A8E9CA5-FC43-43B3-A80B-B2751535A1B2}"/>
    <cellStyle name="Normal 8 5 2 4 4" xfId="10326" xr:uid="{497A5B81-D072-48D4-930F-A4EF26BE206B}"/>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8D050146-E0F8-48E4-9BD0-285CE4E27AD8}"/>
    <cellStyle name="Normal 8 5 2 5 2 3" xfId="12884" xr:uid="{129855AD-BDE4-4FF0-B970-36C12480719F}"/>
    <cellStyle name="Normal 8 5 2 5 3" xfId="6528" xr:uid="{00000000-0005-0000-0000-00002F1E0000}"/>
    <cellStyle name="Normal 8 5 2 5 3 2" xfId="14957" xr:uid="{B8BDDF61-2D88-456D-8E8B-071D169B33EA}"/>
    <cellStyle name="Normal 8 5 2 5 4" xfId="10739" xr:uid="{28EAE136-5A53-41A4-A5C3-5CEE1661DD73}"/>
    <cellStyle name="Normal 8 5 2 6" xfId="2656" xr:uid="{00000000-0005-0000-0000-0000301E0000}"/>
    <cellStyle name="Normal 8 5 2 6 2" xfId="6941" xr:uid="{00000000-0005-0000-0000-0000311E0000}"/>
    <cellStyle name="Normal 8 5 2 6 2 2" xfId="15370" xr:uid="{A024B2B7-DA32-46DC-A904-2F7C1BFC2B65}"/>
    <cellStyle name="Normal 8 5 2 6 3" xfId="11152" xr:uid="{8ABF7A12-6820-430C-9348-8BDA483BE79C}"/>
    <cellStyle name="Normal 8 5 2 7" xfId="4876" xr:uid="{00000000-0005-0000-0000-0000321E0000}"/>
    <cellStyle name="Normal 8 5 2 7 2" xfId="13305" xr:uid="{3575EE29-880C-4836-B5A2-E10750FA2CC7}"/>
    <cellStyle name="Normal 8 5 2 8" xfId="9087" xr:uid="{AB9B8B35-33A2-4238-BC82-B7953B5D2979}"/>
    <cellStyle name="Normal 8 5 3" xfId="975" xr:uid="{00000000-0005-0000-0000-0000331E0000}"/>
    <cellStyle name="Normal 8 5 3 2" xfId="3209" xr:uid="{00000000-0005-0000-0000-0000341E0000}"/>
    <cellStyle name="Normal 8 5 3 2 2" xfId="7433" xr:uid="{00000000-0005-0000-0000-0000351E0000}"/>
    <cellStyle name="Normal 8 5 3 2 2 2" xfId="15862" xr:uid="{9C8209F9-2858-4A58-ACE6-5D32A30AAB98}"/>
    <cellStyle name="Normal 8 5 3 2 3" xfId="11644" xr:uid="{5A038FA0-612B-48EC-BBA3-FF30EA48A30B}"/>
    <cellStyle name="Normal 8 5 3 3" xfId="5288" xr:uid="{00000000-0005-0000-0000-0000361E0000}"/>
    <cellStyle name="Normal 8 5 3 3 2" xfId="13717" xr:uid="{874BBA7C-4A25-4517-B133-16B869A5C484}"/>
    <cellStyle name="Normal 8 5 3 4" xfId="9499" xr:uid="{FD81EF9B-F7E6-46C3-B4CC-DE62E1D131DD}"/>
    <cellStyle name="Normal 8 5 4" xfId="1392" xr:uid="{00000000-0005-0000-0000-0000371E0000}"/>
    <cellStyle name="Normal 8 5 4 2" xfId="3622" xr:uid="{00000000-0005-0000-0000-0000381E0000}"/>
    <cellStyle name="Normal 8 5 4 2 2" xfId="7846" xr:uid="{00000000-0005-0000-0000-0000391E0000}"/>
    <cellStyle name="Normal 8 5 4 2 2 2" xfId="16275" xr:uid="{5FDD8807-5CBE-4F0B-B5FA-216673633AB3}"/>
    <cellStyle name="Normal 8 5 4 2 3" xfId="12057" xr:uid="{25D9ACEB-DF2A-4AC1-B23B-914492B53CAE}"/>
    <cellStyle name="Normal 8 5 4 3" xfId="5701" xr:uid="{00000000-0005-0000-0000-00003A1E0000}"/>
    <cellStyle name="Normal 8 5 4 3 2" xfId="14130" xr:uid="{98EF931F-5445-4120-AC41-3FBCD4076214}"/>
    <cellStyle name="Normal 8 5 4 4" xfId="9912" xr:uid="{169016B8-B707-41EA-96F8-A2BA413E7C39}"/>
    <cellStyle name="Normal 8 5 5" xfId="1805" xr:uid="{00000000-0005-0000-0000-00003B1E0000}"/>
    <cellStyle name="Normal 8 5 5 2" xfId="4035" xr:uid="{00000000-0005-0000-0000-00003C1E0000}"/>
    <cellStyle name="Normal 8 5 5 2 2" xfId="8259" xr:uid="{00000000-0005-0000-0000-00003D1E0000}"/>
    <cellStyle name="Normal 8 5 5 2 2 2" xfId="16688" xr:uid="{BEA0BECB-01B4-42B4-B8CF-7C9510FF8E18}"/>
    <cellStyle name="Normal 8 5 5 2 3" xfId="12470" xr:uid="{DB6607C6-17E5-4C9E-AB68-B9F9D384C4F4}"/>
    <cellStyle name="Normal 8 5 5 3" xfId="6114" xr:uid="{00000000-0005-0000-0000-00003E1E0000}"/>
    <cellStyle name="Normal 8 5 5 3 2" xfId="14543" xr:uid="{C354E45A-3438-4D60-A4A4-8E5F74C2ED16}"/>
    <cellStyle name="Normal 8 5 5 4" xfId="10325" xr:uid="{2DCADB30-FC85-4FF3-AC52-8C55780678BD}"/>
    <cellStyle name="Normal 8 5 6" xfId="2219" xr:uid="{00000000-0005-0000-0000-00003F1E0000}"/>
    <cellStyle name="Normal 8 5 6 2" xfId="4448" xr:uid="{00000000-0005-0000-0000-0000401E0000}"/>
    <cellStyle name="Normal 8 5 6 2 2" xfId="8672" xr:uid="{00000000-0005-0000-0000-0000411E0000}"/>
    <cellStyle name="Normal 8 5 6 2 2 2" xfId="17101" xr:uid="{778446E3-64C0-44F7-8269-3008698339B4}"/>
    <cellStyle name="Normal 8 5 6 2 3" xfId="12883" xr:uid="{7AB283E4-88CA-4C67-B054-19F17740E861}"/>
    <cellStyle name="Normal 8 5 6 3" xfId="6527" xr:uid="{00000000-0005-0000-0000-0000421E0000}"/>
    <cellStyle name="Normal 8 5 6 3 2" xfId="14956" xr:uid="{7D8595F2-7845-49AD-A31C-38408D52E4E2}"/>
    <cellStyle name="Normal 8 5 6 4" xfId="10738" xr:uid="{FA66EFD7-E80B-46A1-8C3C-55027735F95A}"/>
    <cellStyle name="Normal 8 5 7" xfId="2655" xr:uid="{00000000-0005-0000-0000-0000431E0000}"/>
    <cellStyle name="Normal 8 5 7 2" xfId="6940" xr:uid="{00000000-0005-0000-0000-0000441E0000}"/>
    <cellStyle name="Normal 8 5 7 2 2" xfId="15369" xr:uid="{CE77341D-4451-4B7C-B612-D3F5DEE65C52}"/>
    <cellStyle name="Normal 8 5 7 3" xfId="11151" xr:uid="{DE9F168E-5AA4-4A51-838A-401BA38D63C4}"/>
    <cellStyle name="Normal 8 5 8" xfId="4875" xr:uid="{00000000-0005-0000-0000-0000451E0000}"/>
    <cellStyle name="Normal 8 5 8 2" xfId="13304" xr:uid="{8DFE4A11-3508-484C-8151-BC5390AD6F81}"/>
    <cellStyle name="Normal 8 5 9" xfId="9086" xr:uid="{5EF89EC2-C214-4CD6-BDCD-0E41E1C1FA2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0571AD7F-DB10-4F49-9B81-40673DEC6DEF}"/>
    <cellStyle name="Normal 8 6 2 2 3" xfId="11646" xr:uid="{F186E85C-DCE3-4A0A-8E71-F9733C4FBDC3}"/>
    <cellStyle name="Normal 8 6 2 3" xfId="5290" xr:uid="{00000000-0005-0000-0000-00004A1E0000}"/>
    <cellStyle name="Normal 8 6 2 3 2" xfId="13719" xr:uid="{FAD994B2-9A54-439C-9EAC-6F52C2DB87E7}"/>
    <cellStyle name="Normal 8 6 2 4" xfId="9501" xr:uid="{410729D6-27A2-4A06-89CB-991428F16A1C}"/>
    <cellStyle name="Normal 8 6 3" xfId="1394" xr:uid="{00000000-0005-0000-0000-00004B1E0000}"/>
    <cellStyle name="Normal 8 6 3 2" xfId="3624" xr:uid="{00000000-0005-0000-0000-00004C1E0000}"/>
    <cellStyle name="Normal 8 6 3 2 2" xfId="7848" xr:uid="{00000000-0005-0000-0000-00004D1E0000}"/>
    <cellStyle name="Normal 8 6 3 2 2 2" xfId="16277" xr:uid="{65E7847E-F9A6-462B-B6A2-5264E104C4F7}"/>
    <cellStyle name="Normal 8 6 3 2 3" xfId="12059" xr:uid="{9F403842-1C15-43A8-A1C5-7503E84AEC3F}"/>
    <cellStyle name="Normal 8 6 3 3" xfId="5703" xr:uid="{00000000-0005-0000-0000-00004E1E0000}"/>
    <cellStyle name="Normal 8 6 3 3 2" xfId="14132" xr:uid="{A635F00D-981C-4858-8C21-1C9EA14B290D}"/>
    <cellStyle name="Normal 8 6 3 4" xfId="9914" xr:uid="{BBFDDAA9-420C-4D2A-AF01-23190691647F}"/>
    <cellStyle name="Normal 8 6 4" xfId="1807" xr:uid="{00000000-0005-0000-0000-00004F1E0000}"/>
    <cellStyle name="Normal 8 6 4 2" xfId="4037" xr:uid="{00000000-0005-0000-0000-0000501E0000}"/>
    <cellStyle name="Normal 8 6 4 2 2" xfId="8261" xr:uid="{00000000-0005-0000-0000-0000511E0000}"/>
    <cellStyle name="Normal 8 6 4 2 2 2" xfId="16690" xr:uid="{A7BF97CD-D9C0-413B-857A-7FE8CEBFCA4E}"/>
    <cellStyle name="Normal 8 6 4 2 3" xfId="12472" xr:uid="{0C15962C-1D15-4D99-8BB3-56551542F8C5}"/>
    <cellStyle name="Normal 8 6 4 3" xfId="6116" xr:uid="{00000000-0005-0000-0000-0000521E0000}"/>
    <cellStyle name="Normal 8 6 4 3 2" xfId="14545" xr:uid="{E042B04A-11E3-413E-94E4-250E1436C4F5}"/>
    <cellStyle name="Normal 8 6 4 4" xfId="10327" xr:uid="{D650B4B2-FFE4-4EA1-BA89-2CFF4BDC9F14}"/>
    <cellStyle name="Normal 8 6 5" xfId="2221" xr:uid="{00000000-0005-0000-0000-0000531E0000}"/>
    <cellStyle name="Normal 8 6 5 2" xfId="4450" xr:uid="{00000000-0005-0000-0000-0000541E0000}"/>
    <cellStyle name="Normal 8 6 5 2 2" xfId="8674" xr:uid="{00000000-0005-0000-0000-0000551E0000}"/>
    <cellStyle name="Normal 8 6 5 2 2 2" xfId="17103" xr:uid="{41B0F402-8097-4D63-8714-9A611666BC04}"/>
    <cellStyle name="Normal 8 6 5 2 3" xfId="12885" xr:uid="{8FEF47F8-20A1-4E3F-B3CF-0D037840D1B7}"/>
    <cellStyle name="Normal 8 6 5 3" xfId="6529" xr:uid="{00000000-0005-0000-0000-0000561E0000}"/>
    <cellStyle name="Normal 8 6 5 3 2" xfId="14958" xr:uid="{CB4FD021-8CAC-4ABE-A144-ED264BABA648}"/>
    <cellStyle name="Normal 8 6 5 4" xfId="10740" xr:uid="{22030C73-5FF0-4901-907A-FD8B00CBF006}"/>
    <cellStyle name="Normal 8 6 6" xfId="2657" xr:uid="{00000000-0005-0000-0000-0000571E0000}"/>
    <cellStyle name="Normal 8 6 6 2" xfId="6942" xr:uid="{00000000-0005-0000-0000-0000581E0000}"/>
    <cellStyle name="Normal 8 6 6 2 2" xfId="15371" xr:uid="{24533CE3-8FC3-48E3-BB37-EF8F247BFD29}"/>
    <cellStyle name="Normal 8 6 6 3" xfId="11153" xr:uid="{C93B03D3-2A13-4C7B-A495-ECBDE5593BF7}"/>
    <cellStyle name="Normal 8 6 7" xfId="4877" xr:uid="{00000000-0005-0000-0000-0000591E0000}"/>
    <cellStyle name="Normal 8 6 7 2" xfId="13306" xr:uid="{108434A0-3FA2-43CE-AF78-06EB7031E93D}"/>
    <cellStyle name="Normal 8 6 8" xfId="9088" xr:uid="{5BEC9176-55D0-4110-ADCA-1A4F01E5DD9F}"/>
    <cellStyle name="Normal 8 7" xfId="946" xr:uid="{00000000-0005-0000-0000-00005A1E0000}"/>
    <cellStyle name="Normal 8 7 2" xfId="3180" xr:uid="{00000000-0005-0000-0000-00005B1E0000}"/>
    <cellStyle name="Normal 8 7 2 2" xfId="7404" xr:uid="{00000000-0005-0000-0000-00005C1E0000}"/>
    <cellStyle name="Normal 8 7 2 2 2" xfId="15833" xr:uid="{DBF8F1CB-3B5D-427B-AC19-3C4A6F57612D}"/>
    <cellStyle name="Normal 8 7 2 3" xfId="11615" xr:uid="{5E022085-B1BD-4E5B-ACB7-3D3991947DBD}"/>
    <cellStyle name="Normal 8 7 3" xfId="5259" xr:uid="{00000000-0005-0000-0000-00005D1E0000}"/>
    <cellStyle name="Normal 8 7 3 2" xfId="13688" xr:uid="{6F358997-0CB5-4F98-8DCF-1B98E425718D}"/>
    <cellStyle name="Normal 8 7 4" xfId="9470" xr:uid="{732D1095-CF53-441F-BA86-86D880BA08F0}"/>
    <cellStyle name="Normal 8 8" xfId="1363" xr:uid="{00000000-0005-0000-0000-00005E1E0000}"/>
    <cellStyle name="Normal 8 8 2" xfId="3593" xr:uid="{00000000-0005-0000-0000-00005F1E0000}"/>
    <cellStyle name="Normal 8 8 2 2" xfId="7817" xr:uid="{00000000-0005-0000-0000-0000601E0000}"/>
    <cellStyle name="Normal 8 8 2 2 2" xfId="16246" xr:uid="{FE9C2A2E-4D98-4915-B44D-D51D81E920FD}"/>
    <cellStyle name="Normal 8 8 2 3" xfId="12028" xr:uid="{3683DCAE-E67C-480C-9C2A-B4F4346BFE9E}"/>
    <cellStyle name="Normal 8 8 3" xfId="5672" xr:uid="{00000000-0005-0000-0000-0000611E0000}"/>
    <cellStyle name="Normal 8 8 3 2" xfId="14101" xr:uid="{666B56E6-9EE2-4C5D-82AA-AE4C2BE19410}"/>
    <cellStyle name="Normal 8 8 4" xfId="9883" xr:uid="{778DC4F7-333C-4BD0-BCC9-E5197C084D82}"/>
    <cellStyle name="Normal 8 9" xfId="1776" xr:uid="{00000000-0005-0000-0000-0000621E0000}"/>
    <cellStyle name="Normal 8 9 2" xfId="4006" xr:uid="{00000000-0005-0000-0000-0000631E0000}"/>
    <cellStyle name="Normal 8 9 2 2" xfId="8230" xr:uid="{00000000-0005-0000-0000-0000641E0000}"/>
    <cellStyle name="Normal 8 9 2 2 2" xfId="16659" xr:uid="{311D4D3D-7D94-4A51-804A-C13676A63F80}"/>
    <cellStyle name="Normal 8 9 2 3" xfId="12441" xr:uid="{0AB81D12-1165-48BC-8BFE-8F34E0E808F7}"/>
    <cellStyle name="Normal 8 9 3" xfId="6085" xr:uid="{00000000-0005-0000-0000-0000651E0000}"/>
    <cellStyle name="Normal 8 9 3 2" xfId="14514" xr:uid="{D5756A9C-7242-4647-927A-FDA5EB9B02F4}"/>
    <cellStyle name="Normal 8 9 4" xfId="10296" xr:uid="{B9EA94C2-51AF-4A33-A588-1908521520EA}"/>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2A33DEE1-0C3B-4FC5-87AE-3D541B753547}"/>
    <cellStyle name="Normal 9 2 10 3" xfId="11154" xr:uid="{1AE94CC4-5467-4CED-BF3F-A7006B62A0B9}"/>
    <cellStyle name="Normal 9 2 11" xfId="4878" xr:uid="{00000000-0005-0000-0000-00006A1E0000}"/>
    <cellStyle name="Normal 9 2 11 2" xfId="13307" xr:uid="{56A150AA-5085-4D9D-B6C1-046D16CCFF6B}"/>
    <cellStyle name="Normal 9 2 12" xfId="9089" xr:uid="{617A2745-BA53-4B3C-9C76-6D8E45E1F58D}"/>
    <cellStyle name="Normal 9 2 2" xfId="512" xr:uid="{00000000-0005-0000-0000-00006B1E0000}"/>
    <cellStyle name="Normal 9 2 2 10" xfId="4879" xr:uid="{00000000-0005-0000-0000-00006C1E0000}"/>
    <cellStyle name="Normal 9 2 2 10 2" xfId="13308" xr:uid="{3E2E7275-3971-4D69-A46D-5AF70DA09BE7}"/>
    <cellStyle name="Normal 9 2 2 11" xfId="9090" xr:uid="{832DB4B6-CFD7-4D0F-9FBA-D5831F5FE4DB}"/>
    <cellStyle name="Normal 9 2 2 2" xfId="513" xr:uid="{00000000-0005-0000-0000-00006D1E0000}"/>
    <cellStyle name="Normal 9 2 2 2 10" xfId="9091" xr:uid="{86BF0018-C7EF-48B3-AC11-F74536D805EF}"/>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9EFF73C5-1C61-44FD-8C80-7FDDF760F3BD}"/>
    <cellStyle name="Normal 9 2 2 2 2 2 2 2 3" xfId="11651" xr:uid="{EDBAADB4-083F-4615-A3AF-EC9206480D3E}"/>
    <cellStyle name="Normal 9 2 2 2 2 2 2 3" xfId="5295" xr:uid="{00000000-0005-0000-0000-0000731E0000}"/>
    <cellStyle name="Normal 9 2 2 2 2 2 2 3 2" xfId="13724" xr:uid="{C05168DA-CCA3-41C8-BFC5-D15EB910C8FE}"/>
    <cellStyle name="Normal 9 2 2 2 2 2 2 4" xfId="9506" xr:uid="{BCA219E4-D4DB-41A1-9BF1-82748788386D}"/>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4A0F0386-8987-41F5-A904-362EB3BFBA82}"/>
    <cellStyle name="Normal 9 2 2 2 2 2 3 2 3" xfId="12064" xr:uid="{B414E52B-909F-446A-B96E-EE0F200619D7}"/>
    <cellStyle name="Normal 9 2 2 2 2 2 3 3" xfId="5708" xr:uid="{00000000-0005-0000-0000-0000771E0000}"/>
    <cellStyle name="Normal 9 2 2 2 2 2 3 3 2" xfId="14137" xr:uid="{31A5F20E-649B-4FF9-AB0E-B93ADF372557}"/>
    <cellStyle name="Normal 9 2 2 2 2 2 3 4" xfId="9919" xr:uid="{1C9DED5D-6718-44EA-97C1-AA387E4D5BBD}"/>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6F9C97F0-DEC4-43AE-A180-170EEE94A67D}"/>
    <cellStyle name="Normal 9 2 2 2 2 2 4 2 3" xfId="12477" xr:uid="{A2AE3BD7-B13D-42BC-888F-18E0288CD9AD}"/>
    <cellStyle name="Normal 9 2 2 2 2 2 4 3" xfId="6121" xr:uid="{00000000-0005-0000-0000-00007B1E0000}"/>
    <cellStyle name="Normal 9 2 2 2 2 2 4 3 2" xfId="14550" xr:uid="{083434BD-3EB2-4A44-A9AC-A7F7C86098DE}"/>
    <cellStyle name="Normal 9 2 2 2 2 2 4 4" xfId="10332" xr:uid="{2681ACCB-EB6D-4975-BD5A-A8D3A9FEBA54}"/>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1DEE949B-39B3-4EA0-8EC4-B774287B7D86}"/>
    <cellStyle name="Normal 9 2 2 2 2 2 5 2 3" xfId="12890" xr:uid="{64FF0A40-4FC1-4B13-84C9-C18EFA9EBE3F}"/>
    <cellStyle name="Normal 9 2 2 2 2 2 5 3" xfId="6534" xr:uid="{00000000-0005-0000-0000-00007F1E0000}"/>
    <cellStyle name="Normal 9 2 2 2 2 2 5 3 2" xfId="14963" xr:uid="{462519D7-7A6D-44B8-970D-62EB65EB1B0E}"/>
    <cellStyle name="Normal 9 2 2 2 2 2 5 4" xfId="10745" xr:uid="{1A037607-BAD1-4BAC-95F4-74E43F33721F}"/>
    <cellStyle name="Normal 9 2 2 2 2 2 6" xfId="2662" xr:uid="{00000000-0005-0000-0000-0000801E0000}"/>
    <cellStyle name="Normal 9 2 2 2 2 2 6 2" xfId="6947" xr:uid="{00000000-0005-0000-0000-0000811E0000}"/>
    <cellStyle name="Normal 9 2 2 2 2 2 6 2 2" xfId="15376" xr:uid="{5141A9D3-5A53-4495-927E-F1DD2A46F39D}"/>
    <cellStyle name="Normal 9 2 2 2 2 2 6 3" xfId="11158" xr:uid="{73C324EF-8542-456C-8169-81188940D8E8}"/>
    <cellStyle name="Normal 9 2 2 2 2 2 7" xfId="4882" xr:uid="{00000000-0005-0000-0000-0000821E0000}"/>
    <cellStyle name="Normal 9 2 2 2 2 2 7 2" xfId="13311" xr:uid="{25D316FF-1AD7-4638-90C4-FD256A475141}"/>
    <cellStyle name="Normal 9 2 2 2 2 2 8" xfId="9093" xr:uid="{C6D5E7A0-27A9-49B7-82F2-45A0072509E9}"/>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B3C5CC07-3EA9-4DDC-8D5E-D6FF0D4A6D12}"/>
    <cellStyle name="Normal 9 2 2 2 2 3 2 3" xfId="11650" xr:uid="{D39265C6-70C8-4A69-AD83-01E07E659580}"/>
    <cellStyle name="Normal 9 2 2 2 2 3 3" xfId="5294" xr:uid="{00000000-0005-0000-0000-0000861E0000}"/>
    <cellStyle name="Normal 9 2 2 2 2 3 3 2" xfId="13723" xr:uid="{F0F07527-9D23-4111-A9E7-2AA000701E35}"/>
    <cellStyle name="Normal 9 2 2 2 2 3 4" xfId="9505" xr:uid="{3805A245-5C7A-4DA6-A472-6F0A81688321}"/>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7B18DE18-50B1-41E4-9BA7-9CD2222E1C92}"/>
    <cellStyle name="Normal 9 2 2 2 2 4 2 3" xfId="12063" xr:uid="{ABBB2CEB-D655-472C-A72D-6DA37CEFA74C}"/>
    <cellStyle name="Normal 9 2 2 2 2 4 3" xfId="5707" xr:uid="{00000000-0005-0000-0000-00008A1E0000}"/>
    <cellStyle name="Normal 9 2 2 2 2 4 3 2" xfId="14136" xr:uid="{5019B23F-4DC9-48CB-A3F6-853B3C578658}"/>
    <cellStyle name="Normal 9 2 2 2 2 4 4" xfId="9918" xr:uid="{D57D110F-D38E-457C-9E98-C8BA72EC4F13}"/>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B3F4761B-B3E8-419D-8157-6508C9782EB3}"/>
    <cellStyle name="Normal 9 2 2 2 2 5 2 3" xfId="12476" xr:uid="{AA12A08B-85AB-4B8C-8007-3CF06FC9271E}"/>
    <cellStyle name="Normal 9 2 2 2 2 5 3" xfId="6120" xr:uid="{00000000-0005-0000-0000-00008E1E0000}"/>
    <cellStyle name="Normal 9 2 2 2 2 5 3 2" xfId="14549" xr:uid="{1E7052EB-BA37-4775-840D-1756C4A8A97D}"/>
    <cellStyle name="Normal 9 2 2 2 2 5 4" xfId="10331" xr:uid="{AF49E1EC-9546-4DCF-AFB5-F841383CC1C1}"/>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90EE0F91-6633-45AE-B863-01D0872A0E29}"/>
    <cellStyle name="Normal 9 2 2 2 2 6 2 3" xfId="12889" xr:uid="{D7412812-041B-4F2B-87FB-71A079C1E15F}"/>
    <cellStyle name="Normal 9 2 2 2 2 6 3" xfId="6533" xr:uid="{00000000-0005-0000-0000-0000921E0000}"/>
    <cellStyle name="Normal 9 2 2 2 2 6 3 2" xfId="14962" xr:uid="{52BB41F7-4745-457A-A838-8160E12324A3}"/>
    <cellStyle name="Normal 9 2 2 2 2 6 4" xfId="10744" xr:uid="{C94B6DE8-BDE2-4BA2-9B3F-569883363055}"/>
    <cellStyle name="Normal 9 2 2 2 2 7" xfId="2661" xr:uid="{00000000-0005-0000-0000-0000931E0000}"/>
    <cellStyle name="Normal 9 2 2 2 2 7 2" xfId="6946" xr:uid="{00000000-0005-0000-0000-0000941E0000}"/>
    <cellStyle name="Normal 9 2 2 2 2 7 2 2" xfId="15375" xr:uid="{2294672A-4A60-4C47-8775-3ACA6DC648DC}"/>
    <cellStyle name="Normal 9 2 2 2 2 7 3" xfId="11157" xr:uid="{3B9211ED-DFBC-449A-BC88-C919650ED59C}"/>
    <cellStyle name="Normal 9 2 2 2 2 8" xfId="4881" xr:uid="{00000000-0005-0000-0000-0000951E0000}"/>
    <cellStyle name="Normal 9 2 2 2 2 8 2" xfId="13310" xr:uid="{73DDC496-A3A7-40D2-88D8-9308356ECEE6}"/>
    <cellStyle name="Normal 9 2 2 2 2 9" xfId="9092" xr:uid="{EC5791E2-19EA-4CA6-9BDF-C733FCD5E94E}"/>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6DCC746F-D7FD-4531-B904-2B800A79D60D}"/>
    <cellStyle name="Normal 9 2 2 2 3 2 2 3" xfId="11652" xr:uid="{B92A609B-3940-42B6-8311-06911E1CF54C}"/>
    <cellStyle name="Normal 9 2 2 2 3 2 3" xfId="5296" xr:uid="{00000000-0005-0000-0000-00009A1E0000}"/>
    <cellStyle name="Normal 9 2 2 2 3 2 3 2" xfId="13725" xr:uid="{A2DBD20C-AED1-4F50-916B-1ADB3D33404F}"/>
    <cellStyle name="Normal 9 2 2 2 3 2 4" xfId="9507" xr:uid="{87327572-396B-4D1C-9F84-CC2B22C57B68}"/>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4C76B99E-B8F2-42BB-86B7-BAD4FA55794E}"/>
    <cellStyle name="Normal 9 2 2 2 3 3 2 3" xfId="12065" xr:uid="{E0E253BB-548B-4EB7-8BBA-C8A8A9DC2334}"/>
    <cellStyle name="Normal 9 2 2 2 3 3 3" xfId="5709" xr:uid="{00000000-0005-0000-0000-00009E1E0000}"/>
    <cellStyle name="Normal 9 2 2 2 3 3 3 2" xfId="14138" xr:uid="{9E8108D5-625D-4D19-98E3-0BD11BCC2D75}"/>
    <cellStyle name="Normal 9 2 2 2 3 3 4" xfId="9920" xr:uid="{8EACD571-E0F2-4C7F-860E-49D0499771FD}"/>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726BDDF2-ECBF-4298-B6A0-A7F73B97D645}"/>
    <cellStyle name="Normal 9 2 2 2 3 4 2 3" xfId="12478" xr:uid="{E0F552B2-3F26-4C68-B1BD-0E0119CD4C27}"/>
    <cellStyle name="Normal 9 2 2 2 3 4 3" xfId="6122" xr:uid="{00000000-0005-0000-0000-0000A21E0000}"/>
    <cellStyle name="Normal 9 2 2 2 3 4 3 2" xfId="14551" xr:uid="{075B33B7-C524-407B-9582-17984EBDC8CF}"/>
    <cellStyle name="Normal 9 2 2 2 3 4 4" xfId="10333" xr:uid="{E7F8575B-490E-4C99-A838-83FD389590EC}"/>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7235CBFE-B0B3-4444-B29B-EECE55A267FC}"/>
    <cellStyle name="Normal 9 2 2 2 3 5 2 3" xfId="12891" xr:uid="{F6ECE2EC-A1CF-4278-B076-DE47F7CD87FA}"/>
    <cellStyle name="Normal 9 2 2 2 3 5 3" xfId="6535" xr:uid="{00000000-0005-0000-0000-0000A61E0000}"/>
    <cellStyle name="Normal 9 2 2 2 3 5 3 2" xfId="14964" xr:uid="{00D48069-18C7-4268-B32C-36A7FDF1A287}"/>
    <cellStyle name="Normal 9 2 2 2 3 5 4" xfId="10746" xr:uid="{5E5F9FA4-AD48-4133-A0D2-29AB9C011805}"/>
    <cellStyle name="Normal 9 2 2 2 3 6" xfId="2663" xr:uid="{00000000-0005-0000-0000-0000A71E0000}"/>
    <cellStyle name="Normal 9 2 2 2 3 6 2" xfId="6948" xr:uid="{00000000-0005-0000-0000-0000A81E0000}"/>
    <cellStyle name="Normal 9 2 2 2 3 6 2 2" xfId="15377" xr:uid="{9393BEDF-62DF-4431-8E80-266B54836778}"/>
    <cellStyle name="Normal 9 2 2 2 3 6 3" xfId="11159" xr:uid="{87F34183-D2D1-472A-A4C6-91AD329D2315}"/>
    <cellStyle name="Normal 9 2 2 2 3 7" xfId="4883" xr:uid="{00000000-0005-0000-0000-0000A91E0000}"/>
    <cellStyle name="Normal 9 2 2 2 3 7 2" xfId="13312" xr:uid="{10B5F6C1-D34F-48FF-A540-747E72E46D7A}"/>
    <cellStyle name="Normal 9 2 2 2 3 8" xfId="9094" xr:uid="{DFD131DE-C259-4F48-B392-BF4A60B0C04E}"/>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870A7D43-20C1-420A-BD77-8BDE9CDF0D80}"/>
    <cellStyle name="Normal 9 2 2 2 4 2 3" xfId="11649" xr:uid="{0AD2EAD1-468D-4A9C-B6E6-DBCFD8CFCE4E}"/>
    <cellStyle name="Normal 9 2 2 2 4 3" xfId="5293" xr:uid="{00000000-0005-0000-0000-0000AD1E0000}"/>
    <cellStyle name="Normal 9 2 2 2 4 3 2" xfId="13722" xr:uid="{31229C52-A220-43CF-B281-498308A374D6}"/>
    <cellStyle name="Normal 9 2 2 2 4 4" xfId="9504" xr:uid="{48C6EA92-795A-4ADC-9088-129D9302DEBC}"/>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737916D6-DD67-486A-9C9F-36C394C580C8}"/>
    <cellStyle name="Normal 9 2 2 2 5 2 3" xfId="12062" xr:uid="{CBE75339-8DC8-4D00-BD77-94C2673FB3F8}"/>
    <cellStyle name="Normal 9 2 2 2 5 3" xfId="5706" xr:uid="{00000000-0005-0000-0000-0000B11E0000}"/>
    <cellStyle name="Normal 9 2 2 2 5 3 2" xfId="14135" xr:uid="{F62B4AF6-4A54-4E71-AEA9-F3189FD9817D}"/>
    <cellStyle name="Normal 9 2 2 2 5 4" xfId="9917" xr:uid="{1CFCEF71-3C51-4CD2-9E9A-4E9046B7E91D}"/>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C1626951-A7DE-4E47-AA2C-84837FA3AF95}"/>
    <cellStyle name="Normal 9 2 2 2 6 2 3" xfId="12475" xr:uid="{919E027F-C50E-4291-86F5-535EB11FDC3F}"/>
    <cellStyle name="Normal 9 2 2 2 6 3" xfId="6119" xr:uid="{00000000-0005-0000-0000-0000B51E0000}"/>
    <cellStyle name="Normal 9 2 2 2 6 3 2" xfId="14548" xr:uid="{CCB9C59A-B8BC-48E0-8431-FE5020F15A10}"/>
    <cellStyle name="Normal 9 2 2 2 6 4" xfId="10330" xr:uid="{86605F41-44AD-41AD-9AFE-18D4FA8ABF6A}"/>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6D6AE955-BE8A-49D2-9218-3753BDEA1D03}"/>
    <cellStyle name="Normal 9 2 2 2 7 2 3" xfId="12888" xr:uid="{B35FEB21-F6FD-4CD2-8D55-7667D7B55F9A}"/>
    <cellStyle name="Normal 9 2 2 2 7 3" xfId="6532" xr:uid="{00000000-0005-0000-0000-0000B91E0000}"/>
    <cellStyle name="Normal 9 2 2 2 7 3 2" xfId="14961" xr:uid="{AB8595CE-C7EE-46F9-BFE6-24BDFB0210D0}"/>
    <cellStyle name="Normal 9 2 2 2 7 4" xfId="10743" xr:uid="{215B3C81-4F36-4C0E-877A-799B82B2C138}"/>
    <cellStyle name="Normal 9 2 2 2 8" xfId="2660" xr:uid="{00000000-0005-0000-0000-0000BA1E0000}"/>
    <cellStyle name="Normal 9 2 2 2 8 2" xfId="6945" xr:uid="{00000000-0005-0000-0000-0000BB1E0000}"/>
    <cellStyle name="Normal 9 2 2 2 8 2 2" xfId="15374" xr:uid="{FC959A60-EF56-4103-AE13-260E002719FA}"/>
    <cellStyle name="Normal 9 2 2 2 8 3" xfId="11156" xr:uid="{25F48355-D29C-42AD-91E1-52A65C333C1A}"/>
    <cellStyle name="Normal 9 2 2 2 9" xfId="4880" xr:uid="{00000000-0005-0000-0000-0000BC1E0000}"/>
    <cellStyle name="Normal 9 2 2 2 9 2" xfId="13309" xr:uid="{49AB1836-519A-445B-BDFA-78768B0583C2}"/>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30DF788D-4871-4C7E-9BB6-F48CE90D5AD4}"/>
    <cellStyle name="Normal 9 2 2 3 2 2 2 3" xfId="11654" xr:uid="{8FDDFBF9-524F-41E3-B3F4-D617FAF1393F}"/>
    <cellStyle name="Normal 9 2 2 3 2 2 3" xfId="5298" xr:uid="{00000000-0005-0000-0000-0000C21E0000}"/>
    <cellStyle name="Normal 9 2 2 3 2 2 3 2" xfId="13727" xr:uid="{8672D583-49A7-46CC-A2C5-2358AEF076CB}"/>
    <cellStyle name="Normal 9 2 2 3 2 2 4" xfId="9509" xr:uid="{4CB77B1E-ABEB-4978-B3F6-82AEA440AFA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F8645D94-0CDE-4C06-9AA3-F5C339681966}"/>
    <cellStyle name="Normal 9 2 2 3 2 3 2 3" xfId="12067" xr:uid="{16CE4A3D-EE5E-4733-8800-83AEDAC3EA56}"/>
    <cellStyle name="Normal 9 2 2 3 2 3 3" xfId="5711" xr:uid="{00000000-0005-0000-0000-0000C61E0000}"/>
    <cellStyle name="Normal 9 2 2 3 2 3 3 2" xfId="14140" xr:uid="{9A287FC7-ECE3-431B-BDCC-42DF3EAE76D1}"/>
    <cellStyle name="Normal 9 2 2 3 2 3 4" xfId="9922" xr:uid="{677410D5-A267-4250-AFD2-F2A006CFE965}"/>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8A8575EE-9A04-46A4-B6B2-8BB316E58166}"/>
    <cellStyle name="Normal 9 2 2 3 2 4 2 3" xfId="12480" xr:uid="{81E42E5B-4BE4-49BE-911E-B55F75922D51}"/>
    <cellStyle name="Normal 9 2 2 3 2 4 3" xfId="6124" xr:uid="{00000000-0005-0000-0000-0000CA1E0000}"/>
    <cellStyle name="Normal 9 2 2 3 2 4 3 2" xfId="14553" xr:uid="{DA3CAB63-6949-40AB-BAA3-7062D6E9D0A8}"/>
    <cellStyle name="Normal 9 2 2 3 2 4 4" xfId="10335" xr:uid="{CD2F69DE-1CE9-4937-89A3-4A510BF3EBD3}"/>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A56E8DB9-34DF-400B-85B6-287C2FDEA0D5}"/>
    <cellStyle name="Normal 9 2 2 3 2 5 2 3" xfId="12893" xr:uid="{A3E23B9C-6E9C-4E6D-8D01-960E2B79CF4F}"/>
    <cellStyle name="Normal 9 2 2 3 2 5 3" xfId="6537" xr:uid="{00000000-0005-0000-0000-0000CE1E0000}"/>
    <cellStyle name="Normal 9 2 2 3 2 5 3 2" xfId="14966" xr:uid="{71D6297B-3060-4279-B7B4-6D6308994413}"/>
    <cellStyle name="Normal 9 2 2 3 2 5 4" xfId="10748" xr:uid="{4E0B4D54-19A8-4887-93AF-F8E0CDF6215E}"/>
    <cellStyle name="Normal 9 2 2 3 2 6" xfId="2665" xr:uid="{00000000-0005-0000-0000-0000CF1E0000}"/>
    <cellStyle name="Normal 9 2 2 3 2 6 2" xfId="6950" xr:uid="{00000000-0005-0000-0000-0000D01E0000}"/>
    <cellStyle name="Normal 9 2 2 3 2 6 2 2" xfId="15379" xr:uid="{74A9C1DB-360C-47F2-889B-C8E475F0DDE4}"/>
    <cellStyle name="Normal 9 2 2 3 2 6 3" xfId="11161" xr:uid="{7B0B15D0-073D-4673-9901-6E6963914E18}"/>
    <cellStyle name="Normal 9 2 2 3 2 7" xfId="4885" xr:uid="{00000000-0005-0000-0000-0000D11E0000}"/>
    <cellStyle name="Normal 9 2 2 3 2 7 2" xfId="13314" xr:uid="{E9705FA1-CE2C-4CDA-B7BF-DF62CF30728E}"/>
    <cellStyle name="Normal 9 2 2 3 2 8" xfId="9096" xr:uid="{C3957AFF-E200-4A4D-93A7-D2B5E9AA323C}"/>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3BA5F404-1EEE-4EA1-B79B-CFF84D1BFD3E}"/>
    <cellStyle name="Normal 9 2 2 3 3 2 3" xfId="11653" xr:uid="{4C40C5BF-3BD8-4B2C-9B52-3CF02C7C48A9}"/>
    <cellStyle name="Normal 9 2 2 3 3 3" xfId="5297" xr:uid="{00000000-0005-0000-0000-0000D51E0000}"/>
    <cellStyle name="Normal 9 2 2 3 3 3 2" xfId="13726" xr:uid="{6CA9FCC8-C132-476F-92C5-87D4038CB1B0}"/>
    <cellStyle name="Normal 9 2 2 3 3 4" xfId="9508" xr:uid="{744FFD1E-DBFA-4439-9058-DFBA69C16763}"/>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BBDB820E-43DD-4425-B65E-157D1FE6F019}"/>
    <cellStyle name="Normal 9 2 2 3 4 2 3" xfId="12066" xr:uid="{09E391FD-922B-4A8A-AC56-99A5464B2AE6}"/>
    <cellStyle name="Normal 9 2 2 3 4 3" xfId="5710" xr:uid="{00000000-0005-0000-0000-0000D91E0000}"/>
    <cellStyle name="Normal 9 2 2 3 4 3 2" xfId="14139" xr:uid="{9BE5EE06-E2DA-4E6C-9FBD-EC1459B83BB0}"/>
    <cellStyle name="Normal 9 2 2 3 4 4" xfId="9921" xr:uid="{190076C5-983B-4169-BD7B-020D411D7C0E}"/>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6FB2C72D-1FFB-4BA3-B5F3-5E10863A318A}"/>
    <cellStyle name="Normal 9 2 2 3 5 2 3" xfId="12479" xr:uid="{2EB7ED1B-EF37-48D8-ADA2-637059933228}"/>
    <cellStyle name="Normal 9 2 2 3 5 3" xfId="6123" xr:uid="{00000000-0005-0000-0000-0000DD1E0000}"/>
    <cellStyle name="Normal 9 2 2 3 5 3 2" xfId="14552" xr:uid="{C2E2DA4D-DB3C-4931-9073-46D4B6907E4F}"/>
    <cellStyle name="Normal 9 2 2 3 5 4" xfId="10334" xr:uid="{96A437E3-2AEC-4145-807F-6BAA9ACF411E}"/>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9C9A9A73-8C97-42B3-9E2A-68586F22A6C9}"/>
    <cellStyle name="Normal 9 2 2 3 6 2 3" xfId="12892" xr:uid="{E589BEEF-66D7-4AA1-8A78-D24E65BBACA4}"/>
    <cellStyle name="Normal 9 2 2 3 6 3" xfId="6536" xr:uid="{00000000-0005-0000-0000-0000E11E0000}"/>
    <cellStyle name="Normal 9 2 2 3 6 3 2" xfId="14965" xr:uid="{7A5CEB17-CDEA-4148-B49C-C91E913C7769}"/>
    <cellStyle name="Normal 9 2 2 3 6 4" xfId="10747" xr:uid="{CE007DA6-CBBD-4A34-BC63-9FEBCF5A7AE0}"/>
    <cellStyle name="Normal 9 2 2 3 7" xfId="2664" xr:uid="{00000000-0005-0000-0000-0000E21E0000}"/>
    <cellStyle name="Normal 9 2 2 3 7 2" xfId="6949" xr:uid="{00000000-0005-0000-0000-0000E31E0000}"/>
    <cellStyle name="Normal 9 2 2 3 7 2 2" xfId="15378" xr:uid="{C4BC0639-A8F0-4771-AC9E-C30E6654BD54}"/>
    <cellStyle name="Normal 9 2 2 3 7 3" xfId="11160" xr:uid="{4329CB64-EB1F-4525-B076-06BAC6A1D979}"/>
    <cellStyle name="Normal 9 2 2 3 8" xfId="4884" xr:uid="{00000000-0005-0000-0000-0000E41E0000}"/>
    <cellStyle name="Normal 9 2 2 3 8 2" xfId="13313" xr:uid="{1007001A-3350-4F83-A10E-2288158E91E6}"/>
    <cellStyle name="Normal 9 2 2 3 9" xfId="9095" xr:uid="{E792D49F-6F0B-41C9-AE3B-B997D5E5036F}"/>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23542C58-8666-4FDA-A88F-14B6F9C40FE3}"/>
    <cellStyle name="Normal 9 2 2 4 2 2 3" xfId="11655" xr:uid="{C329B788-0CAB-4348-9313-820F290C0C32}"/>
    <cellStyle name="Normal 9 2 2 4 2 3" xfId="5299" xr:uid="{00000000-0005-0000-0000-0000E91E0000}"/>
    <cellStyle name="Normal 9 2 2 4 2 3 2" xfId="13728" xr:uid="{58F0AAF6-5D14-4BF0-AD86-A3D9B2352FFB}"/>
    <cellStyle name="Normal 9 2 2 4 2 4" xfId="9510" xr:uid="{47EEBBD9-7DA8-46A0-871B-574B7AAF2980}"/>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49C3289F-98EC-4BA3-9D9C-3485BFAA9642}"/>
    <cellStyle name="Normal 9 2 2 4 3 2 3" xfId="12068" xr:uid="{35198C0D-8CBB-4AC5-AA81-122CFF5FB8FC}"/>
    <cellStyle name="Normal 9 2 2 4 3 3" xfId="5712" xr:uid="{00000000-0005-0000-0000-0000ED1E0000}"/>
    <cellStyle name="Normal 9 2 2 4 3 3 2" xfId="14141" xr:uid="{A5D83F85-57C7-45CA-B9C4-E6EC0A141226}"/>
    <cellStyle name="Normal 9 2 2 4 3 4" xfId="9923" xr:uid="{C3E03691-8B3A-470D-AA10-A86E57EA87A8}"/>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DE0BBD64-F999-4319-94EC-DFBDE046B369}"/>
    <cellStyle name="Normal 9 2 2 4 4 2 3" xfId="12481" xr:uid="{7DEEF52A-1277-45EE-9EF0-E7B7D6A64274}"/>
    <cellStyle name="Normal 9 2 2 4 4 3" xfId="6125" xr:uid="{00000000-0005-0000-0000-0000F11E0000}"/>
    <cellStyle name="Normal 9 2 2 4 4 3 2" xfId="14554" xr:uid="{974A753D-5A46-450F-B848-1CC34164C198}"/>
    <cellStyle name="Normal 9 2 2 4 4 4" xfId="10336" xr:uid="{DA8C6F7A-2C44-46A5-B8C5-32602BD20CF2}"/>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0859AA30-2E20-4672-BBBC-571456F6F39C}"/>
    <cellStyle name="Normal 9 2 2 4 5 2 3" xfId="12894" xr:uid="{00A3796D-BFFD-4AD8-9DF6-F27863FB9669}"/>
    <cellStyle name="Normal 9 2 2 4 5 3" xfId="6538" xr:uid="{00000000-0005-0000-0000-0000F51E0000}"/>
    <cellStyle name="Normal 9 2 2 4 5 3 2" xfId="14967" xr:uid="{33638184-44E9-4839-8F2E-D11BE9C9AD2C}"/>
    <cellStyle name="Normal 9 2 2 4 5 4" xfId="10749" xr:uid="{A61F5090-59EF-4CF8-9499-7762702F8868}"/>
    <cellStyle name="Normal 9 2 2 4 6" xfId="2666" xr:uid="{00000000-0005-0000-0000-0000F61E0000}"/>
    <cellStyle name="Normal 9 2 2 4 6 2" xfId="6951" xr:uid="{00000000-0005-0000-0000-0000F71E0000}"/>
    <cellStyle name="Normal 9 2 2 4 6 2 2" xfId="15380" xr:uid="{12BBDCA6-05BA-4BB6-AB02-85D96D633B28}"/>
    <cellStyle name="Normal 9 2 2 4 6 3" xfId="11162" xr:uid="{EED8B770-FA2A-434F-8618-B9F4B85CDAD2}"/>
    <cellStyle name="Normal 9 2 2 4 7" xfId="4886" xr:uid="{00000000-0005-0000-0000-0000F81E0000}"/>
    <cellStyle name="Normal 9 2 2 4 7 2" xfId="13315" xr:uid="{55FF05B3-4E8E-4DAA-920E-2897FE026273}"/>
    <cellStyle name="Normal 9 2 2 4 8" xfId="9097" xr:uid="{D4CD3292-460B-448C-BFC1-3D96D40F8468}"/>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513FB1B7-1068-410F-871D-A8A2EF405862}"/>
    <cellStyle name="Normal 9 2 2 5 2 3" xfId="11648" xr:uid="{0AA44BBD-53B1-4038-B533-FF9B0CC249D0}"/>
    <cellStyle name="Normal 9 2 2 5 3" xfId="5292" xr:uid="{00000000-0005-0000-0000-0000FC1E0000}"/>
    <cellStyle name="Normal 9 2 2 5 3 2" xfId="13721" xr:uid="{62551B89-37C4-460B-887D-DC9495C23CCA}"/>
    <cellStyle name="Normal 9 2 2 5 4" xfId="9503" xr:uid="{CE8E80E5-B930-4BBD-8A5B-2C4F6B131177}"/>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965BBB6A-DCAE-4097-9AD5-FF3FAB51543B}"/>
    <cellStyle name="Normal 9 2 2 6 2 3" xfId="12061" xr:uid="{3A547BBE-A43A-4D6C-BCF0-53E58F91F97E}"/>
    <cellStyle name="Normal 9 2 2 6 3" xfId="5705" xr:uid="{00000000-0005-0000-0000-0000001F0000}"/>
    <cellStyle name="Normal 9 2 2 6 3 2" xfId="14134" xr:uid="{34BA6BE8-9DB1-44C8-B031-EEFD65BC5B09}"/>
    <cellStyle name="Normal 9 2 2 6 4" xfId="9916" xr:uid="{5B26AF78-F688-49FB-9F77-75CDE70FEA92}"/>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16C45DC1-B0B8-4933-9B00-9CEEE30D89E3}"/>
    <cellStyle name="Normal 9 2 2 7 2 3" xfId="12474" xr:uid="{97D97353-E20D-488B-88A6-9F9069DEA926}"/>
    <cellStyle name="Normal 9 2 2 7 3" xfId="6118" xr:uid="{00000000-0005-0000-0000-0000041F0000}"/>
    <cellStyle name="Normal 9 2 2 7 3 2" xfId="14547" xr:uid="{C3CC49A7-85A5-4A97-890D-82E2D2348C9D}"/>
    <cellStyle name="Normal 9 2 2 7 4" xfId="10329" xr:uid="{43829854-C092-40FD-B17A-2A2D6467DBAF}"/>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19DA1F25-83B8-489A-959D-8BDE8B220AD8}"/>
    <cellStyle name="Normal 9 2 2 8 2 3" xfId="12887" xr:uid="{A8FA55BF-AB63-4F71-B882-86AE9DE1E670}"/>
    <cellStyle name="Normal 9 2 2 8 3" xfId="6531" xr:uid="{00000000-0005-0000-0000-0000081F0000}"/>
    <cellStyle name="Normal 9 2 2 8 3 2" xfId="14960" xr:uid="{5C1E4250-4394-411E-B8B1-50CEAA2D8D51}"/>
    <cellStyle name="Normal 9 2 2 8 4" xfId="10742" xr:uid="{0F2C9A61-79EE-43E9-984B-53BC4F3CBCF7}"/>
    <cellStyle name="Normal 9 2 2 9" xfId="2659" xr:uid="{00000000-0005-0000-0000-0000091F0000}"/>
    <cellStyle name="Normal 9 2 2 9 2" xfId="6944" xr:uid="{00000000-0005-0000-0000-00000A1F0000}"/>
    <cellStyle name="Normal 9 2 2 9 2 2" xfId="15373" xr:uid="{90E09BE7-71F7-49FE-B772-1EFA476100E2}"/>
    <cellStyle name="Normal 9 2 2 9 3" xfId="11155" xr:uid="{CAFB9641-24E1-45CA-94BC-855E4B759AB2}"/>
    <cellStyle name="Normal 9 2 3" xfId="520" xr:uid="{00000000-0005-0000-0000-00000B1F0000}"/>
    <cellStyle name="Normal 9 2 3 10" xfId="9098" xr:uid="{E2F573E7-0EC6-4DE8-85DD-DBB8CD53F373}"/>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B2F3CE7E-7C44-44B5-B3D0-746BFAEBF592}"/>
    <cellStyle name="Normal 9 2 3 2 2 2 2 3" xfId="11658" xr:uid="{CF39295B-8AC3-4C85-8894-68E5C7CED081}"/>
    <cellStyle name="Normal 9 2 3 2 2 2 3" xfId="5302" xr:uid="{00000000-0005-0000-0000-0000111F0000}"/>
    <cellStyle name="Normal 9 2 3 2 2 2 3 2" xfId="13731" xr:uid="{FBC45BD4-42BB-4B64-86A8-6DF050AB50D8}"/>
    <cellStyle name="Normal 9 2 3 2 2 2 4" xfId="9513" xr:uid="{CE0999A5-8E43-4BEB-8EB8-788A2FFF17DC}"/>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713105EA-9CB9-46EB-8940-ABA1352EF2DE}"/>
    <cellStyle name="Normal 9 2 3 2 2 3 2 3" xfId="12071" xr:uid="{1CEB6DEC-3024-4783-9F1A-B2CE648BDA0C}"/>
    <cellStyle name="Normal 9 2 3 2 2 3 3" xfId="5715" xr:uid="{00000000-0005-0000-0000-0000151F0000}"/>
    <cellStyle name="Normal 9 2 3 2 2 3 3 2" xfId="14144" xr:uid="{87FDDE86-1263-43E1-93B6-8AB6C5E1D64D}"/>
    <cellStyle name="Normal 9 2 3 2 2 3 4" xfId="9926" xr:uid="{4BDD6381-34F9-43BB-9F31-D27568D417F9}"/>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B0DD98D1-C03B-482A-AB4F-05778FE6FBFE}"/>
    <cellStyle name="Normal 9 2 3 2 2 4 2 3" xfId="12484" xr:uid="{14E0D08E-34A1-46AB-BA1C-056AC46107E0}"/>
    <cellStyle name="Normal 9 2 3 2 2 4 3" xfId="6128" xr:uid="{00000000-0005-0000-0000-0000191F0000}"/>
    <cellStyle name="Normal 9 2 3 2 2 4 3 2" xfId="14557" xr:uid="{09370F07-1C32-485D-8085-AAB6371C1F64}"/>
    <cellStyle name="Normal 9 2 3 2 2 4 4" xfId="10339" xr:uid="{5A636F7E-66E0-4AE0-A99A-15A9F239DC88}"/>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47A6D781-6CB6-4235-A22F-3418AF0C054C}"/>
    <cellStyle name="Normal 9 2 3 2 2 5 2 3" xfId="12897" xr:uid="{AB675DFA-C080-4080-863F-A75F7B9567EC}"/>
    <cellStyle name="Normal 9 2 3 2 2 5 3" xfId="6541" xr:uid="{00000000-0005-0000-0000-00001D1F0000}"/>
    <cellStyle name="Normal 9 2 3 2 2 5 3 2" xfId="14970" xr:uid="{64999A84-F159-4F8C-A79E-2F1BF623E4B2}"/>
    <cellStyle name="Normal 9 2 3 2 2 5 4" xfId="10752" xr:uid="{1BEE124B-EA09-4494-AEDA-57644FD513FC}"/>
    <cellStyle name="Normal 9 2 3 2 2 6" xfId="2669" xr:uid="{00000000-0005-0000-0000-00001E1F0000}"/>
    <cellStyle name="Normal 9 2 3 2 2 6 2" xfId="6954" xr:uid="{00000000-0005-0000-0000-00001F1F0000}"/>
    <cellStyle name="Normal 9 2 3 2 2 6 2 2" xfId="15383" xr:uid="{67493FCD-8C88-4450-B082-DB56D8627122}"/>
    <cellStyle name="Normal 9 2 3 2 2 6 3" xfId="11165" xr:uid="{8697DE39-A672-4A68-962E-A1C6A0E915EE}"/>
    <cellStyle name="Normal 9 2 3 2 2 7" xfId="4889" xr:uid="{00000000-0005-0000-0000-0000201F0000}"/>
    <cellStyle name="Normal 9 2 3 2 2 7 2" xfId="13318" xr:uid="{FCC6B653-29F0-47DE-92E6-08B2A67C765F}"/>
    <cellStyle name="Normal 9 2 3 2 2 8" xfId="9100" xr:uid="{0447F1EB-2A41-414E-8090-2D33EBC26FE5}"/>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1D46CE76-0B3C-4470-AE87-89C2EB20FA15}"/>
    <cellStyle name="Normal 9 2 3 2 3 2 3" xfId="11657" xr:uid="{93972E7B-A144-4801-94A9-A7CF17523136}"/>
    <cellStyle name="Normal 9 2 3 2 3 3" xfId="5301" xr:uid="{00000000-0005-0000-0000-0000241F0000}"/>
    <cellStyle name="Normal 9 2 3 2 3 3 2" xfId="13730" xr:uid="{335502FB-D679-47F5-9D5B-CC411BFF55B1}"/>
    <cellStyle name="Normal 9 2 3 2 3 4" xfId="9512" xr:uid="{72AD6860-0EFE-4E4C-BF12-4405F64F0B71}"/>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9A827FF6-C3A8-4153-B730-5709FC7ED3CA}"/>
    <cellStyle name="Normal 9 2 3 2 4 2 3" xfId="12070" xr:uid="{1A065526-25DF-4B86-AA33-858FF241ABB8}"/>
    <cellStyle name="Normal 9 2 3 2 4 3" xfId="5714" xr:uid="{00000000-0005-0000-0000-0000281F0000}"/>
    <cellStyle name="Normal 9 2 3 2 4 3 2" xfId="14143" xr:uid="{DAA5C29F-0855-4C70-BB6E-BA6EB9915EA1}"/>
    <cellStyle name="Normal 9 2 3 2 4 4" xfId="9925" xr:uid="{F2BC41AF-80E1-4A85-BB6A-59A6EAD85661}"/>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E4919EBA-AF1F-497D-94CD-B941F456442D}"/>
    <cellStyle name="Normal 9 2 3 2 5 2 3" xfId="12483" xr:uid="{23E11B9F-02C4-4547-91A2-6272603CFA27}"/>
    <cellStyle name="Normal 9 2 3 2 5 3" xfId="6127" xr:uid="{00000000-0005-0000-0000-00002C1F0000}"/>
    <cellStyle name="Normal 9 2 3 2 5 3 2" xfId="14556" xr:uid="{062C35AC-9A1E-41CC-B57E-2FB16106077F}"/>
    <cellStyle name="Normal 9 2 3 2 5 4" xfId="10338" xr:uid="{512FF16C-38EB-4A24-BA4E-59F579F298D9}"/>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F3C799B1-3ACF-450C-B0F5-5F3AA3053D42}"/>
    <cellStyle name="Normal 9 2 3 2 6 2 3" xfId="12896" xr:uid="{1E41E3F0-8E7F-4CB4-8FDF-27E22E6E5FBF}"/>
    <cellStyle name="Normal 9 2 3 2 6 3" xfId="6540" xr:uid="{00000000-0005-0000-0000-0000301F0000}"/>
    <cellStyle name="Normal 9 2 3 2 6 3 2" xfId="14969" xr:uid="{71AE93A9-4871-4A2F-B713-3B5F2ACCE9D3}"/>
    <cellStyle name="Normal 9 2 3 2 6 4" xfId="10751" xr:uid="{A4A23C69-152C-4A99-8E63-F15CD668889A}"/>
    <cellStyle name="Normal 9 2 3 2 7" xfId="2668" xr:uid="{00000000-0005-0000-0000-0000311F0000}"/>
    <cellStyle name="Normal 9 2 3 2 7 2" xfId="6953" xr:uid="{00000000-0005-0000-0000-0000321F0000}"/>
    <cellStyle name="Normal 9 2 3 2 7 2 2" xfId="15382" xr:uid="{16AC67BB-A0DA-4FA4-96AC-026CC790BF18}"/>
    <cellStyle name="Normal 9 2 3 2 7 3" xfId="11164" xr:uid="{F6A48D37-5A03-4991-92BD-C93956B35340}"/>
    <cellStyle name="Normal 9 2 3 2 8" xfId="4888" xr:uid="{00000000-0005-0000-0000-0000331F0000}"/>
    <cellStyle name="Normal 9 2 3 2 8 2" xfId="13317" xr:uid="{5D75BF45-7236-48B0-8F12-2C0EFADD9868}"/>
    <cellStyle name="Normal 9 2 3 2 9" xfId="9099" xr:uid="{8B460932-8B5F-4C2A-8C99-55ECFEBBEBE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4BB5A320-405F-4BC0-9D20-DB852D96BBA9}"/>
    <cellStyle name="Normal 9 2 3 3 2 2 3" xfId="11659" xr:uid="{94570118-CD25-4CEF-BCA0-D0EEF4E09E11}"/>
    <cellStyle name="Normal 9 2 3 3 2 3" xfId="5303" xr:uid="{00000000-0005-0000-0000-0000381F0000}"/>
    <cellStyle name="Normal 9 2 3 3 2 3 2" xfId="13732" xr:uid="{C3E64741-F31C-4067-8634-0285F99C3A29}"/>
    <cellStyle name="Normal 9 2 3 3 2 4" xfId="9514" xr:uid="{EAC95989-CD62-4156-A827-12503B391151}"/>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80D2D200-A8FD-4C97-9E32-8F6177C8D794}"/>
    <cellStyle name="Normal 9 2 3 3 3 2 3" xfId="12072" xr:uid="{946DFEC6-7452-453C-A2D5-5F9E18B92CFB}"/>
    <cellStyle name="Normal 9 2 3 3 3 3" xfId="5716" xr:uid="{00000000-0005-0000-0000-00003C1F0000}"/>
    <cellStyle name="Normal 9 2 3 3 3 3 2" xfId="14145" xr:uid="{97A471C4-AF30-499C-83AE-8263A5F40905}"/>
    <cellStyle name="Normal 9 2 3 3 3 4" xfId="9927" xr:uid="{69D7C3ED-95A3-491F-9A8A-C5F658C507BD}"/>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947965F5-7DBA-4EED-B986-20DD79027443}"/>
    <cellStyle name="Normal 9 2 3 3 4 2 3" xfId="12485" xr:uid="{CA96E766-D9A8-4EDC-ACFD-68BA3A0A2BC5}"/>
    <cellStyle name="Normal 9 2 3 3 4 3" xfId="6129" xr:uid="{00000000-0005-0000-0000-0000401F0000}"/>
    <cellStyle name="Normal 9 2 3 3 4 3 2" xfId="14558" xr:uid="{8B317E05-AB12-4488-91D3-874D9C2E85AC}"/>
    <cellStyle name="Normal 9 2 3 3 4 4" xfId="10340" xr:uid="{D4661F15-9A46-4A02-9C7A-8B6CFBD73B91}"/>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152A3600-E75C-4394-B73A-85AC963F2818}"/>
    <cellStyle name="Normal 9 2 3 3 5 2 3" xfId="12898" xr:uid="{91A9397D-0C40-4F0C-8912-58B085EED52A}"/>
    <cellStyle name="Normal 9 2 3 3 5 3" xfId="6542" xr:uid="{00000000-0005-0000-0000-0000441F0000}"/>
    <cellStyle name="Normal 9 2 3 3 5 3 2" xfId="14971" xr:uid="{A839AA96-D06A-4704-8D89-ADE2AF6E78D1}"/>
    <cellStyle name="Normal 9 2 3 3 5 4" xfId="10753" xr:uid="{580729D8-3F73-4DDE-9F1E-859506F1163C}"/>
    <cellStyle name="Normal 9 2 3 3 6" xfId="2670" xr:uid="{00000000-0005-0000-0000-0000451F0000}"/>
    <cellStyle name="Normal 9 2 3 3 6 2" xfId="6955" xr:uid="{00000000-0005-0000-0000-0000461F0000}"/>
    <cellStyle name="Normal 9 2 3 3 6 2 2" xfId="15384" xr:uid="{0538DD4B-3720-40FE-8E79-84D1F1B8B505}"/>
    <cellStyle name="Normal 9 2 3 3 6 3" xfId="11166" xr:uid="{612C4B83-B154-48BE-AB18-1751EA202C7A}"/>
    <cellStyle name="Normal 9 2 3 3 7" xfId="4890" xr:uid="{00000000-0005-0000-0000-0000471F0000}"/>
    <cellStyle name="Normal 9 2 3 3 7 2" xfId="13319" xr:uid="{513C6175-3942-4C72-9DAA-C9CB8DBBFE79}"/>
    <cellStyle name="Normal 9 2 3 3 8" xfId="9101" xr:uid="{580A9893-8001-4C30-9A31-CB24A5E5358E}"/>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7E88B2C8-C7BC-4A34-8CFF-D3E991005BB2}"/>
    <cellStyle name="Normal 9 2 3 4 2 3" xfId="11656" xr:uid="{55BDD8D5-8796-4E03-9D64-E8E264C9DD2A}"/>
    <cellStyle name="Normal 9 2 3 4 3" xfId="5300" xr:uid="{00000000-0005-0000-0000-00004B1F0000}"/>
    <cellStyle name="Normal 9 2 3 4 3 2" xfId="13729" xr:uid="{4769D5EA-DC52-46DC-94C5-473F59C51C8D}"/>
    <cellStyle name="Normal 9 2 3 4 4" xfId="9511" xr:uid="{E5863C81-6723-4B52-929F-B91BC39E3C26}"/>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0233DD51-4C5F-4AB0-8583-D5E4D4AAFAA7}"/>
    <cellStyle name="Normal 9 2 3 5 2 3" xfId="12069" xr:uid="{84E4E5F7-F6DB-467F-8318-AF7180476A79}"/>
    <cellStyle name="Normal 9 2 3 5 3" xfId="5713" xr:uid="{00000000-0005-0000-0000-00004F1F0000}"/>
    <cellStyle name="Normal 9 2 3 5 3 2" xfId="14142" xr:uid="{64176AB4-96C7-4A13-A61A-F7A9566959AE}"/>
    <cellStyle name="Normal 9 2 3 5 4" xfId="9924" xr:uid="{9A8AF719-305B-4150-AA91-3FCF9D64AE5F}"/>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F82F048F-8EC3-4123-BFD3-738B56D54753}"/>
    <cellStyle name="Normal 9 2 3 6 2 3" xfId="12482" xr:uid="{3E5579D7-0C5D-4400-A858-6D40AB5D237A}"/>
    <cellStyle name="Normal 9 2 3 6 3" xfId="6126" xr:uid="{00000000-0005-0000-0000-0000531F0000}"/>
    <cellStyle name="Normal 9 2 3 6 3 2" xfId="14555" xr:uid="{09D0EAF3-D196-4D68-BD1C-2E800E2857D5}"/>
    <cellStyle name="Normal 9 2 3 6 4" xfId="10337" xr:uid="{9546CCDC-7164-48A0-906E-9806A4BC3440}"/>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B3B875A9-4804-4672-8891-442503BC7FA6}"/>
    <cellStyle name="Normal 9 2 3 7 2 3" xfId="12895" xr:uid="{13F499F1-8B5F-40F6-9958-F7E2C015004F}"/>
    <cellStyle name="Normal 9 2 3 7 3" xfId="6539" xr:uid="{00000000-0005-0000-0000-0000571F0000}"/>
    <cellStyle name="Normal 9 2 3 7 3 2" xfId="14968" xr:uid="{044D73A5-C65C-4463-8218-085F22A057B3}"/>
    <cellStyle name="Normal 9 2 3 7 4" xfId="10750" xr:uid="{FEE268AA-E0C5-48A1-B666-CCBA949D3485}"/>
    <cellStyle name="Normal 9 2 3 8" xfId="2667" xr:uid="{00000000-0005-0000-0000-0000581F0000}"/>
    <cellStyle name="Normal 9 2 3 8 2" xfId="6952" xr:uid="{00000000-0005-0000-0000-0000591F0000}"/>
    <cellStyle name="Normal 9 2 3 8 2 2" xfId="15381" xr:uid="{2B9E7C0D-B812-49DC-8DDF-0BD3C5062012}"/>
    <cellStyle name="Normal 9 2 3 8 3" xfId="11163" xr:uid="{D4D02B5F-ED76-4A65-844D-9B7CCF29327D}"/>
    <cellStyle name="Normal 9 2 3 9" xfId="4887" xr:uid="{00000000-0005-0000-0000-00005A1F0000}"/>
    <cellStyle name="Normal 9 2 3 9 2" xfId="13316" xr:uid="{009DAE2C-569A-4848-BD7F-390C28C9093C}"/>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AAC2F6E6-F925-4A4E-8EF4-D56C6E5B9156}"/>
    <cellStyle name="Normal 9 2 4 2 2 2 3" xfId="11661" xr:uid="{BDE7B9B5-1EC1-4B19-B9D3-2647D708E6A3}"/>
    <cellStyle name="Normal 9 2 4 2 2 3" xfId="5305" xr:uid="{00000000-0005-0000-0000-0000601F0000}"/>
    <cellStyle name="Normal 9 2 4 2 2 3 2" xfId="13734" xr:uid="{B190EA9B-CF50-47F4-982A-DFFCCC452488}"/>
    <cellStyle name="Normal 9 2 4 2 2 4" xfId="9516" xr:uid="{CEC8C088-38F9-431F-8A76-9383DD63F7B9}"/>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949B2DBD-3840-40A0-9CE7-8C802041E5E8}"/>
    <cellStyle name="Normal 9 2 4 2 3 2 3" xfId="12074" xr:uid="{4355B762-73E7-42A7-973D-37D1458282D5}"/>
    <cellStyle name="Normal 9 2 4 2 3 3" xfId="5718" xr:uid="{00000000-0005-0000-0000-0000641F0000}"/>
    <cellStyle name="Normal 9 2 4 2 3 3 2" xfId="14147" xr:uid="{A74BC017-1F6A-4397-83D9-D78C3C5D513A}"/>
    <cellStyle name="Normal 9 2 4 2 3 4" xfId="9929" xr:uid="{A13EB89B-F67D-4145-BC51-B85A5542D5A6}"/>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600A2DAB-A077-4D59-8349-72B6E0CBD94A}"/>
    <cellStyle name="Normal 9 2 4 2 4 2 3" xfId="12487" xr:uid="{ED0B35E1-FDFE-4FB0-A9AA-F0ED114D1D48}"/>
    <cellStyle name="Normal 9 2 4 2 4 3" xfId="6131" xr:uid="{00000000-0005-0000-0000-0000681F0000}"/>
    <cellStyle name="Normal 9 2 4 2 4 3 2" xfId="14560" xr:uid="{55953B2D-C246-4DF6-9281-81F546417C95}"/>
    <cellStyle name="Normal 9 2 4 2 4 4" xfId="10342" xr:uid="{AA2A3C29-5C51-4362-960C-AD14EAF3469F}"/>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8887AD49-3041-4FE2-A78B-93CA014717ED}"/>
    <cellStyle name="Normal 9 2 4 2 5 2 3" xfId="12900" xr:uid="{E87FEDB9-1A07-4507-A8C9-367E7ACE0D63}"/>
    <cellStyle name="Normal 9 2 4 2 5 3" xfId="6544" xr:uid="{00000000-0005-0000-0000-00006C1F0000}"/>
    <cellStyle name="Normal 9 2 4 2 5 3 2" xfId="14973" xr:uid="{8D39819F-54D5-471C-923E-74FC953A1B5A}"/>
    <cellStyle name="Normal 9 2 4 2 5 4" xfId="10755" xr:uid="{81DCB0B1-52FB-412C-B229-D6CFA413633F}"/>
    <cellStyle name="Normal 9 2 4 2 6" xfId="2672" xr:uid="{00000000-0005-0000-0000-00006D1F0000}"/>
    <cellStyle name="Normal 9 2 4 2 6 2" xfId="6957" xr:uid="{00000000-0005-0000-0000-00006E1F0000}"/>
    <cellStyle name="Normal 9 2 4 2 6 2 2" xfId="15386" xr:uid="{3668860E-3245-43E5-A82F-59C9C5B7BE26}"/>
    <cellStyle name="Normal 9 2 4 2 6 3" xfId="11168" xr:uid="{4B3E6748-FEA1-4BBB-B9C6-5A5AFF5D3482}"/>
    <cellStyle name="Normal 9 2 4 2 7" xfId="4892" xr:uid="{00000000-0005-0000-0000-00006F1F0000}"/>
    <cellStyle name="Normal 9 2 4 2 7 2" xfId="13321" xr:uid="{1D876370-75BC-4280-B2A4-FD0DF8D215F7}"/>
    <cellStyle name="Normal 9 2 4 2 8" xfId="9103" xr:uid="{5C6B39A8-DD36-49E0-BA28-27E36AD03EA9}"/>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FBD3BBC7-527C-4428-A3C2-43E944FAAD0F}"/>
    <cellStyle name="Normal 9 2 4 3 2 3" xfId="11660" xr:uid="{9299C267-BDC1-4530-AC65-8C196B34FDC0}"/>
    <cellStyle name="Normal 9 2 4 3 3" xfId="5304" xr:uid="{00000000-0005-0000-0000-0000731F0000}"/>
    <cellStyle name="Normal 9 2 4 3 3 2" xfId="13733" xr:uid="{47EADD84-4EF9-4BF3-B3F6-897D4AA061A9}"/>
    <cellStyle name="Normal 9 2 4 3 4" xfId="9515" xr:uid="{74796223-727E-41CC-AC2B-B111675534A5}"/>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BE8A2DED-1983-4AFE-818D-B02CE69EDE02}"/>
    <cellStyle name="Normal 9 2 4 4 2 3" xfId="12073" xr:uid="{45B4A214-257D-44FB-9155-8FD9EA5CC77C}"/>
    <cellStyle name="Normal 9 2 4 4 3" xfId="5717" xr:uid="{00000000-0005-0000-0000-0000771F0000}"/>
    <cellStyle name="Normal 9 2 4 4 3 2" xfId="14146" xr:uid="{AA457538-7585-4373-B177-5E25549A52BB}"/>
    <cellStyle name="Normal 9 2 4 4 4" xfId="9928" xr:uid="{D4A9AE35-E382-4EF3-AAF6-BD747E18928B}"/>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37764BA5-EF33-4A4C-8B1C-68B2CD9B67C6}"/>
    <cellStyle name="Normal 9 2 4 5 2 3" xfId="12486" xr:uid="{8D161880-385E-4067-849C-A95A53B510D9}"/>
    <cellStyle name="Normal 9 2 4 5 3" xfId="6130" xr:uid="{00000000-0005-0000-0000-00007B1F0000}"/>
    <cellStyle name="Normal 9 2 4 5 3 2" xfId="14559" xr:uid="{20DA8E55-FBF9-497F-A1F2-EDDD60E44917}"/>
    <cellStyle name="Normal 9 2 4 5 4" xfId="10341" xr:uid="{73A7234B-DB3E-4155-A458-EF42846E91B1}"/>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D7E71165-CE99-44C2-B39F-10CAB5464251}"/>
    <cellStyle name="Normal 9 2 4 6 2 3" xfId="12899" xr:uid="{12FDFC33-E4FB-4939-840F-A80FE744D6D7}"/>
    <cellStyle name="Normal 9 2 4 6 3" xfId="6543" xr:uid="{00000000-0005-0000-0000-00007F1F0000}"/>
    <cellStyle name="Normal 9 2 4 6 3 2" xfId="14972" xr:uid="{6E59323A-70FE-4473-9AFB-A1CBA2585638}"/>
    <cellStyle name="Normal 9 2 4 6 4" xfId="10754" xr:uid="{3C65FAB4-E8BE-4100-9D12-53712C2B8EA7}"/>
    <cellStyle name="Normal 9 2 4 7" xfId="2671" xr:uid="{00000000-0005-0000-0000-0000801F0000}"/>
    <cellStyle name="Normal 9 2 4 7 2" xfId="6956" xr:uid="{00000000-0005-0000-0000-0000811F0000}"/>
    <cellStyle name="Normal 9 2 4 7 2 2" xfId="15385" xr:uid="{775EA7E4-04C3-4E01-9FCA-1B8D8AEDA4DD}"/>
    <cellStyle name="Normal 9 2 4 7 3" xfId="11167" xr:uid="{BC793451-61FA-4C8E-9683-4509751F167E}"/>
    <cellStyle name="Normal 9 2 4 8" xfId="4891" xr:uid="{00000000-0005-0000-0000-0000821F0000}"/>
    <cellStyle name="Normal 9 2 4 8 2" xfId="13320" xr:uid="{279E2B90-DCBC-4F2D-AF5D-51CE1B28801C}"/>
    <cellStyle name="Normal 9 2 4 9" xfId="9102" xr:uid="{3E63D698-B0B9-44EF-811B-5354471F240D}"/>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334599C4-FAF0-4A86-BDCD-8E84F8009257}"/>
    <cellStyle name="Normal 9 2 5 2 2 3" xfId="11662" xr:uid="{FF8D6A81-7B5C-4C69-941F-C6B78E9AB319}"/>
    <cellStyle name="Normal 9 2 5 2 3" xfId="5306" xr:uid="{00000000-0005-0000-0000-0000871F0000}"/>
    <cellStyle name="Normal 9 2 5 2 3 2" xfId="13735" xr:uid="{BB3BDDF6-C32A-4D2C-9ED0-FE41BFCE75E7}"/>
    <cellStyle name="Normal 9 2 5 2 4" xfId="9517" xr:uid="{C54AC795-1CE6-4115-9D03-02DF73EADDE2}"/>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589308DB-00A7-4233-9B56-0DB9AB68C56B}"/>
    <cellStyle name="Normal 9 2 5 3 2 3" xfId="12075" xr:uid="{BA47A9A9-4FB0-4A8A-804C-61BEA03A4248}"/>
    <cellStyle name="Normal 9 2 5 3 3" xfId="5719" xr:uid="{00000000-0005-0000-0000-00008B1F0000}"/>
    <cellStyle name="Normal 9 2 5 3 3 2" xfId="14148" xr:uid="{518F647F-B5F8-4C37-B928-2507CB12E7B9}"/>
    <cellStyle name="Normal 9 2 5 3 4" xfId="9930" xr:uid="{25AB1118-78A7-43BC-9AD3-85F2E7FBD959}"/>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ABCFE7B1-316C-4B22-A451-6EB48A9F5FD1}"/>
    <cellStyle name="Normal 9 2 5 4 2 3" xfId="12488" xr:uid="{CF04EE80-EF7B-42A8-A93C-A5FC9EC02DEA}"/>
    <cellStyle name="Normal 9 2 5 4 3" xfId="6132" xr:uid="{00000000-0005-0000-0000-00008F1F0000}"/>
    <cellStyle name="Normal 9 2 5 4 3 2" xfId="14561" xr:uid="{18EB9D1F-A630-4880-B859-83949A33194B}"/>
    <cellStyle name="Normal 9 2 5 4 4" xfId="10343" xr:uid="{B0A93A3E-BEC4-45D8-A526-DC9685C4C345}"/>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AD06618F-0858-4334-B787-B94954A7FB06}"/>
    <cellStyle name="Normal 9 2 5 5 2 3" xfId="12901" xr:uid="{9759FEE4-7175-4D99-984D-9525E6A24018}"/>
    <cellStyle name="Normal 9 2 5 5 3" xfId="6545" xr:uid="{00000000-0005-0000-0000-0000931F0000}"/>
    <cellStyle name="Normal 9 2 5 5 3 2" xfId="14974" xr:uid="{A5E967C6-7DA9-4990-A8ED-34F6EA494C7C}"/>
    <cellStyle name="Normal 9 2 5 5 4" xfId="10756" xr:uid="{5CF3197F-CD95-4056-9086-AF2778199D94}"/>
    <cellStyle name="Normal 9 2 5 6" xfId="2673" xr:uid="{00000000-0005-0000-0000-0000941F0000}"/>
    <cellStyle name="Normal 9 2 5 6 2" xfId="6958" xr:uid="{00000000-0005-0000-0000-0000951F0000}"/>
    <cellStyle name="Normal 9 2 5 6 2 2" xfId="15387" xr:uid="{BE489F95-5D36-4225-ADDB-DBC14AA0C3B9}"/>
    <cellStyle name="Normal 9 2 5 6 3" xfId="11169" xr:uid="{698B87D1-D9BC-4FC2-AFEC-89CBEF447092}"/>
    <cellStyle name="Normal 9 2 5 7" xfId="4893" xr:uid="{00000000-0005-0000-0000-0000961F0000}"/>
    <cellStyle name="Normal 9 2 5 7 2" xfId="13322" xr:uid="{0244A45B-38FB-460A-B46A-CED4420539BD}"/>
    <cellStyle name="Normal 9 2 5 8" xfId="9104" xr:uid="{E3796E2B-6DE6-4704-A452-15E8763518B3}"/>
    <cellStyle name="Normal 9 2 6" xfId="979" xr:uid="{00000000-0005-0000-0000-0000971F0000}"/>
    <cellStyle name="Normal 9 2 6 2" xfId="3212" xr:uid="{00000000-0005-0000-0000-0000981F0000}"/>
    <cellStyle name="Normal 9 2 6 2 2" xfId="7436" xr:uid="{00000000-0005-0000-0000-0000991F0000}"/>
    <cellStyle name="Normal 9 2 6 2 2 2" xfId="15865" xr:uid="{3A16B84D-F1D5-48B7-8174-0F6A5E9827E4}"/>
    <cellStyle name="Normal 9 2 6 2 3" xfId="11647" xr:uid="{8F584519-78A2-461E-903D-6BC5BAA928B4}"/>
    <cellStyle name="Normal 9 2 6 3" xfId="5291" xr:uid="{00000000-0005-0000-0000-00009A1F0000}"/>
    <cellStyle name="Normal 9 2 6 3 2" xfId="13720" xr:uid="{CEFBA186-B518-48FE-AA47-1F0C35CF0575}"/>
    <cellStyle name="Normal 9 2 6 4" xfId="9502" xr:uid="{1A06BE36-0A20-49AA-9D44-9DFDFDEB7180}"/>
    <cellStyle name="Normal 9 2 7" xfId="1395" xr:uid="{00000000-0005-0000-0000-00009B1F0000}"/>
    <cellStyle name="Normal 9 2 7 2" xfId="3625" xr:uid="{00000000-0005-0000-0000-00009C1F0000}"/>
    <cellStyle name="Normal 9 2 7 2 2" xfId="7849" xr:uid="{00000000-0005-0000-0000-00009D1F0000}"/>
    <cellStyle name="Normal 9 2 7 2 2 2" xfId="16278" xr:uid="{4D61182D-7D19-4C51-A7FF-56B2B3EC2F05}"/>
    <cellStyle name="Normal 9 2 7 2 3" xfId="12060" xr:uid="{624291AE-14F1-4C6E-9E75-FF6886C9BBF2}"/>
    <cellStyle name="Normal 9 2 7 3" xfId="5704" xr:uid="{00000000-0005-0000-0000-00009E1F0000}"/>
    <cellStyle name="Normal 9 2 7 3 2" xfId="14133" xr:uid="{3C866F1A-A3A7-482B-8629-414F809D775D}"/>
    <cellStyle name="Normal 9 2 7 4" xfId="9915" xr:uid="{D64BF0D4-C3BA-4568-BFD3-920B46414AD2}"/>
    <cellStyle name="Normal 9 2 8" xfId="1808" xr:uid="{00000000-0005-0000-0000-00009F1F0000}"/>
    <cellStyle name="Normal 9 2 8 2" xfId="4038" xr:uid="{00000000-0005-0000-0000-0000A01F0000}"/>
    <cellStyle name="Normal 9 2 8 2 2" xfId="8262" xr:uid="{00000000-0005-0000-0000-0000A11F0000}"/>
    <cellStyle name="Normal 9 2 8 2 2 2" xfId="16691" xr:uid="{63115A66-0214-46FB-88FA-469F7DD08305}"/>
    <cellStyle name="Normal 9 2 8 2 3" xfId="12473" xr:uid="{DDAD18D5-D82E-4765-89CC-46C948D14891}"/>
    <cellStyle name="Normal 9 2 8 3" xfId="6117" xr:uid="{00000000-0005-0000-0000-0000A21F0000}"/>
    <cellStyle name="Normal 9 2 8 3 2" xfId="14546" xr:uid="{63B4BA8F-018A-4813-B7AB-90A0587C2F93}"/>
    <cellStyle name="Normal 9 2 8 4" xfId="10328" xr:uid="{CF3798BE-F40B-4CAD-9AAF-BF3D16D747CA}"/>
    <cellStyle name="Normal 9 2 9" xfId="2222" xr:uid="{00000000-0005-0000-0000-0000A31F0000}"/>
    <cellStyle name="Normal 9 2 9 2" xfId="4451" xr:uid="{00000000-0005-0000-0000-0000A41F0000}"/>
    <cellStyle name="Normal 9 2 9 2 2" xfId="8675" xr:uid="{00000000-0005-0000-0000-0000A51F0000}"/>
    <cellStyle name="Normal 9 2 9 2 2 2" xfId="17104" xr:uid="{4577DFA9-7A3C-42C8-BEA2-B621BD9E3AC2}"/>
    <cellStyle name="Normal 9 2 9 2 3" xfId="12886" xr:uid="{167446B3-2A56-4948-8DAD-C03F18E2DA74}"/>
    <cellStyle name="Normal 9 2 9 3" xfId="6530" xr:uid="{00000000-0005-0000-0000-0000A61F0000}"/>
    <cellStyle name="Normal 9 2 9 3 2" xfId="14959" xr:uid="{0D182A60-50B6-4791-91CE-99B74EF7B93B}"/>
    <cellStyle name="Normal 9 2 9 4" xfId="10741" xr:uid="{7981783E-D76A-4CE1-B26A-36DA9709342C}"/>
    <cellStyle name="Normal 9 3" xfId="527" xr:uid="{00000000-0005-0000-0000-0000A71F0000}"/>
    <cellStyle name="Normal 9 3 10" xfId="4894" xr:uid="{00000000-0005-0000-0000-0000A81F0000}"/>
    <cellStyle name="Normal 9 3 10 2" xfId="13323" xr:uid="{5B2F91C6-C496-4400-B19D-E411D170AA6E}"/>
    <cellStyle name="Normal 9 3 11" xfId="9105" xr:uid="{F158D2E2-A4D0-4DE3-AB92-7005F0D40B4B}"/>
    <cellStyle name="Normal 9 3 2" xfId="528" xr:uid="{00000000-0005-0000-0000-0000A91F0000}"/>
    <cellStyle name="Normal 9 3 2 10" xfId="9106" xr:uid="{6834A146-4391-45CE-8185-14F567955198}"/>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120AC662-8CDD-4F08-9859-8A393FCDEB3C}"/>
    <cellStyle name="Normal 9 3 2 2 2 2 2 3" xfId="11666" xr:uid="{B6A98862-5234-45E1-9A21-E2EA3C2FB15B}"/>
    <cellStyle name="Normal 9 3 2 2 2 2 3" xfId="5310" xr:uid="{00000000-0005-0000-0000-0000AF1F0000}"/>
    <cellStyle name="Normal 9 3 2 2 2 2 3 2" xfId="13739" xr:uid="{2410DCDF-8F59-4148-8925-F53ADD48F6CB}"/>
    <cellStyle name="Normal 9 3 2 2 2 2 4" xfId="9521" xr:uid="{08F3AEFF-B61B-4A17-B4AA-F5A26AF4C267}"/>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2057411D-19BC-4919-B81E-054B4B6F7C21}"/>
    <cellStyle name="Normal 9 3 2 2 2 3 2 3" xfId="12079" xr:uid="{A9E5C840-00C7-4DD9-BB0F-64D019B54334}"/>
    <cellStyle name="Normal 9 3 2 2 2 3 3" xfId="5723" xr:uid="{00000000-0005-0000-0000-0000B31F0000}"/>
    <cellStyle name="Normal 9 3 2 2 2 3 3 2" xfId="14152" xr:uid="{8FCCEF47-F6AE-48DB-94A6-B4141A0760BD}"/>
    <cellStyle name="Normal 9 3 2 2 2 3 4" xfId="9934" xr:uid="{D70F0D3B-3AC6-4A14-B29A-BCC0AA2E9098}"/>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DAFDFA09-83F3-4862-85C1-93F923ED5CA8}"/>
    <cellStyle name="Normal 9 3 2 2 2 4 2 3" xfId="12492" xr:uid="{184A987D-16AE-4327-9286-8263FF2EA095}"/>
    <cellStyle name="Normal 9 3 2 2 2 4 3" xfId="6136" xr:uid="{00000000-0005-0000-0000-0000B71F0000}"/>
    <cellStyle name="Normal 9 3 2 2 2 4 3 2" xfId="14565" xr:uid="{E36C23A3-73AE-4386-A64D-EA8589E01532}"/>
    <cellStyle name="Normal 9 3 2 2 2 4 4" xfId="10347" xr:uid="{1EE80A95-6509-482C-80A8-CED34E80B88F}"/>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288C8F84-41C7-4F29-BB1E-D1615B4C3289}"/>
    <cellStyle name="Normal 9 3 2 2 2 5 2 3" xfId="12905" xr:uid="{CC1509B3-6354-4060-A834-A25982161FDF}"/>
    <cellStyle name="Normal 9 3 2 2 2 5 3" xfId="6549" xr:uid="{00000000-0005-0000-0000-0000BB1F0000}"/>
    <cellStyle name="Normal 9 3 2 2 2 5 3 2" xfId="14978" xr:uid="{C7AA117E-F50C-43F3-98F2-4748F559E4F7}"/>
    <cellStyle name="Normal 9 3 2 2 2 5 4" xfId="10760" xr:uid="{725B3688-0EA4-4962-AD6A-2F305AE90429}"/>
    <cellStyle name="Normal 9 3 2 2 2 6" xfId="2677" xr:uid="{00000000-0005-0000-0000-0000BC1F0000}"/>
    <cellStyle name="Normal 9 3 2 2 2 6 2" xfId="6962" xr:uid="{00000000-0005-0000-0000-0000BD1F0000}"/>
    <cellStyle name="Normal 9 3 2 2 2 6 2 2" xfId="15391" xr:uid="{50711357-F9EF-426D-9BDD-4FAA36B12FFC}"/>
    <cellStyle name="Normal 9 3 2 2 2 6 3" xfId="11173" xr:uid="{0D9D8023-8458-4A94-9216-91647F35B006}"/>
    <cellStyle name="Normal 9 3 2 2 2 7" xfId="4897" xr:uid="{00000000-0005-0000-0000-0000BE1F0000}"/>
    <cellStyle name="Normal 9 3 2 2 2 7 2" xfId="13326" xr:uid="{1656465A-2780-4B69-BA55-9B841255A1C2}"/>
    <cellStyle name="Normal 9 3 2 2 2 8" xfId="9108" xr:uid="{EFFCF211-B034-495E-B946-7A08EFCAE415}"/>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409B2687-C9C1-4468-A2A7-452E4678DA3D}"/>
    <cellStyle name="Normal 9 3 2 2 3 2 3" xfId="11665" xr:uid="{2F354DC5-2889-4CF6-9AD1-961C85B22C4C}"/>
    <cellStyle name="Normal 9 3 2 2 3 3" xfId="5309" xr:uid="{00000000-0005-0000-0000-0000C21F0000}"/>
    <cellStyle name="Normal 9 3 2 2 3 3 2" xfId="13738" xr:uid="{3F953ACC-63AA-4EA9-A726-25BD5CA852A8}"/>
    <cellStyle name="Normal 9 3 2 2 3 4" xfId="9520" xr:uid="{DE9ECA47-B12F-414C-A439-FDFEF3F3F1AD}"/>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4E194528-3F8D-4063-B2D6-B569273A822C}"/>
    <cellStyle name="Normal 9 3 2 2 4 2 3" xfId="12078" xr:uid="{CCAE48E7-1487-4731-9646-C96AA3209E27}"/>
    <cellStyle name="Normal 9 3 2 2 4 3" xfId="5722" xr:uid="{00000000-0005-0000-0000-0000C61F0000}"/>
    <cellStyle name="Normal 9 3 2 2 4 3 2" xfId="14151" xr:uid="{7FA3B61E-76C2-48B8-A5DD-D5DF6A8A03E9}"/>
    <cellStyle name="Normal 9 3 2 2 4 4" xfId="9933" xr:uid="{1786DB6A-3821-4D1F-B16B-AB5A5AB31968}"/>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12A149CB-1A17-4840-83CF-C0127154BA0F}"/>
    <cellStyle name="Normal 9 3 2 2 5 2 3" xfId="12491" xr:uid="{49FB3FFF-4127-45B2-B99D-1C07FFDEEF63}"/>
    <cellStyle name="Normal 9 3 2 2 5 3" xfId="6135" xr:uid="{00000000-0005-0000-0000-0000CA1F0000}"/>
    <cellStyle name="Normal 9 3 2 2 5 3 2" xfId="14564" xr:uid="{45A04122-37D1-434B-9BEA-B11696E7DF5B}"/>
    <cellStyle name="Normal 9 3 2 2 5 4" xfId="10346" xr:uid="{E1803D04-6543-4E73-972B-5712B40C3898}"/>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3CBD18B6-5868-4DAA-B3D4-7EA007BDBC8C}"/>
    <cellStyle name="Normal 9 3 2 2 6 2 3" xfId="12904" xr:uid="{F3D33499-ED93-4329-936D-955853166CD3}"/>
    <cellStyle name="Normal 9 3 2 2 6 3" xfId="6548" xr:uid="{00000000-0005-0000-0000-0000CE1F0000}"/>
    <cellStyle name="Normal 9 3 2 2 6 3 2" xfId="14977" xr:uid="{2E2AAE9F-4344-47E3-BE8B-99EE7636E3A6}"/>
    <cellStyle name="Normal 9 3 2 2 6 4" xfId="10759" xr:uid="{43D3D337-560E-4299-B10D-ACDD9FD60F2F}"/>
    <cellStyle name="Normal 9 3 2 2 7" xfId="2676" xr:uid="{00000000-0005-0000-0000-0000CF1F0000}"/>
    <cellStyle name="Normal 9 3 2 2 7 2" xfId="6961" xr:uid="{00000000-0005-0000-0000-0000D01F0000}"/>
    <cellStyle name="Normal 9 3 2 2 7 2 2" xfId="15390" xr:uid="{F8CB3097-7E52-4062-9D1E-04F7E98F461E}"/>
    <cellStyle name="Normal 9 3 2 2 7 3" xfId="11172" xr:uid="{C4A1D5A4-6782-48E6-8FD8-7763D305EE44}"/>
    <cellStyle name="Normal 9 3 2 2 8" xfId="4896" xr:uid="{00000000-0005-0000-0000-0000D11F0000}"/>
    <cellStyle name="Normal 9 3 2 2 8 2" xfId="13325" xr:uid="{F3FA7405-69B0-4273-97CF-CE9DBFED27DA}"/>
    <cellStyle name="Normal 9 3 2 2 9" xfId="9107" xr:uid="{344D0222-A8CA-4802-AEE4-7565693C899D}"/>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D2C5D392-95A5-4C05-900B-3E9D4E51A53E}"/>
    <cellStyle name="Normal 9 3 2 3 2 2 3" xfId="11667" xr:uid="{70FAE599-E588-4C14-9582-AA1C37CAF767}"/>
    <cellStyle name="Normal 9 3 2 3 2 3" xfId="5311" xr:uid="{00000000-0005-0000-0000-0000D61F0000}"/>
    <cellStyle name="Normal 9 3 2 3 2 3 2" xfId="13740" xr:uid="{F9A70D22-1452-43EA-B245-8B2D7D2A68BA}"/>
    <cellStyle name="Normal 9 3 2 3 2 4" xfId="9522" xr:uid="{4404DBDE-BF42-4939-A4FA-9162020BFE90}"/>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9B45451C-12B2-4DFC-B1EA-58B6FB824007}"/>
    <cellStyle name="Normal 9 3 2 3 3 2 3" xfId="12080" xr:uid="{4661D598-65D0-4597-8374-72D1087A5F95}"/>
    <cellStyle name="Normal 9 3 2 3 3 3" xfId="5724" xr:uid="{00000000-0005-0000-0000-0000DA1F0000}"/>
    <cellStyle name="Normal 9 3 2 3 3 3 2" xfId="14153" xr:uid="{FB729B98-B6E4-411F-8116-0D8D630329A3}"/>
    <cellStyle name="Normal 9 3 2 3 3 4" xfId="9935" xr:uid="{1735BA2B-B8A2-4F7B-AFB2-EC9FA26B2467}"/>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BCB5DA19-0A57-4E3B-BAF5-D6F2E40DCA2E}"/>
    <cellStyle name="Normal 9 3 2 3 4 2 3" xfId="12493" xr:uid="{0A999364-BA6D-4855-A28A-3CDCB7990FBE}"/>
    <cellStyle name="Normal 9 3 2 3 4 3" xfId="6137" xr:uid="{00000000-0005-0000-0000-0000DE1F0000}"/>
    <cellStyle name="Normal 9 3 2 3 4 3 2" xfId="14566" xr:uid="{E204B9A1-6CD3-4618-BE84-1DEC2A28D5EE}"/>
    <cellStyle name="Normal 9 3 2 3 4 4" xfId="10348" xr:uid="{73E8A004-1BFA-420F-AF19-35BDC69498A1}"/>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9C24BE26-5C65-4329-805D-E5CB48581C86}"/>
    <cellStyle name="Normal 9 3 2 3 5 2 3" xfId="12906" xr:uid="{CCAEEFC5-F3C2-496B-B952-D61F4034AA55}"/>
    <cellStyle name="Normal 9 3 2 3 5 3" xfId="6550" xr:uid="{00000000-0005-0000-0000-0000E21F0000}"/>
    <cellStyle name="Normal 9 3 2 3 5 3 2" xfId="14979" xr:uid="{61367E58-A48B-4DE7-B55D-F2FBB4AA6023}"/>
    <cellStyle name="Normal 9 3 2 3 5 4" xfId="10761" xr:uid="{B4C73B0F-09AA-4A97-9F97-7567C07D13AE}"/>
    <cellStyle name="Normal 9 3 2 3 6" xfId="2678" xr:uid="{00000000-0005-0000-0000-0000E31F0000}"/>
    <cellStyle name="Normal 9 3 2 3 6 2" xfId="6963" xr:uid="{00000000-0005-0000-0000-0000E41F0000}"/>
    <cellStyle name="Normal 9 3 2 3 6 2 2" xfId="15392" xr:uid="{C43038B5-68C8-4260-970D-4ADE1F8D13F5}"/>
    <cellStyle name="Normal 9 3 2 3 6 3" xfId="11174" xr:uid="{6D8E5FED-05B0-4BF8-BABC-C6DDBFF42D64}"/>
    <cellStyle name="Normal 9 3 2 3 7" xfId="4898" xr:uid="{00000000-0005-0000-0000-0000E51F0000}"/>
    <cellStyle name="Normal 9 3 2 3 7 2" xfId="13327" xr:uid="{9BA0D28B-E270-4CA6-ACBF-95CA32F34015}"/>
    <cellStyle name="Normal 9 3 2 3 8" xfId="9109" xr:uid="{4E2D6F37-3928-490C-8AC7-21E7388EF682}"/>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E874319E-829C-4D40-9455-BC905281368E}"/>
    <cellStyle name="Normal 9 3 2 4 2 3" xfId="11664" xr:uid="{33934719-CD9D-45E4-ADCE-1A5BC7688AEE}"/>
    <cellStyle name="Normal 9 3 2 4 3" xfId="5308" xr:uid="{00000000-0005-0000-0000-0000E91F0000}"/>
    <cellStyle name="Normal 9 3 2 4 3 2" xfId="13737" xr:uid="{F1D8F74E-CA54-46F1-9E6A-D132F6355E00}"/>
    <cellStyle name="Normal 9 3 2 4 4" xfId="9519" xr:uid="{BF6764A2-ECDB-4A4F-846B-CA210B9D618F}"/>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6321469F-4D0E-402D-BD95-6DCC45E59076}"/>
    <cellStyle name="Normal 9 3 2 5 2 3" xfId="12077" xr:uid="{7320E4AC-3173-404E-80F0-6CDE1AA7C50A}"/>
    <cellStyle name="Normal 9 3 2 5 3" xfId="5721" xr:uid="{00000000-0005-0000-0000-0000ED1F0000}"/>
    <cellStyle name="Normal 9 3 2 5 3 2" xfId="14150" xr:uid="{7983C22C-848C-4C78-AB1A-09E39E6E4F92}"/>
    <cellStyle name="Normal 9 3 2 5 4" xfId="9932" xr:uid="{5E89C7D6-95B3-44F9-BBE5-2ABD706FA544}"/>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7E98D468-5EBF-4AFB-A134-865234B502E6}"/>
    <cellStyle name="Normal 9 3 2 6 2 3" xfId="12490" xr:uid="{0320C4BB-8572-42AF-8A35-754EDB65A4C7}"/>
    <cellStyle name="Normal 9 3 2 6 3" xfId="6134" xr:uid="{00000000-0005-0000-0000-0000F11F0000}"/>
    <cellStyle name="Normal 9 3 2 6 3 2" xfId="14563" xr:uid="{4315F68A-9FD9-4595-8733-37BB1AB652BE}"/>
    <cellStyle name="Normal 9 3 2 6 4" xfId="10345" xr:uid="{1580AA86-E8DC-4E79-9866-D8A09DDA0E77}"/>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B74529A2-FE40-4371-BE13-3A86476591D3}"/>
    <cellStyle name="Normal 9 3 2 7 2 3" xfId="12903" xr:uid="{6993E510-5459-4AAC-B601-8E122E7F21A4}"/>
    <cellStyle name="Normal 9 3 2 7 3" xfId="6547" xr:uid="{00000000-0005-0000-0000-0000F51F0000}"/>
    <cellStyle name="Normal 9 3 2 7 3 2" xfId="14976" xr:uid="{FACB70A1-C9DE-4EEC-957B-04F6A9F28B6A}"/>
    <cellStyle name="Normal 9 3 2 7 4" xfId="10758" xr:uid="{4C11DAB1-26CB-4F2C-8878-C95ABCD415D4}"/>
    <cellStyle name="Normal 9 3 2 8" xfId="2675" xr:uid="{00000000-0005-0000-0000-0000F61F0000}"/>
    <cellStyle name="Normal 9 3 2 8 2" xfId="6960" xr:uid="{00000000-0005-0000-0000-0000F71F0000}"/>
    <cellStyle name="Normal 9 3 2 8 2 2" xfId="15389" xr:uid="{2E80626B-03A5-4100-9223-EAA2A6C226A9}"/>
    <cellStyle name="Normal 9 3 2 8 3" xfId="11171" xr:uid="{974F52D9-8517-4CFA-9C1B-BA14D026EC1D}"/>
    <cellStyle name="Normal 9 3 2 9" xfId="4895" xr:uid="{00000000-0005-0000-0000-0000F81F0000}"/>
    <cellStyle name="Normal 9 3 2 9 2" xfId="13324" xr:uid="{E1BB9231-150A-4A7D-9C9B-7B803704B18B}"/>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C2415033-119B-4CD3-B111-AEBEB0838E64}"/>
    <cellStyle name="Normal 9 3 3 2 2 2 3" xfId="11669" xr:uid="{036C9FC3-12CB-4885-9EA2-92B306B9EDCA}"/>
    <cellStyle name="Normal 9 3 3 2 2 3" xfId="5313" xr:uid="{00000000-0005-0000-0000-0000FE1F0000}"/>
    <cellStyle name="Normal 9 3 3 2 2 3 2" xfId="13742" xr:uid="{1F7CE748-0E43-401B-8023-6892D42C199E}"/>
    <cellStyle name="Normal 9 3 3 2 2 4" xfId="9524" xr:uid="{840C4663-C080-46F3-936F-5AFCAA749E88}"/>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5A3765CF-59CD-499D-AADA-AD9743FCEB7D}"/>
    <cellStyle name="Normal 9 3 3 2 3 2 3" xfId="12082" xr:uid="{F0956ABC-C7B7-435F-8EC9-34D566AEB125}"/>
    <cellStyle name="Normal 9 3 3 2 3 3" xfId="5726" xr:uid="{00000000-0005-0000-0000-000002200000}"/>
    <cellStyle name="Normal 9 3 3 2 3 3 2" xfId="14155" xr:uid="{3EDF38EA-2252-46BB-8648-056BCCA0CCED}"/>
    <cellStyle name="Normal 9 3 3 2 3 4" xfId="9937" xr:uid="{A5B94F2C-4D4B-4E36-9982-DA135DC6CE12}"/>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7B1F168C-E94D-4E35-BDC4-4A25F1594B40}"/>
    <cellStyle name="Normal 9 3 3 2 4 2 3" xfId="12495" xr:uid="{4D749956-C203-41F7-ABA5-CF91FFD52FB1}"/>
    <cellStyle name="Normal 9 3 3 2 4 3" xfId="6139" xr:uid="{00000000-0005-0000-0000-000006200000}"/>
    <cellStyle name="Normal 9 3 3 2 4 3 2" xfId="14568" xr:uid="{AFA14EA4-8ABC-4A75-8445-AB0270B983F9}"/>
    <cellStyle name="Normal 9 3 3 2 4 4" xfId="10350" xr:uid="{0940F403-EA0B-49B3-A480-3A7C10CBB946}"/>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16B9A136-1DAE-4FFE-8336-BEEF232B6CD4}"/>
    <cellStyle name="Normal 9 3 3 2 5 2 3" xfId="12908" xr:uid="{6F65D1F8-5BE3-47A1-A712-DE3B9B36579D}"/>
    <cellStyle name="Normal 9 3 3 2 5 3" xfId="6552" xr:uid="{00000000-0005-0000-0000-00000A200000}"/>
    <cellStyle name="Normal 9 3 3 2 5 3 2" xfId="14981" xr:uid="{8988ECB7-F811-47B6-BFE3-D0D07EB3EBD3}"/>
    <cellStyle name="Normal 9 3 3 2 5 4" xfId="10763" xr:uid="{2F6C5672-7F86-4B4A-A7E4-14EBF534153F}"/>
    <cellStyle name="Normal 9 3 3 2 6" xfId="2680" xr:uid="{00000000-0005-0000-0000-00000B200000}"/>
    <cellStyle name="Normal 9 3 3 2 6 2" xfId="6965" xr:uid="{00000000-0005-0000-0000-00000C200000}"/>
    <cellStyle name="Normal 9 3 3 2 6 2 2" xfId="15394" xr:uid="{561450D2-A5B0-43BA-A3D8-4D8D37E0278A}"/>
    <cellStyle name="Normal 9 3 3 2 6 3" xfId="11176" xr:uid="{DD3418E7-4977-4CEE-A3BF-B43404C3F307}"/>
    <cellStyle name="Normal 9 3 3 2 7" xfId="4900" xr:uid="{00000000-0005-0000-0000-00000D200000}"/>
    <cellStyle name="Normal 9 3 3 2 7 2" xfId="13329" xr:uid="{94EFAED6-139A-4700-8F0A-EF8F66488679}"/>
    <cellStyle name="Normal 9 3 3 2 8" xfId="9111" xr:uid="{791D24EF-344A-468F-BAE5-F30087479497}"/>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8DCFDCAC-F331-4F48-9967-58F5D3EEE140}"/>
    <cellStyle name="Normal 9 3 3 3 2 3" xfId="11668" xr:uid="{B400198F-67DE-4F12-91E1-A508981AACBB}"/>
    <cellStyle name="Normal 9 3 3 3 3" xfId="5312" xr:uid="{00000000-0005-0000-0000-000011200000}"/>
    <cellStyle name="Normal 9 3 3 3 3 2" xfId="13741" xr:uid="{ED1FEDEC-D7F1-4B31-9468-B5DA0C8B3A20}"/>
    <cellStyle name="Normal 9 3 3 3 4" xfId="9523" xr:uid="{630C0E09-D7D8-4082-A353-3229EA28DB22}"/>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8B86ADE9-FEBF-4ACB-B356-FE31B4DE10AB}"/>
    <cellStyle name="Normal 9 3 3 4 2 3" xfId="12081" xr:uid="{BCBF1020-5AFF-4086-979B-7F04AA816061}"/>
    <cellStyle name="Normal 9 3 3 4 3" xfId="5725" xr:uid="{00000000-0005-0000-0000-000015200000}"/>
    <cellStyle name="Normal 9 3 3 4 3 2" xfId="14154" xr:uid="{BEFB5AAC-DDEA-4BEF-8C77-6427C5F02BE6}"/>
    <cellStyle name="Normal 9 3 3 4 4" xfId="9936" xr:uid="{9763FBB2-3CAE-457F-9D0D-A71C91F87489}"/>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06F53F55-2EA4-4C02-BA17-BF66C679CE3E}"/>
    <cellStyle name="Normal 9 3 3 5 2 3" xfId="12494" xr:uid="{11FC1F15-6819-4D47-8E0F-178C4F97D832}"/>
    <cellStyle name="Normal 9 3 3 5 3" xfId="6138" xr:uid="{00000000-0005-0000-0000-000019200000}"/>
    <cellStyle name="Normal 9 3 3 5 3 2" xfId="14567" xr:uid="{83D5CB5B-1D8C-4C28-B193-B612333C70F7}"/>
    <cellStyle name="Normal 9 3 3 5 4" xfId="10349" xr:uid="{4F7967E4-7855-4739-AC9E-035D97510DEE}"/>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D3C1867C-BD1E-4DDA-A40F-839C91CDF4A9}"/>
    <cellStyle name="Normal 9 3 3 6 2 3" xfId="12907" xr:uid="{79A837F3-9BA7-4B0C-B2F3-92C713D1CF37}"/>
    <cellStyle name="Normal 9 3 3 6 3" xfId="6551" xr:uid="{00000000-0005-0000-0000-00001D200000}"/>
    <cellStyle name="Normal 9 3 3 6 3 2" xfId="14980" xr:uid="{F2A2AA3A-CEDA-4994-8DE1-A35764DC9B01}"/>
    <cellStyle name="Normal 9 3 3 6 4" xfId="10762" xr:uid="{3744E1FE-20A3-4DA2-9A3B-5FFDFEB28B33}"/>
    <cellStyle name="Normal 9 3 3 7" xfId="2679" xr:uid="{00000000-0005-0000-0000-00001E200000}"/>
    <cellStyle name="Normal 9 3 3 7 2" xfId="6964" xr:uid="{00000000-0005-0000-0000-00001F200000}"/>
    <cellStyle name="Normal 9 3 3 7 2 2" xfId="15393" xr:uid="{F67FA926-A59F-41AE-B25E-F80AB13B9A13}"/>
    <cellStyle name="Normal 9 3 3 7 3" xfId="11175" xr:uid="{9DEAF531-AE5F-4F68-903A-20DA9813D127}"/>
    <cellStyle name="Normal 9 3 3 8" xfId="4899" xr:uid="{00000000-0005-0000-0000-000020200000}"/>
    <cellStyle name="Normal 9 3 3 8 2" xfId="13328" xr:uid="{A3A11C84-85DF-4F10-BD95-1FCBB757B0BA}"/>
    <cellStyle name="Normal 9 3 3 9" xfId="9110" xr:uid="{6EA425A4-C899-47CC-8F82-80C737601265}"/>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5465578E-44DF-4E04-B443-37275AEC5764}"/>
    <cellStyle name="Normal 9 3 4 2 2 3" xfId="11670" xr:uid="{012ACFBF-521C-4BA8-AE07-DA0C404BA575}"/>
    <cellStyle name="Normal 9 3 4 2 3" xfId="5314" xr:uid="{00000000-0005-0000-0000-000025200000}"/>
    <cellStyle name="Normal 9 3 4 2 3 2" xfId="13743" xr:uid="{CC35533D-2FDF-46E2-8BD4-C841D1698FA9}"/>
    <cellStyle name="Normal 9 3 4 2 4" xfId="9525" xr:uid="{DA3EE201-0B1B-47D9-BBD0-147F438AA054}"/>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F2BD19D3-5E0B-4FEC-87F4-0C726EACFD4F}"/>
    <cellStyle name="Normal 9 3 4 3 2 3" xfId="12083" xr:uid="{848AB468-F597-41E4-BD53-3A293FF2A908}"/>
    <cellStyle name="Normal 9 3 4 3 3" xfId="5727" xr:uid="{00000000-0005-0000-0000-000029200000}"/>
    <cellStyle name="Normal 9 3 4 3 3 2" xfId="14156" xr:uid="{AF070394-8056-4C71-B0A6-5EAC874ABCDA}"/>
    <cellStyle name="Normal 9 3 4 3 4" xfId="9938" xr:uid="{2B10F3FC-DFF6-472E-98C0-EE68E7A0EE0F}"/>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7A2FCB79-11B4-4601-8505-2491CE6B560A}"/>
    <cellStyle name="Normal 9 3 4 4 2 3" xfId="12496" xr:uid="{850A813E-1E7E-4A28-922F-65560EE8B3EA}"/>
    <cellStyle name="Normal 9 3 4 4 3" xfId="6140" xr:uid="{00000000-0005-0000-0000-00002D200000}"/>
    <cellStyle name="Normal 9 3 4 4 3 2" xfId="14569" xr:uid="{ECFE7BEA-5464-4D7D-9F0E-9A9B56DAAA20}"/>
    <cellStyle name="Normal 9 3 4 4 4" xfId="10351" xr:uid="{81E9397F-74C5-4DD2-BCD3-53122A09CD74}"/>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29928C6A-13DA-46B0-B73D-9A4B29A4D23A}"/>
    <cellStyle name="Normal 9 3 4 5 2 3" xfId="12909" xr:uid="{F6E359E5-FB2C-4F6B-A5C1-3F4316366818}"/>
    <cellStyle name="Normal 9 3 4 5 3" xfId="6553" xr:uid="{00000000-0005-0000-0000-000031200000}"/>
    <cellStyle name="Normal 9 3 4 5 3 2" xfId="14982" xr:uid="{29B73CF0-7D66-4512-A2CB-FA5CA60B0410}"/>
    <cellStyle name="Normal 9 3 4 5 4" xfId="10764" xr:uid="{C7DBA97C-EF69-4265-A4FD-7257A69B0BF6}"/>
    <cellStyle name="Normal 9 3 4 6" xfId="2681" xr:uid="{00000000-0005-0000-0000-000032200000}"/>
    <cellStyle name="Normal 9 3 4 6 2" xfId="6966" xr:uid="{00000000-0005-0000-0000-000033200000}"/>
    <cellStyle name="Normal 9 3 4 6 2 2" xfId="15395" xr:uid="{46AAAD82-892B-4568-9623-CEEC0264EC16}"/>
    <cellStyle name="Normal 9 3 4 6 3" xfId="11177" xr:uid="{C2D0518F-4015-45F4-B755-01E770D3A91D}"/>
    <cellStyle name="Normal 9 3 4 7" xfId="4901" xr:uid="{00000000-0005-0000-0000-000034200000}"/>
    <cellStyle name="Normal 9 3 4 7 2" xfId="13330" xr:uid="{0D1692AA-6536-4FDC-91AB-EA6843DB75B5}"/>
    <cellStyle name="Normal 9 3 4 8" xfId="9112" xr:uid="{AB47B696-A0CE-4E1F-85A7-BB4C544AF3B8}"/>
    <cellStyle name="Normal 9 3 5" xfId="995" xr:uid="{00000000-0005-0000-0000-000035200000}"/>
    <cellStyle name="Normal 9 3 5 2" xfId="3228" xr:uid="{00000000-0005-0000-0000-000036200000}"/>
    <cellStyle name="Normal 9 3 5 2 2" xfId="7452" xr:uid="{00000000-0005-0000-0000-000037200000}"/>
    <cellStyle name="Normal 9 3 5 2 2 2" xfId="15881" xr:uid="{4E40B475-E5BC-42E2-A192-0A47FB53C402}"/>
    <cellStyle name="Normal 9 3 5 2 3" xfId="11663" xr:uid="{66DEB865-DE6B-4A17-A976-9A8E7E073DCE}"/>
    <cellStyle name="Normal 9 3 5 3" xfId="5307" xr:uid="{00000000-0005-0000-0000-000038200000}"/>
    <cellStyle name="Normal 9 3 5 3 2" xfId="13736" xr:uid="{B9CF8420-6D9F-4D31-8BB4-C7EAE75B5433}"/>
    <cellStyle name="Normal 9 3 5 4" xfId="9518" xr:uid="{D6EE5BB3-1DA8-4A64-A111-68558DB4432F}"/>
    <cellStyle name="Normal 9 3 6" xfId="1411" xr:uid="{00000000-0005-0000-0000-000039200000}"/>
    <cellStyle name="Normal 9 3 6 2" xfId="3641" xr:uid="{00000000-0005-0000-0000-00003A200000}"/>
    <cellStyle name="Normal 9 3 6 2 2" xfId="7865" xr:uid="{00000000-0005-0000-0000-00003B200000}"/>
    <cellStyle name="Normal 9 3 6 2 2 2" xfId="16294" xr:uid="{58D28740-EE96-437A-A696-615CB223578F}"/>
    <cellStyle name="Normal 9 3 6 2 3" xfId="12076" xr:uid="{C8EDFD45-E227-42BA-9852-BB590A81303B}"/>
    <cellStyle name="Normal 9 3 6 3" xfId="5720" xr:uid="{00000000-0005-0000-0000-00003C200000}"/>
    <cellStyle name="Normal 9 3 6 3 2" xfId="14149" xr:uid="{57827D63-8280-4333-8EF7-61C7CDF8EA17}"/>
    <cellStyle name="Normal 9 3 6 4" xfId="9931" xr:uid="{AD55FB46-783B-4841-9F67-93831CD35D88}"/>
    <cellStyle name="Normal 9 3 7" xfId="1824" xr:uid="{00000000-0005-0000-0000-00003D200000}"/>
    <cellStyle name="Normal 9 3 7 2" xfId="4054" xr:uid="{00000000-0005-0000-0000-00003E200000}"/>
    <cellStyle name="Normal 9 3 7 2 2" xfId="8278" xr:uid="{00000000-0005-0000-0000-00003F200000}"/>
    <cellStyle name="Normal 9 3 7 2 2 2" xfId="16707" xr:uid="{CBBBC07D-A6CC-4779-B311-9C5DF6A7F095}"/>
    <cellStyle name="Normal 9 3 7 2 3" xfId="12489" xr:uid="{4CC5A787-D64A-485D-9EA7-5953F5BD134C}"/>
    <cellStyle name="Normal 9 3 7 3" xfId="6133" xr:uid="{00000000-0005-0000-0000-000040200000}"/>
    <cellStyle name="Normal 9 3 7 3 2" xfId="14562" xr:uid="{7519A872-6D69-4AAE-B25E-CD6A48BD3C78}"/>
    <cellStyle name="Normal 9 3 7 4" xfId="10344" xr:uid="{5939AEA0-78FA-462F-9355-A4E122DAF23C}"/>
    <cellStyle name="Normal 9 3 8" xfId="2238" xr:uid="{00000000-0005-0000-0000-000041200000}"/>
    <cellStyle name="Normal 9 3 8 2" xfId="4467" xr:uid="{00000000-0005-0000-0000-000042200000}"/>
    <cellStyle name="Normal 9 3 8 2 2" xfId="8691" xr:uid="{00000000-0005-0000-0000-000043200000}"/>
    <cellStyle name="Normal 9 3 8 2 2 2" xfId="17120" xr:uid="{90B9AF75-4974-4A24-A317-1408DA4E6DED}"/>
    <cellStyle name="Normal 9 3 8 2 3" xfId="12902" xr:uid="{51B821BA-E3C5-48FF-B4DE-1CA62D8734E5}"/>
    <cellStyle name="Normal 9 3 8 3" xfId="6546" xr:uid="{00000000-0005-0000-0000-000044200000}"/>
    <cellStyle name="Normal 9 3 8 3 2" xfId="14975" xr:uid="{C808C29C-ECD9-4719-ADBC-2AB087359796}"/>
    <cellStyle name="Normal 9 3 8 4" xfId="10757" xr:uid="{10D7DBC4-FC47-429C-BB09-A4766872D670}"/>
    <cellStyle name="Normal 9 3 9" xfId="2674" xr:uid="{00000000-0005-0000-0000-000045200000}"/>
    <cellStyle name="Normal 9 3 9 2" xfId="6959" xr:uid="{00000000-0005-0000-0000-000046200000}"/>
    <cellStyle name="Normal 9 3 9 2 2" xfId="15388" xr:uid="{F078B455-6343-437E-8667-20E45DBA4CE7}"/>
    <cellStyle name="Normal 9 3 9 3" xfId="11170" xr:uid="{1666BE57-A2C9-456E-B38F-C158FD287B86}"/>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571D6D6C-B32F-48DF-82A2-9BDFC5E1A7D4}"/>
    <cellStyle name="Normal 9 5 2 2 2 3" xfId="11672" xr:uid="{0FCA7610-045E-4884-97E6-DEF0E911F1A1}"/>
    <cellStyle name="Normal 9 5 2 2 3" xfId="5316" xr:uid="{00000000-0005-0000-0000-00004E200000}"/>
    <cellStyle name="Normal 9 5 2 2 3 2" xfId="13745" xr:uid="{19D2D8C4-8729-43C9-9141-ABB7E61DC9C8}"/>
    <cellStyle name="Normal 9 5 2 2 4" xfId="9527" xr:uid="{78B3AD33-18D8-4D46-AC9F-2BD3BD20A363}"/>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804434EB-8CED-47C9-8225-C46C7D6B97CF}"/>
    <cellStyle name="Normal 9 5 2 3 2 3" xfId="12085" xr:uid="{DCC00A64-F490-4501-B1D2-76530A56105F}"/>
    <cellStyle name="Normal 9 5 2 3 3" xfId="5729" xr:uid="{00000000-0005-0000-0000-000052200000}"/>
    <cellStyle name="Normal 9 5 2 3 3 2" xfId="14158" xr:uid="{9447C24C-02E9-4AC4-8080-50F05FA34A34}"/>
    <cellStyle name="Normal 9 5 2 3 4" xfId="9940" xr:uid="{7440FDEB-2FBA-4D14-BBE5-97AF38CF68BD}"/>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1CBB073E-FDE6-4F6A-8B58-3C08F25A032C}"/>
    <cellStyle name="Normal 9 5 2 4 2 3" xfId="12498" xr:uid="{FFAF05BD-109F-4D0A-83A5-2B84EB7432D4}"/>
    <cellStyle name="Normal 9 5 2 4 3" xfId="6142" xr:uid="{00000000-0005-0000-0000-000056200000}"/>
    <cellStyle name="Normal 9 5 2 4 3 2" xfId="14571" xr:uid="{1E3DD1B4-DF86-4E83-A9F5-298CDA4B9A68}"/>
    <cellStyle name="Normal 9 5 2 4 4" xfId="10353" xr:uid="{56BAEC48-2991-4D97-A7E3-8E11F764FFFA}"/>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42705160-3E1C-4A3E-A902-5D53D2FA57A2}"/>
    <cellStyle name="Normal 9 5 2 5 2 3" xfId="12911" xr:uid="{920D0DEA-1900-4205-91B7-FD9AEC73D48A}"/>
    <cellStyle name="Normal 9 5 2 5 3" xfId="6555" xr:uid="{00000000-0005-0000-0000-00005A200000}"/>
    <cellStyle name="Normal 9 5 2 5 3 2" xfId="14984" xr:uid="{586DB3F4-15FB-486E-BF1E-111B2259B784}"/>
    <cellStyle name="Normal 9 5 2 5 4" xfId="10766" xr:uid="{6E53FAFE-7F60-477C-85FB-8D076F82B77A}"/>
    <cellStyle name="Normal 9 5 2 6" xfId="2683" xr:uid="{00000000-0005-0000-0000-00005B200000}"/>
    <cellStyle name="Normal 9 5 2 6 2" xfId="6968" xr:uid="{00000000-0005-0000-0000-00005C200000}"/>
    <cellStyle name="Normal 9 5 2 6 2 2" xfId="15397" xr:uid="{8FB7C719-8A28-408A-AAF3-E67A7B6F5092}"/>
    <cellStyle name="Normal 9 5 2 6 3" xfId="11179" xr:uid="{C114DC28-0B21-4376-92DD-ECF965C925F9}"/>
    <cellStyle name="Normal 9 5 2 7" xfId="4903" xr:uid="{00000000-0005-0000-0000-00005D200000}"/>
    <cellStyle name="Normal 9 5 2 7 2" xfId="13332" xr:uid="{01A7A9AF-8974-414B-A77E-94D4D710836C}"/>
    <cellStyle name="Normal 9 5 2 8" xfId="9114" xr:uid="{505EC85C-F977-4790-8E27-FB732640922B}"/>
    <cellStyle name="Normal 9 5 3" xfId="1004" xr:uid="{00000000-0005-0000-0000-00005E200000}"/>
    <cellStyle name="Normal 9 5 3 2" xfId="3236" xr:uid="{00000000-0005-0000-0000-00005F200000}"/>
    <cellStyle name="Normal 9 5 3 2 2" xfId="7460" xr:uid="{00000000-0005-0000-0000-000060200000}"/>
    <cellStyle name="Normal 9 5 3 2 2 2" xfId="15889" xr:uid="{1852D4E8-3723-4D3D-8175-F39756BA8C66}"/>
    <cellStyle name="Normal 9 5 3 2 3" xfId="11671" xr:uid="{9AED51DA-65F7-4BCA-8CD8-1F6AF96B3930}"/>
    <cellStyle name="Normal 9 5 3 3" xfId="5315" xr:uid="{00000000-0005-0000-0000-000061200000}"/>
    <cellStyle name="Normal 9 5 3 3 2" xfId="13744" xr:uid="{5432F8E3-1A0B-4207-98AB-8D24CA9F5B68}"/>
    <cellStyle name="Normal 9 5 3 4" xfId="9526" xr:uid="{48278AB5-FA0B-469D-B02A-753475B2D8E4}"/>
    <cellStyle name="Normal 9 5 4" xfId="1419" xr:uid="{00000000-0005-0000-0000-000062200000}"/>
    <cellStyle name="Normal 9 5 4 2" xfId="3649" xr:uid="{00000000-0005-0000-0000-000063200000}"/>
    <cellStyle name="Normal 9 5 4 2 2" xfId="7873" xr:uid="{00000000-0005-0000-0000-000064200000}"/>
    <cellStyle name="Normal 9 5 4 2 2 2" xfId="16302" xr:uid="{1DDC5EDA-CD3D-465F-B9C7-311B7E5C6345}"/>
    <cellStyle name="Normal 9 5 4 2 3" xfId="12084" xr:uid="{7EDEAF00-EF41-4277-9F2D-28BFB87ABC44}"/>
    <cellStyle name="Normal 9 5 4 3" xfId="5728" xr:uid="{00000000-0005-0000-0000-000065200000}"/>
    <cellStyle name="Normal 9 5 4 3 2" xfId="14157" xr:uid="{91C35139-13D2-42E6-B4C2-900657A7CA33}"/>
    <cellStyle name="Normal 9 5 4 4" xfId="9939" xr:uid="{95E230CB-FB33-40CA-B86D-16E4B2A18ABE}"/>
    <cellStyle name="Normal 9 5 5" xfId="1832" xr:uid="{00000000-0005-0000-0000-000066200000}"/>
    <cellStyle name="Normal 9 5 5 2" xfId="4062" xr:uid="{00000000-0005-0000-0000-000067200000}"/>
    <cellStyle name="Normal 9 5 5 2 2" xfId="8286" xr:uid="{00000000-0005-0000-0000-000068200000}"/>
    <cellStyle name="Normal 9 5 5 2 2 2" xfId="16715" xr:uid="{2276641F-C4D7-4D80-A04B-98B17035239E}"/>
    <cellStyle name="Normal 9 5 5 2 3" xfId="12497" xr:uid="{9780681C-3A05-4E07-9DB1-57578B71F16D}"/>
    <cellStyle name="Normal 9 5 5 3" xfId="6141" xr:uid="{00000000-0005-0000-0000-000069200000}"/>
    <cellStyle name="Normal 9 5 5 3 2" xfId="14570" xr:uid="{7A405DB5-1BE0-49A2-B618-D5DE10F7E852}"/>
    <cellStyle name="Normal 9 5 5 4" xfId="10352" xr:uid="{20FF08D2-7226-4816-9A0F-F2EF44E77BC6}"/>
    <cellStyle name="Normal 9 5 6" xfId="2246" xr:uid="{00000000-0005-0000-0000-00006A200000}"/>
    <cellStyle name="Normal 9 5 6 2" xfId="4475" xr:uid="{00000000-0005-0000-0000-00006B200000}"/>
    <cellStyle name="Normal 9 5 6 2 2" xfId="8699" xr:uid="{00000000-0005-0000-0000-00006C200000}"/>
    <cellStyle name="Normal 9 5 6 2 2 2" xfId="17128" xr:uid="{43614386-31F7-4A24-82F5-CA395936427A}"/>
    <cellStyle name="Normal 9 5 6 2 3" xfId="12910" xr:uid="{151CB5DA-D4F0-49A9-A0CD-E0CADD5C0D3C}"/>
    <cellStyle name="Normal 9 5 6 3" xfId="6554" xr:uid="{00000000-0005-0000-0000-00006D200000}"/>
    <cellStyle name="Normal 9 5 6 3 2" xfId="14983" xr:uid="{BDE0017C-5796-496F-BA31-B5A67A66EC18}"/>
    <cellStyle name="Normal 9 5 6 4" xfId="10765" xr:uid="{D2D5EA5E-F5D9-4C7C-9E11-FD041669DFED}"/>
    <cellStyle name="Normal 9 5 7" xfId="2682" xr:uid="{00000000-0005-0000-0000-00006E200000}"/>
    <cellStyle name="Normal 9 5 7 2" xfId="6967" xr:uid="{00000000-0005-0000-0000-00006F200000}"/>
    <cellStyle name="Normal 9 5 7 2 2" xfId="15396" xr:uid="{92D3E7E5-9AD7-449C-8DF9-75D1A2668F63}"/>
    <cellStyle name="Normal 9 5 7 3" xfId="11178" xr:uid="{BED62030-241F-4E54-9FBB-88C9301AC590}"/>
    <cellStyle name="Normal 9 5 8" xfId="4902" xr:uid="{00000000-0005-0000-0000-000070200000}"/>
    <cellStyle name="Normal 9 5 8 2" xfId="13331" xr:uid="{5DFDD164-1126-4789-8E6F-E73448DDFD65}"/>
    <cellStyle name="Normal 9 5 9" xfId="9113" xr:uid="{A5D38AE7-4490-40E1-B521-A38B31B156E7}"/>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21B15B2F-9CC9-49D5-B89E-339FC0C61B46}"/>
    <cellStyle name="Normal 9 6 2 2 3" xfId="11673" xr:uid="{656A90CC-6FA0-4198-B75B-7BA205F9E844}"/>
    <cellStyle name="Normal 9 6 2 3" xfId="5317" xr:uid="{00000000-0005-0000-0000-000075200000}"/>
    <cellStyle name="Normal 9 6 2 3 2" xfId="13746" xr:uid="{DD4039AD-0B71-4DC0-936E-56A24CAA94A2}"/>
    <cellStyle name="Normal 9 6 2 4" xfId="9528" xr:uid="{2BF0175D-0C79-4408-9115-6C5970090936}"/>
    <cellStyle name="Normal 9 6 3" xfId="1421" xr:uid="{00000000-0005-0000-0000-000076200000}"/>
    <cellStyle name="Normal 9 6 3 2" xfId="3651" xr:uid="{00000000-0005-0000-0000-000077200000}"/>
    <cellStyle name="Normal 9 6 3 2 2" xfId="7875" xr:uid="{00000000-0005-0000-0000-000078200000}"/>
    <cellStyle name="Normal 9 6 3 2 2 2" xfId="16304" xr:uid="{B36D7A01-7576-4F54-B8EC-E1758E03CF6D}"/>
    <cellStyle name="Normal 9 6 3 2 3" xfId="12086" xr:uid="{7E1FEA02-DA92-4271-B1C5-19A8C832612B}"/>
    <cellStyle name="Normal 9 6 3 3" xfId="5730" xr:uid="{00000000-0005-0000-0000-000079200000}"/>
    <cellStyle name="Normal 9 6 3 3 2" xfId="14159" xr:uid="{C3CB85B9-1249-4603-9005-BD79B66CA38F}"/>
    <cellStyle name="Normal 9 6 3 4" xfId="9941" xr:uid="{DA93B095-A176-4940-86F6-49F686867E12}"/>
    <cellStyle name="Normal 9 6 4" xfId="1834" xr:uid="{00000000-0005-0000-0000-00007A200000}"/>
    <cellStyle name="Normal 9 6 4 2" xfId="4064" xr:uid="{00000000-0005-0000-0000-00007B200000}"/>
    <cellStyle name="Normal 9 6 4 2 2" xfId="8288" xr:uid="{00000000-0005-0000-0000-00007C200000}"/>
    <cellStyle name="Normal 9 6 4 2 2 2" xfId="16717" xr:uid="{7AA8A494-D35E-4E82-A18E-56C9E0A0CA28}"/>
    <cellStyle name="Normal 9 6 4 2 3" xfId="12499" xr:uid="{124C85BF-2032-4B77-A3B3-3992FBFAA490}"/>
    <cellStyle name="Normal 9 6 4 3" xfId="6143" xr:uid="{00000000-0005-0000-0000-00007D200000}"/>
    <cellStyle name="Normal 9 6 4 3 2" xfId="14572" xr:uid="{17BF1CF0-7505-4B3D-8858-043F85925E63}"/>
    <cellStyle name="Normal 9 6 4 4" xfId="10354" xr:uid="{52DBDF9D-A0A2-4827-A8E7-231E10515DC8}"/>
    <cellStyle name="Normal 9 6 5" xfId="2248" xr:uid="{00000000-0005-0000-0000-00007E200000}"/>
    <cellStyle name="Normal 9 6 5 2" xfId="4477" xr:uid="{00000000-0005-0000-0000-00007F200000}"/>
    <cellStyle name="Normal 9 6 5 2 2" xfId="8701" xr:uid="{00000000-0005-0000-0000-000080200000}"/>
    <cellStyle name="Normal 9 6 5 2 2 2" xfId="17130" xr:uid="{C266E5F1-C6E1-4A40-8E33-83A50A07E293}"/>
    <cellStyle name="Normal 9 6 5 2 3" xfId="12912" xr:uid="{B261D8A9-0F05-4C6A-88B6-376E4BA1864E}"/>
    <cellStyle name="Normal 9 6 5 3" xfId="6556" xr:uid="{00000000-0005-0000-0000-000081200000}"/>
    <cellStyle name="Normal 9 6 5 3 2" xfId="14985" xr:uid="{EF524CF7-518A-4631-8787-60A589B46FD4}"/>
    <cellStyle name="Normal 9 6 5 4" xfId="10767" xr:uid="{91EC782F-07A9-4714-8F8B-E453FDF2360F}"/>
    <cellStyle name="Normal 9 6 6" xfId="2684" xr:uid="{00000000-0005-0000-0000-000082200000}"/>
    <cellStyle name="Normal 9 6 6 2" xfId="6969" xr:uid="{00000000-0005-0000-0000-000083200000}"/>
    <cellStyle name="Normal 9 6 6 2 2" xfId="15398" xr:uid="{626AACF3-0FAF-41A8-90D2-1A124447A1EB}"/>
    <cellStyle name="Normal 9 6 6 3" xfId="11180" xr:uid="{AAAE68A3-DF05-460D-B61A-F2906DDF427D}"/>
    <cellStyle name="Normal 9 6 7" xfId="4904" xr:uid="{00000000-0005-0000-0000-000084200000}"/>
    <cellStyle name="Normal 9 6 7 2" xfId="13333" xr:uid="{77889EBA-46FE-4107-9A17-37A19A50A553}"/>
    <cellStyle name="Normal 9 6 8" xfId="9115" xr:uid="{D007B28F-0223-4EE3-8B5E-3E33408DC153}"/>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5BC04D10-5BBE-4A55-85E5-588AC2765622}"/>
    <cellStyle name="Note 2 2 10 3" xfId="11261" xr:uid="{A4902D19-9B1C-41F0-BF01-E639B5B5680A}"/>
    <cellStyle name="Note 2 2 11" xfId="4905" xr:uid="{00000000-0005-0000-0000-000093200000}"/>
    <cellStyle name="Note 2 2 11 2" xfId="13334" xr:uid="{A44775C8-6512-485E-85D4-E1B2505A7177}"/>
    <cellStyle name="Note 2 2 12" xfId="9116" xr:uid="{60ECBC32-983B-4368-9A11-C04FC253865F}"/>
    <cellStyle name="Note 2 2 2" xfId="547" xr:uid="{00000000-0005-0000-0000-000094200000}"/>
    <cellStyle name="Note 2 2 2 10" xfId="4906" xr:uid="{00000000-0005-0000-0000-000095200000}"/>
    <cellStyle name="Note 2 2 2 10 2" xfId="13335" xr:uid="{EA383E12-7E27-43FC-AD0E-649FB8FD1FC2}"/>
    <cellStyle name="Note 2 2 2 11" xfId="9117" xr:uid="{507F9B7A-4272-4240-9093-77BCA54CCD07}"/>
    <cellStyle name="Note 2 2 2 2" xfId="548" xr:uid="{00000000-0005-0000-0000-000096200000}"/>
    <cellStyle name="Note 2 2 2 2 10" xfId="9118" xr:uid="{AB476BF4-C3A2-45DA-A15E-3B5585A5B3EF}"/>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1871FC0E-9E7B-48DE-8F90-D7B83814387E}"/>
    <cellStyle name="Note 2 2 2 2 2 2 3" xfId="11676" xr:uid="{3A108636-B376-4503-A8ED-CE23E38A7A50}"/>
    <cellStyle name="Note 2 2 2 2 2 3" xfId="5320" xr:uid="{00000000-0005-0000-0000-00009A200000}"/>
    <cellStyle name="Note 2 2 2 2 2 3 2" xfId="13749" xr:uid="{32CC2DA1-5C4E-4F57-A7D7-D5F6F92EC18F}"/>
    <cellStyle name="Note 2 2 2 2 2 4" xfId="9531" xr:uid="{A323C462-E1DD-48D4-B6D6-F614F50FB533}"/>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F01C6FEE-31BC-4723-B790-4723BE2D6459}"/>
    <cellStyle name="Note 2 2 2 2 3 2 3" xfId="12089" xr:uid="{02D6946F-CBF0-4877-82B3-0520A37D39D3}"/>
    <cellStyle name="Note 2 2 2 2 3 3" xfId="5733" xr:uid="{00000000-0005-0000-0000-00009E200000}"/>
    <cellStyle name="Note 2 2 2 2 3 3 2" xfId="14162" xr:uid="{33ED5F53-623D-41C7-B7F7-0C8317AD4CE8}"/>
    <cellStyle name="Note 2 2 2 2 3 4" xfId="9944" xr:uid="{CC629C63-E7CB-4FFB-A341-2D89691DE384}"/>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ADEB4A28-DD19-4058-82C7-9FCA5CFA685F}"/>
    <cellStyle name="Note 2 2 2 2 4 2 3" xfId="12502" xr:uid="{DB190E56-9E7B-49CC-998D-B633E1309E0C}"/>
    <cellStyle name="Note 2 2 2 2 4 3" xfId="6146" xr:uid="{00000000-0005-0000-0000-0000A2200000}"/>
    <cellStyle name="Note 2 2 2 2 4 3 2" xfId="14575" xr:uid="{BED14C0D-5B96-41A3-9B98-98745002DAF5}"/>
    <cellStyle name="Note 2 2 2 2 4 4" xfId="10357" xr:uid="{013D99C0-CED1-4A2C-9CCC-BF936FAAA6B7}"/>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190F4185-8A26-4F29-983F-3B04C93E84EA}"/>
    <cellStyle name="Note 2 2 2 2 5 2 3" xfId="12915" xr:uid="{3EF03CAD-DCD5-4A9E-AA0D-40E83903547E}"/>
    <cellStyle name="Note 2 2 2 2 5 3" xfId="6559" xr:uid="{00000000-0005-0000-0000-0000A6200000}"/>
    <cellStyle name="Note 2 2 2 2 5 3 2" xfId="14988" xr:uid="{78AF7072-4960-46B7-A9C0-314C27BC1B18}"/>
    <cellStyle name="Note 2 2 2 2 5 4" xfId="10770" xr:uid="{C97CEEE7-98FA-4C7E-805C-7ECCCA02B599}"/>
    <cellStyle name="Note 2 2 2 2 6" xfId="2687" xr:uid="{00000000-0005-0000-0000-0000A7200000}"/>
    <cellStyle name="Note 2 2 2 2 6 2" xfId="6972" xr:uid="{00000000-0005-0000-0000-0000A8200000}"/>
    <cellStyle name="Note 2 2 2 2 6 2 2" xfId="15401" xr:uid="{0A5CD613-83A2-46B8-B887-EF8335F6EC4A}"/>
    <cellStyle name="Note 2 2 2 2 6 3" xfId="11183" xr:uid="{B7C05F08-F36B-49C2-8956-8387ADB739E6}"/>
    <cellStyle name="Note 2 2 2 2 7" xfId="2746" xr:uid="{00000000-0005-0000-0000-0000A9200000}"/>
    <cellStyle name="Note 2 2 2 2 8" xfId="2827" xr:uid="{00000000-0005-0000-0000-0000AA200000}"/>
    <cellStyle name="Note 2 2 2 2 8 2" xfId="7052" xr:uid="{00000000-0005-0000-0000-0000AB200000}"/>
    <cellStyle name="Note 2 2 2 2 8 2 2" xfId="15481" xr:uid="{A1B70971-4005-4DA8-9D75-56BEE758FDE1}"/>
    <cellStyle name="Note 2 2 2 2 8 3" xfId="11263" xr:uid="{8BD3DA45-DFCE-41D6-A7FA-631BC2A210A3}"/>
    <cellStyle name="Note 2 2 2 2 9" xfId="4907" xr:uid="{00000000-0005-0000-0000-0000AC200000}"/>
    <cellStyle name="Note 2 2 2 2 9 2" xfId="13336" xr:uid="{5D6D189F-34DD-4318-B59C-9ABF67802C00}"/>
    <cellStyle name="Note 2 2 2 3" xfId="1008" xr:uid="{00000000-0005-0000-0000-0000AD200000}"/>
    <cellStyle name="Note 2 2 2 3 2" xfId="3240" xr:uid="{00000000-0005-0000-0000-0000AE200000}"/>
    <cellStyle name="Note 2 2 2 3 2 2" xfId="7464" xr:uid="{00000000-0005-0000-0000-0000AF200000}"/>
    <cellStyle name="Note 2 2 2 3 2 2 2" xfId="15893" xr:uid="{3E1533E8-4039-4FF9-8FEE-67CF944162C2}"/>
    <cellStyle name="Note 2 2 2 3 2 3" xfId="11675" xr:uid="{63A7C9C8-E1EC-4B61-9C38-D5776BF48D56}"/>
    <cellStyle name="Note 2 2 2 3 3" xfId="5319" xr:uid="{00000000-0005-0000-0000-0000B0200000}"/>
    <cellStyle name="Note 2 2 2 3 3 2" xfId="13748" xr:uid="{E7B2B8D9-9B18-477A-B616-4A73EB03B936}"/>
    <cellStyle name="Note 2 2 2 3 4" xfId="9530" xr:uid="{8698D1ED-244C-4491-8280-B56C7FF24268}"/>
    <cellStyle name="Note 2 2 2 4" xfId="1423" xr:uid="{00000000-0005-0000-0000-0000B1200000}"/>
    <cellStyle name="Note 2 2 2 4 2" xfId="3653" xr:uid="{00000000-0005-0000-0000-0000B2200000}"/>
    <cellStyle name="Note 2 2 2 4 2 2" xfId="7877" xr:uid="{00000000-0005-0000-0000-0000B3200000}"/>
    <cellStyle name="Note 2 2 2 4 2 2 2" xfId="16306" xr:uid="{F3C48C24-BD4D-4EDA-92F2-2F1DE3553745}"/>
    <cellStyle name="Note 2 2 2 4 2 3" xfId="12088" xr:uid="{3E36CA61-3E01-4E1F-BE8F-4067154C35F9}"/>
    <cellStyle name="Note 2 2 2 4 3" xfId="5732" xr:uid="{00000000-0005-0000-0000-0000B4200000}"/>
    <cellStyle name="Note 2 2 2 4 3 2" xfId="14161" xr:uid="{2131960C-FCAF-40A5-95AF-E5AA0C5B8A38}"/>
    <cellStyle name="Note 2 2 2 4 4" xfId="9943" xr:uid="{21A28936-0859-4CF3-B9DA-3585B7445B6B}"/>
    <cellStyle name="Note 2 2 2 5" xfId="1837" xr:uid="{00000000-0005-0000-0000-0000B5200000}"/>
    <cellStyle name="Note 2 2 2 5 2" xfId="4066" xr:uid="{00000000-0005-0000-0000-0000B6200000}"/>
    <cellStyle name="Note 2 2 2 5 2 2" xfId="8290" xr:uid="{00000000-0005-0000-0000-0000B7200000}"/>
    <cellStyle name="Note 2 2 2 5 2 2 2" xfId="16719" xr:uid="{F7381B3A-DEC9-49C1-9FF2-ABD1D3FF710A}"/>
    <cellStyle name="Note 2 2 2 5 2 3" xfId="12501" xr:uid="{AC1CD46C-7894-4A0B-9A67-FF896C09742E}"/>
    <cellStyle name="Note 2 2 2 5 3" xfId="6145" xr:uid="{00000000-0005-0000-0000-0000B8200000}"/>
    <cellStyle name="Note 2 2 2 5 3 2" xfId="14574" xr:uid="{9641177D-5CBC-4305-9003-33FAB6CFC2B8}"/>
    <cellStyle name="Note 2 2 2 5 4" xfId="10356" xr:uid="{D53CA026-3D42-4CBE-B59B-83DB5EBC384A}"/>
    <cellStyle name="Note 2 2 2 6" xfId="2250" xr:uid="{00000000-0005-0000-0000-0000B9200000}"/>
    <cellStyle name="Note 2 2 2 6 2" xfId="4479" xr:uid="{00000000-0005-0000-0000-0000BA200000}"/>
    <cellStyle name="Note 2 2 2 6 2 2" xfId="8703" xr:uid="{00000000-0005-0000-0000-0000BB200000}"/>
    <cellStyle name="Note 2 2 2 6 2 2 2" xfId="17132" xr:uid="{5ADEECCB-C07E-4006-8D2E-A50745BFD43C}"/>
    <cellStyle name="Note 2 2 2 6 2 3" xfId="12914" xr:uid="{50E55869-BD4A-4C7F-BB48-7B1A4EABEBDD}"/>
    <cellStyle name="Note 2 2 2 6 3" xfId="6558" xr:uid="{00000000-0005-0000-0000-0000BC200000}"/>
    <cellStyle name="Note 2 2 2 6 3 2" xfId="14987" xr:uid="{89E5006F-BEB3-4690-B012-D7217DF6A681}"/>
    <cellStyle name="Note 2 2 2 6 4" xfId="10769" xr:uid="{8E368D51-6C00-4133-B08A-CEA04865CA80}"/>
    <cellStyle name="Note 2 2 2 7" xfId="2686" xr:uid="{00000000-0005-0000-0000-0000BD200000}"/>
    <cellStyle name="Note 2 2 2 7 2" xfId="6971" xr:uid="{00000000-0005-0000-0000-0000BE200000}"/>
    <cellStyle name="Note 2 2 2 7 2 2" xfId="15400" xr:uid="{99D7BB8C-AA02-4EF4-B0D7-B8EEA20D5C65}"/>
    <cellStyle name="Note 2 2 2 7 3" xfId="11182" xr:uid="{EE585CC3-AB80-4170-9900-905A8A8403D2}"/>
    <cellStyle name="Note 2 2 2 8" xfId="2745" xr:uid="{00000000-0005-0000-0000-0000BF200000}"/>
    <cellStyle name="Note 2 2 2 9" xfId="2826" xr:uid="{00000000-0005-0000-0000-0000C0200000}"/>
    <cellStyle name="Note 2 2 2 9 2" xfId="7051" xr:uid="{00000000-0005-0000-0000-0000C1200000}"/>
    <cellStyle name="Note 2 2 2 9 2 2" xfId="15480" xr:uid="{E574C84D-AF4B-42AA-AF1D-449E531D96F4}"/>
    <cellStyle name="Note 2 2 2 9 3" xfId="11262" xr:uid="{6783D955-5210-4E25-B647-F18EC20BC787}"/>
    <cellStyle name="Note 2 2 3" xfId="549" xr:uid="{00000000-0005-0000-0000-0000C2200000}"/>
    <cellStyle name="Note 2 2 3 10" xfId="9119" xr:uid="{C0CDDDAE-5451-4F49-B666-6DC7A46BF199}"/>
    <cellStyle name="Note 2 2 3 2" xfId="1010" xr:uid="{00000000-0005-0000-0000-0000C3200000}"/>
    <cellStyle name="Note 2 2 3 2 2" xfId="3242" xr:uid="{00000000-0005-0000-0000-0000C4200000}"/>
    <cellStyle name="Note 2 2 3 2 2 2" xfId="7466" xr:uid="{00000000-0005-0000-0000-0000C5200000}"/>
    <cellStyle name="Note 2 2 3 2 2 2 2" xfId="15895" xr:uid="{4F9A533B-4787-4264-8939-006F68B1DD0A}"/>
    <cellStyle name="Note 2 2 3 2 2 3" xfId="11677" xr:uid="{A751C698-FB69-4775-9CC0-3E00DB7BE012}"/>
    <cellStyle name="Note 2 2 3 2 3" xfId="5321" xr:uid="{00000000-0005-0000-0000-0000C6200000}"/>
    <cellStyle name="Note 2 2 3 2 3 2" xfId="13750" xr:uid="{454B9876-D34B-4A7F-A116-BD6C7C592F61}"/>
    <cellStyle name="Note 2 2 3 2 4" xfId="9532" xr:uid="{C89AC636-A6EC-41F8-B7DC-574DB547E0C2}"/>
    <cellStyle name="Note 2 2 3 3" xfId="1425" xr:uid="{00000000-0005-0000-0000-0000C7200000}"/>
    <cellStyle name="Note 2 2 3 3 2" xfId="3655" xr:uid="{00000000-0005-0000-0000-0000C8200000}"/>
    <cellStyle name="Note 2 2 3 3 2 2" xfId="7879" xr:uid="{00000000-0005-0000-0000-0000C9200000}"/>
    <cellStyle name="Note 2 2 3 3 2 2 2" xfId="16308" xr:uid="{070DECD6-CC26-44A1-8DC1-D52A2C982EC7}"/>
    <cellStyle name="Note 2 2 3 3 2 3" xfId="12090" xr:uid="{4FBD54EB-952B-4246-8F13-1189A514FF61}"/>
    <cellStyle name="Note 2 2 3 3 3" xfId="5734" xr:uid="{00000000-0005-0000-0000-0000CA200000}"/>
    <cellStyle name="Note 2 2 3 3 3 2" xfId="14163" xr:uid="{B3E323E0-3B8D-4649-9F77-A0A0F13110AA}"/>
    <cellStyle name="Note 2 2 3 3 4" xfId="9945" xr:uid="{E673C210-0B27-467D-8605-52319D398866}"/>
    <cellStyle name="Note 2 2 3 4" xfId="1839" xr:uid="{00000000-0005-0000-0000-0000CB200000}"/>
    <cellStyle name="Note 2 2 3 4 2" xfId="4068" xr:uid="{00000000-0005-0000-0000-0000CC200000}"/>
    <cellStyle name="Note 2 2 3 4 2 2" xfId="8292" xr:uid="{00000000-0005-0000-0000-0000CD200000}"/>
    <cellStyle name="Note 2 2 3 4 2 2 2" xfId="16721" xr:uid="{E898F0BB-6F2C-4371-8607-32112D273CA7}"/>
    <cellStyle name="Note 2 2 3 4 2 3" xfId="12503" xr:uid="{36289715-861D-4247-95F4-1BEAC1E5F413}"/>
    <cellStyle name="Note 2 2 3 4 3" xfId="6147" xr:uid="{00000000-0005-0000-0000-0000CE200000}"/>
    <cellStyle name="Note 2 2 3 4 3 2" xfId="14576" xr:uid="{B1F4E61F-7A20-47F2-A8E9-D2CB375D13F2}"/>
    <cellStyle name="Note 2 2 3 4 4" xfId="10358" xr:uid="{FB033A80-116E-4C05-B108-D7B46E153392}"/>
    <cellStyle name="Note 2 2 3 5" xfId="2252" xr:uid="{00000000-0005-0000-0000-0000CF200000}"/>
    <cellStyle name="Note 2 2 3 5 2" xfId="4481" xr:uid="{00000000-0005-0000-0000-0000D0200000}"/>
    <cellStyle name="Note 2 2 3 5 2 2" xfId="8705" xr:uid="{00000000-0005-0000-0000-0000D1200000}"/>
    <cellStyle name="Note 2 2 3 5 2 2 2" xfId="17134" xr:uid="{01E60983-5184-4797-A28D-6781A4773FE1}"/>
    <cellStyle name="Note 2 2 3 5 2 3" xfId="12916" xr:uid="{6F1A3490-E4EE-4575-93FF-BF3A6254E163}"/>
    <cellStyle name="Note 2 2 3 5 3" xfId="6560" xr:uid="{00000000-0005-0000-0000-0000D2200000}"/>
    <cellStyle name="Note 2 2 3 5 3 2" xfId="14989" xr:uid="{31E2D268-3A92-47E7-A15F-1AADE60C1932}"/>
    <cellStyle name="Note 2 2 3 5 4" xfId="10771" xr:uid="{BF66B961-5911-47FC-8FAF-F305502574D7}"/>
    <cellStyle name="Note 2 2 3 6" xfId="2688" xr:uid="{00000000-0005-0000-0000-0000D3200000}"/>
    <cellStyle name="Note 2 2 3 6 2" xfId="6973" xr:uid="{00000000-0005-0000-0000-0000D4200000}"/>
    <cellStyle name="Note 2 2 3 6 2 2" xfId="15402" xr:uid="{73063938-3866-41D4-9225-597EFF9BF480}"/>
    <cellStyle name="Note 2 2 3 6 3" xfId="11184" xr:uid="{EA3BD69A-3025-46DD-B16F-B5218FEA0D95}"/>
    <cellStyle name="Note 2 2 3 7" xfId="2747" xr:uid="{00000000-0005-0000-0000-0000D5200000}"/>
    <cellStyle name="Note 2 2 3 8" xfId="2828" xr:uid="{00000000-0005-0000-0000-0000D6200000}"/>
    <cellStyle name="Note 2 2 3 8 2" xfId="7053" xr:uid="{00000000-0005-0000-0000-0000D7200000}"/>
    <cellStyle name="Note 2 2 3 8 2 2" xfId="15482" xr:uid="{CDDF56E3-6BD3-43A9-A86C-8F5D20BCA529}"/>
    <cellStyle name="Note 2 2 3 8 3" xfId="11264" xr:uid="{296B8E19-72FC-4A8B-9F33-541C9461013F}"/>
    <cellStyle name="Note 2 2 3 9" xfId="4908" xr:uid="{00000000-0005-0000-0000-0000D8200000}"/>
    <cellStyle name="Note 2 2 3 9 2" xfId="13337" xr:uid="{8F46AA86-C93A-4EBA-983A-EF2FAB7EC6AD}"/>
    <cellStyle name="Note 2 2 4" xfId="1007" xr:uid="{00000000-0005-0000-0000-0000D9200000}"/>
    <cellStyle name="Note 2 2 4 2" xfId="3239" xr:uid="{00000000-0005-0000-0000-0000DA200000}"/>
    <cellStyle name="Note 2 2 4 2 2" xfId="7463" xr:uid="{00000000-0005-0000-0000-0000DB200000}"/>
    <cellStyle name="Note 2 2 4 2 2 2" xfId="15892" xr:uid="{0295C91E-9DD7-4A64-9932-B056470CF8CD}"/>
    <cellStyle name="Note 2 2 4 2 3" xfId="11674" xr:uid="{789B260F-78B8-439E-9F79-AB4939182A64}"/>
    <cellStyle name="Note 2 2 4 3" xfId="5318" xr:uid="{00000000-0005-0000-0000-0000DC200000}"/>
    <cellStyle name="Note 2 2 4 3 2" xfId="13747" xr:uid="{7FB7D782-72E8-4D09-8CB8-C3E74599BE21}"/>
    <cellStyle name="Note 2 2 4 4" xfId="9529" xr:uid="{E262E8F5-E31E-4E54-B97F-59EB8BF0215C}"/>
    <cellStyle name="Note 2 2 5" xfId="1422" xr:uid="{00000000-0005-0000-0000-0000DD200000}"/>
    <cellStyle name="Note 2 2 5 2" xfId="3652" xr:uid="{00000000-0005-0000-0000-0000DE200000}"/>
    <cellStyle name="Note 2 2 5 2 2" xfId="7876" xr:uid="{00000000-0005-0000-0000-0000DF200000}"/>
    <cellStyle name="Note 2 2 5 2 2 2" xfId="16305" xr:uid="{A4F5D313-A0FE-416C-B987-3975B32843E8}"/>
    <cellStyle name="Note 2 2 5 2 3" xfId="12087" xr:uid="{C8093F4E-42FB-426E-9FBC-4A6EB145402F}"/>
    <cellStyle name="Note 2 2 5 3" xfId="5731" xr:uid="{00000000-0005-0000-0000-0000E0200000}"/>
    <cellStyle name="Note 2 2 5 3 2" xfId="14160" xr:uid="{4D27E33C-8273-4A06-A47E-5AAABE2AD9D9}"/>
    <cellStyle name="Note 2 2 5 4" xfId="9942" xr:uid="{E239C2EE-A12A-4217-B823-7D9232F6FE72}"/>
    <cellStyle name="Note 2 2 6" xfId="1836" xr:uid="{00000000-0005-0000-0000-0000E1200000}"/>
    <cellStyle name="Note 2 2 6 2" xfId="4065" xr:uid="{00000000-0005-0000-0000-0000E2200000}"/>
    <cellStyle name="Note 2 2 6 2 2" xfId="8289" xr:uid="{00000000-0005-0000-0000-0000E3200000}"/>
    <cellStyle name="Note 2 2 6 2 2 2" xfId="16718" xr:uid="{5D5A1725-ABE7-400A-952C-386B54D324E5}"/>
    <cellStyle name="Note 2 2 6 2 3" xfId="12500" xr:uid="{E8A7CFCE-5885-4F9A-A4DB-777BF3FC036D}"/>
    <cellStyle name="Note 2 2 6 3" xfId="6144" xr:uid="{00000000-0005-0000-0000-0000E4200000}"/>
    <cellStyle name="Note 2 2 6 3 2" xfId="14573" xr:uid="{3DC7D769-387C-4B56-AA94-107C7BF40F30}"/>
    <cellStyle name="Note 2 2 6 4" xfId="10355" xr:uid="{47962008-3AF4-4BF9-9F69-B7480A7A4AE7}"/>
    <cellStyle name="Note 2 2 7" xfId="2249" xr:uid="{00000000-0005-0000-0000-0000E5200000}"/>
    <cellStyle name="Note 2 2 7 2" xfId="4478" xr:uid="{00000000-0005-0000-0000-0000E6200000}"/>
    <cellStyle name="Note 2 2 7 2 2" xfId="8702" xr:uid="{00000000-0005-0000-0000-0000E7200000}"/>
    <cellStyle name="Note 2 2 7 2 2 2" xfId="17131" xr:uid="{ACEF9243-B63F-4CAC-A2EB-C10961FD870B}"/>
    <cellStyle name="Note 2 2 7 2 3" xfId="12913" xr:uid="{105BD2A2-BAC0-4564-9773-17DF707252B0}"/>
    <cellStyle name="Note 2 2 7 3" xfId="6557" xr:uid="{00000000-0005-0000-0000-0000E8200000}"/>
    <cellStyle name="Note 2 2 7 3 2" xfId="14986" xr:uid="{E7CB0598-8398-49A0-A9A0-78CBC8F1414C}"/>
    <cellStyle name="Note 2 2 7 4" xfId="10768" xr:uid="{E11A9AB6-BBAD-40A8-BD51-59D199E6FAF5}"/>
    <cellStyle name="Note 2 2 8" xfId="2685" xr:uid="{00000000-0005-0000-0000-0000E9200000}"/>
    <cellStyle name="Note 2 2 8 2" xfId="6970" xr:uid="{00000000-0005-0000-0000-0000EA200000}"/>
    <cellStyle name="Note 2 2 8 2 2" xfId="15399" xr:uid="{9068895F-3700-4422-865B-8E59FACEDACD}"/>
    <cellStyle name="Note 2 2 8 3" xfId="11181" xr:uid="{26C529F5-EA0A-4729-838A-1D374C838C6A}"/>
    <cellStyle name="Note 2 2 9" xfId="2744" xr:uid="{00000000-0005-0000-0000-0000EB200000}"/>
    <cellStyle name="Note 2 3" xfId="550" xr:uid="{00000000-0005-0000-0000-0000EC200000}"/>
    <cellStyle name="Note 2 3 10" xfId="4909" xr:uid="{00000000-0005-0000-0000-0000ED200000}"/>
    <cellStyle name="Note 2 3 10 2" xfId="13338" xr:uid="{99683F92-5236-4B01-9781-B7D7F8763165}"/>
    <cellStyle name="Note 2 3 11" xfId="9120" xr:uid="{2A407F93-EEEA-49E6-87ED-421096CA8AED}"/>
    <cellStyle name="Note 2 3 2" xfId="551" xr:uid="{00000000-0005-0000-0000-0000EE200000}"/>
    <cellStyle name="Note 2 3 2 10" xfId="9121" xr:uid="{5F53F3CC-0CEB-4F33-8F4A-859C01F66A20}"/>
    <cellStyle name="Note 2 3 2 2" xfId="1012" xr:uid="{00000000-0005-0000-0000-0000EF200000}"/>
    <cellStyle name="Note 2 3 2 2 2" xfId="3244" xr:uid="{00000000-0005-0000-0000-0000F0200000}"/>
    <cellStyle name="Note 2 3 2 2 2 2" xfId="7468" xr:uid="{00000000-0005-0000-0000-0000F1200000}"/>
    <cellStyle name="Note 2 3 2 2 2 2 2" xfId="15897" xr:uid="{CB3C22D0-710A-45E1-9F58-28971A2F88B0}"/>
    <cellStyle name="Note 2 3 2 2 2 3" xfId="11679" xr:uid="{EB763945-EAA8-4DA2-8AEC-76BED638C04A}"/>
    <cellStyle name="Note 2 3 2 2 3" xfId="5323" xr:uid="{00000000-0005-0000-0000-0000F2200000}"/>
    <cellStyle name="Note 2 3 2 2 3 2" xfId="13752" xr:uid="{FC37DE9C-9F66-4C61-89DE-4D50BDB46645}"/>
    <cellStyle name="Note 2 3 2 2 4" xfId="9534" xr:uid="{A4401B54-59A5-4895-A2EA-A0B2934FE1C7}"/>
    <cellStyle name="Note 2 3 2 3" xfId="1427" xr:uid="{00000000-0005-0000-0000-0000F3200000}"/>
    <cellStyle name="Note 2 3 2 3 2" xfId="3657" xr:uid="{00000000-0005-0000-0000-0000F4200000}"/>
    <cellStyle name="Note 2 3 2 3 2 2" xfId="7881" xr:uid="{00000000-0005-0000-0000-0000F5200000}"/>
    <cellStyle name="Note 2 3 2 3 2 2 2" xfId="16310" xr:uid="{4F043B1D-1112-4EE4-AA69-2C7491B8FD1F}"/>
    <cellStyle name="Note 2 3 2 3 2 3" xfId="12092" xr:uid="{EE984E01-FECC-4B2B-9661-EB9F6C865143}"/>
    <cellStyle name="Note 2 3 2 3 3" xfId="5736" xr:uid="{00000000-0005-0000-0000-0000F6200000}"/>
    <cellStyle name="Note 2 3 2 3 3 2" xfId="14165" xr:uid="{5FDB6EF9-BEEA-43DA-BC89-227032659046}"/>
    <cellStyle name="Note 2 3 2 3 4" xfId="9947" xr:uid="{AF1CDC2F-88B2-4BA1-A580-0239CEF07658}"/>
    <cellStyle name="Note 2 3 2 4" xfId="1841" xr:uid="{00000000-0005-0000-0000-0000F7200000}"/>
    <cellStyle name="Note 2 3 2 4 2" xfId="4070" xr:uid="{00000000-0005-0000-0000-0000F8200000}"/>
    <cellStyle name="Note 2 3 2 4 2 2" xfId="8294" xr:uid="{00000000-0005-0000-0000-0000F9200000}"/>
    <cellStyle name="Note 2 3 2 4 2 2 2" xfId="16723" xr:uid="{6C10E808-7D96-4178-BC5F-74CEE481CE4A}"/>
    <cellStyle name="Note 2 3 2 4 2 3" xfId="12505" xr:uid="{6AF5321B-43A1-41D7-B735-FB9444C280EF}"/>
    <cellStyle name="Note 2 3 2 4 3" xfId="6149" xr:uid="{00000000-0005-0000-0000-0000FA200000}"/>
    <cellStyle name="Note 2 3 2 4 3 2" xfId="14578" xr:uid="{173E834D-3796-40CA-A1D4-356EB378D513}"/>
    <cellStyle name="Note 2 3 2 4 4" xfId="10360" xr:uid="{DD27E5B9-DC70-45CA-BB4C-9CC2DEB1F74B}"/>
    <cellStyle name="Note 2 3 2 5" xfId="2254" xr:uid="{00000000-0005-0000-0000-0000FB200000}"/>
    <cellStyle name="Note 2 3 2 5 2" xfId="4483" xr:uid="{00000000-0005-0000-0000-0000FC200000}"/>
    <cellStyle name="Note 2 3 2 5 2 2" xfId="8707" xr:uid="{00000000-0005-0000-0000-0000FD200000}"/>
    <cellStyle name="Note 2 3 2 5 2 2 2" xfId="17136" xr:uid="{51C8CFFB-699F-4D25-88AD-06D47FA19D3B}"/>
    <cellStyle name="Note 2 3 2 5 2 3" xfId="12918" xr:uid="{330CB073-0A72-4D96-BD14-31D07AD92BA3}"/>
    <cellStyle name="Note 2 3 2 5 3" xfId="6562" xr:uid="{00000000-0005-0000-0000-0000FE200000}"/>
    <cellStyle name="Note 2 3 2 5 3 2" xfId="14991" xr:uid="{6300D1AF-9F5B-44E2-982D-9C25B357DA4D}"/>
    <cellStyle name="Note 2 3 2 5 4" xfId="10773" xr:uid="{FF51117C-B88D-4D19-A26C-478A68EA3648}"/>
    <cellStyle name="Note 2 3 2 6" xfId="2690" xr:uid="{00000000-0005-0000-0000-0000FF200000}"/>
    <cellStyle name="Note 2 3 2 6 2" xfId="6975" xr:uid="{00000000-0005-0000-0000-000000210000}"/>
    <cellStyle name="Note 2 3 2 6 2 2" xfId="15404" xr:uid="{1679F6AB-CEA8-41BC-94BE-8E314EC9ADEC}"/>
    <cellStyle name="Note 2 3 2 6 3" xfId="11186" xr:uid="{FB2F0A4D-0E5D-4892-B144-1D890D469F16}"/>
    <cellStyle name="Note 2 3 2 7" xfId="2749" xr:uid="{00000000-0005-0000-0000-000001210000}"/>
    <cellStyle name="Note 2 3 2 8" xfId="2830" xr:uid="{00000000-0005-0000-0000-000002210000}"/>
    <cellStyle name="Note 2 3 2 8 2" xfId="7055" xr:uid="{00000000-0005-0000-0000-000003210000}"/>
    <cellStyle name="Note 2 3 2 8 2 2" xfId="15484" xr:uid="{C7A08B50-E335-4AD3-A068-30D97C4989E0}"/>
    <cellStyle name="Note 2 3 2 8 3" xfId="11266" xr:uid="{43F49C8A-2F18-4CA5-B6A5-1485BF4F9C1C}"/>
    <cellStyle name="Note 2 3 2 9" xfId="4910" xr:uid="{00000000-0005-0000-0000-000004210000}"/>
    <cellStyle name="Note 2 3 2 9 2" xfId="13339" xr:uid="{C82BB977-571C-4C3D-B2A1-218C2868E22B}"/>
    <cellStyle name="Note 2 3 3" xfId="1011" xr:uid="{00000000-0005-0000-0000-000005210000}"/>
    <cellStyle name="Note 2 3 3 2" xfId="3243" xr:uid="{00000000-0005-0000-0000-000006210000}"/>
    <cellStyle name="Note 2 3 3 2 2" xfId="7467" xr:uid="{00000000-0005-0000-0000-000007210000}"/>
    <cellStyle name="Note 2 3 3 2 2 2" xfId="15896" xr:uid="{62C5135E-C817-432A-81E3-F2FB92BF3938}"/>
    <cellStyle name="Note 2 3 3 2 3" xfId="11678" xr:uid="{EB840FA3-B494-428E-BA27-B66DBEF1A842}"/>
    <cellStyle name="Note 2 3 3 3" xfId="5322" xr:uid="{00000000-0005-0000-0000-000008210000}"/>
    <cellStyle name="Note 2 3 3 3 2" xfId="13751" xr:uid="{CEF29CEC-1E97-47CF-9B50-78690EF253BD}"/>
    <cellStyle name="Note 2 3 3 4" xfId="9533" xr:uid="{1283991D-2F4D-481A-9228-226A9F599E1D}"/>
    <cellStyle name="Note 2 3 4" xfId="1426" xr:uid="{00000000-0005-0000-0000-000009210000}"/>
    <cellStyle name="Note 2 3 4 2" xfId="3656" xr:uid="{00000000-0005-0000-0000-00000A210000}"/>
    <cellStyle name="Note 2 3 4 2 2" xfId="7880" xr:uid="{00000000-0005-0000-0000-00000B210000}"/>
    <cellStyle name="Note 2 3 4 2 2 2" xfId="16309" xr:uid="{97C11695-2205-45B0-BE78-06D1C154CF42}"/>
    <cellStyle name="Note 2 3 4 2 3" xfId="12091" xr:uid="{41BCD86F-638F-47CA-9A5B-6CD8440C4A64}"/>
    <cellStyle name="Note 2 3 4 3" xfId="5735" xr:uid="{00000000-0005-0000-0000-00000C210000}"/>
    <cellStyle name="Note 2 3 4 3 2" xfId="14164" xr:uid="{AEBD453A-895D-4843-95B1-3033FAC58C59}"/>
    <cellStyle name="Note 2 3 4 4" xfId="9946" xr:uid="{9FC38F7F-4B77-4DC4-A88D-F8153415C71E}"/>
    <cellStyle name="Note 2 3 5" xfId="1840" xr:uid="{00000000-0005-0000-0000-00000D210000}"/>
    <cellStyle name="Note 2 3 5 2" xfId="4069" xr:uid="{00000000-0005-0000-0000-00000E210000}"/>
    <cellStyle name="Note 2 3 5 2 2" xfId="8293" xr:uid="{00000000-0005-0000-0000-00000F210000}"/>
    <cellStyle name="Note 2 3 5 2 2 2" xfId="16722" xr:uid="{DEEE3F1B-EFC5-486F-BC46-7188053E1DA3}"/>
    <cellStyle name="Note 2 3 5 2 3" xfId="12504" xr:uid="{B2C851ED-1E6B-4E32-B832-D1E8566D142C}"/>
    <cellStyle name="Note 2 3 5 3" xfId="6148" xr:uid="{00000000-0005-0000-0000-000010210000}"/>
    <cellStyle name="Note 2 3 5 3 2" xfId="14577" xr:uid="{8525DEC9-C826-4DDF-AF3E-FC99A5A8699A}"/>
    <cellStyle name="Note 2 3 5 4" xfId="10359" xr:uid="{B5436F84-2099-4908-85A0-EF35FC3C5FBD}"/>
    <cellStyle name="Note 2 3 6" xfId="2253" xr:uid="{00000000-0005-0000-0000-000011210000}"/>
    <cellStyle name="Note 2 3 6 2" xfId="4482" xr:uid="{00000000-0005-0000-0000-000012210000}"/>
    <cellStyle name="Note 2 3 6 2 2" xfId="8706" xr:uid="{00000000-0005-0000-0000-000013210000}"/>
    <cellStyle name="Note 2 3 6 2 2 2" xfId="17135" xr:uid="{B779AFA4-0ED5-43FE-9F7F-CDDF1C221AC0}"/>
    <cellStyle name="Note 2 3 6 2 3" xfId="12917" xr:uid="{6BB5ABD6-F982-44B9-8D75-F6C3945544B2}"/>
    <cellStyle name="Note 2 3 6 3" xfId="6561" xr:uid="{00000000-0005-0000-0000-000014210000}"/>
    <cellStyle name="Note 2 3 6 3 2" xfId="14990" xr:uid="{75DDA866-65D5-492F-A7C8-E70F095464B1}"/>
    <cellStyle name="Note 2 3 6 4" xfId="10772" xr:uid="{5D19D6AD-895A-43D3-9B1A-A1DE73B514A4}"/>
    <cellStyle name="Note 2 3 7" xfId="2689" xr:uid="{00000000-0005-0000-0000-000015210000}"/>
    <cellStyle name="Note 2 3 7 2" xfId="6974" xr:uid="{00000000-0005-0000-0000-000016210000}"/>
    <cellStyle name="Note 2 3 7 2 2" xfId="15403" xr:uid="{F3E38787-5AFA-4F26-84C8-CB65E4A54876}"/>
    <cellStyle name="Note 2 3 7 3" xfId="11185" xr:uid="{A860D11D-6BFA-482B-A950-BEA6B688A062}"/>
    <cellStyle name="Note 2 3 8" xfId="2748" xr:uid="{00000000-0005-0000-0000-000017210000}"/>
    <cellStyle name="Note 2 3 9" xfId="2829" xr:uid="{00000000-0005-0000-0000-000018210000}"/>
    <cellStyle name="Note 2 3 9 2" xfId="7054" xr:uid="{00000000-0005-0000-0000-000019210000}"/>
    <cellStyle name="Note 2 3 9 2 2" xfId="15483" xr:uid="{CD2950FC-B851-4285-8E9F-040AB84E3C73}"/>
    <cellStyle name="Note 2 3 9 3" xfId="11265" xr:uid="{273E7CC2-9747-41DD-BA3A-CACA3783AC74}"/>
    <cellStyle name="Note 2 4" xfId="552" xr:uid="{00000000-0005-0000-0000-00001A210000}"/>
    <cellStyle name="Note 2 4 10" xfId="9122" xr:uid="{C56E4B81-253C-4C3B-9960-B5E75C557830}"/>
    <cellStyle name="Note 2 4 2" xfId="1013" xr:uid="{00000000-0005-0000-0000-00001B210000}"/>
    <cellStyle name="Note 2 4 2 2" xfId="3245" xr:uid="{00000000-0005-0000-0000-00001C210000}"/>
    <cellStyle name="Note 2 4 2 2 2" xfId="7469" xr:uid="{00000000-0005-0000-0000-00001D210000}"/>
    <cellStyle name="Note 2 4 2 2 2 2" xfId="15898" xr:uid="{03131C31-E592-4732-AC34-E23BA3F0E7EA}"/>
    <cellStyle name="Note 2 4 2 2 3" xfId="11680" xr:uid="{5C561153-0091-49AD-91FD-B4AE000EA9CB}"/>
    <cellStyle name="Note 2 4 2 3" xfId="5324" xr:uid="{00000000-0005-0000-0000-00001E210000}"/>
    <cellStyle name="Note 2 4 2 3 2" xfId="13753" xr:uid="{374C46E8-97EB-4A38-A613-B1C2602413D9}"/>
    <cellStyle name="Note 2 4 2 4" xfId="9535" xr:uid="{93D1B36D-708E-488E-A460-6D3826CC3AB1}"/>
    <cellStyle name="Note 2 4 3" xfId="1428" xr:uid="{00000000-0005-0000-0000-00001F210000}"/>
    <cellStyle name="Note 2 4 3 2" xfId="3658" xr:uid="{00000000-0005-0000-0000-000020210000}"/>
    <cellStyle name="Note 2 4 3 2 2" xfId="7882" xr:uid="{00000000-0005-0000-0000-000021210000}"/>
    <cellStyle name="Note 2 4 3 2 2 2" xfId="16311" xr:uid="{0D925B48-2E05-4791-A218-F861497D639F}"/>
    <cellStyle name="Note 2 4 3 2 3" xfId="12093" xr:uid="{BC336260-6B12-4576-9DE2-2AADAB09239E}"/>
    <cellStyle name="Note 2 4 3 3" xfId="5737" xr:uid="{00000000-0005-0000-0000-000022210000}"/>
    <cellStyle name="Note 2 4 3 3 2" xfId="14166" xr:uid="{A8621A9E-913C-4888-8545-CBD273998715}"/>
    <cellStyle name="Note 2 4 3 4" xfId="9948" xr:uid="{38CF903B-38FA-4113-A2B7-B0BB275AA56E}"/>
    <cellStyle name="Note 2 4 4" xfId="1842" xr:uid="{00000000-0005-0000-0000-000023210000}"/>
    <cellStyle name="Note 2 4 4 2" xfId="4071" xr:uid="{00000000-0005-0000-0000-000024210000}"/>
    <cellStyle name="Note 2 4 4 2 2" xfId="8295" xr:uid="{00000000-0005-0000-0000-000025210000}"/>
    <cellStyle name="Note 2 4 4 2 2 2" xfId="16724" xr:uid="{3D715207-7D83-4ECA-8D54-F63BEA196CDC}"/>
    <cellStyle name="Note 2 4 4 2 3" xfId="12506" xr:uid="{BA2CA194-FED4-41E5-91A1-C53C25827E4E}"/>
    <cellStyle name="Note 2 4 4 3" xfId="6150" xr:uid="{00000000-0005-0000-0000-000026210000}"/>
    <cellStyle name="Note 2 4 4 3 2" xfId="14579" xr:uid="{19F1957F-2641-4531-B52B-C3F75F6E9E65}"/>
    <cellStyle name="Note 2 4 4 4" xfId="10361" xr:uid="{C83BDCCE-8B9D-4FBB-BBFA-836EB0F2E0C1}"/>
    <cellStyle name="Note 2 4 5" xfId="2255" xr:uid="{00000000-0005-0000-0000-000027210000}"/>
    <cellStyle name="Note 2 4 5 2" xfId="4484" xr:uid="{00000000-0005-0000-0000-000028210000}"/>
    <cellStyle name="Note 2 4 5 2 2" xfId="8708" xr:uid="{00000000-0005-0000-0000-000029210000}"/>
    <cellStyle name="Note 2 4 5 2 2 2" xfId="17137" xr:uid="{E07DD62F-7EB3-4220-9360-AF4AE0B72739}"/>
    <cellStyle name="Note 2 4 5 2 3" xfId="12919" xr:uid="{FBD3642C-4937-4F22-BB29-14A649126968}"/>
    <cellStyle name="Note 2 4 5 3" xfId="6563" xr:uid="{00000000-0005-0000-0000-00002A210000}"/>
    <cellStyle name="Note 2 4 5 3 2" xfId="14992" xr:uid="{B5750B02-C7CF-40E3-8DB4-ED6E9CF1662C}"/>
    <cellStyle name="Note 2 4 5 4" xfId="10774" xr:uid="{6C8CFE66-BD3E-41EC-AA99-4C0E1A675F7D}"/>
    <cellStyle name="Note 2 4 6" xfId="2691" xr:uid="{00000000-0005-0000-0000-00002B210000}"/>
    <cellStyle name="Note 2 4 6 2" xfId="6976" xr:uid="{00000000-0005-0000-0000-00002C210000}"/>
    <cellStyle name="Note 2 4 6 2 2" xfId="15405" xr:uid="{950897DE-D451-4787-80E3-900E834C68A9}"/>
    <cellStyle name="Note 2 4 6 3" xfId="11187" xr:uid="{DEFE729E-E1D9-4619-98E1-9D16B23218A7}"/>
    <cellStyle name="Note 2 4 7" xfId="2750" xr:uid="{00000000-0005-0000-0000-00002D210000}"/>
    <cellStyle name="Note 2 4 8" xfId="2831" xr:uid="{00000000-0005-0000-0000-00002E210000}"/>
    <cellStyle name="Note 2 4 8 2" xfId="7056" xr:uid="{00000000-0005-0000-0000-00002F210000}"/>
    <cellStyle name="Note 2 4 8 2 2" xfId="15485" xr:uid="{2B9D8365-9D05-4713-A38E-A3C38E5FAAD8}"/>
    <cellStyle name="Note 2 4 8 3" xfId="11267" xr:uid="{552777D4-0884-4290-9A72-1E0003771A0F}"/>
    <cellStyle name="Note 2 4 9" xfId="4911" xr:uid="{00000000-0005-0000-0000-000030210000}"/>
    <cellStyle name="Note 2 4 9 2" xfId="13340" xr:uid="{CE23BD7E-A65C-4EDB-8E2F-9E4D680174D3}"/>
    <cellStyle name="Note 2 5" xfId="553" xr:uid="{00000000-0005-0000-0000-000031210000}"/>
    <cellStyle name="Note 2 5 10" xfId="9123" xr:uid="{6F880980-5049-43FB-A475-B805106AD4E4}"/>
    <cellStyle name="Note 2 5 2" xfId="1014" xr:uid="{00000000-0005-0000-0000-000032210000}"/>
    <cellStyle name="Note 2 5 2 2" xfId="3246" xr:uid="{00000000-0005-0000-0000-000033210000}"/>
    <cellStyle name="Note 2 5 2 2 2" xfId="7470" xr:uid="{00000000-0005-0000-0000-000034210000}"/>
    <cellStyle name="Note 2 5 2 2 2 2" xfId="15899" xr:uid="{B0C00674-5795-4D91-ACFD-966C2418C9D2}"/>
    <cellStyle name="Note 2 5 2 2 3" xfId="11681" xr:uid="{34E2D04F-564E-4E7E-8E33-24EC3F79A496}"/>
    <cellStyle name="Note 2 5 2 3" xfId="5325" xr:uid="{00000000-0005-0000-0000-000035210000}"/>
    <cellStyle name="Note 2 5 2 3 2" xfId="13754" xr:uid="{279EF465-2A68-44A3-BA1F-5869E8D2F47C}"/>
    <cellStyle name="Note 2 5 2 4" xfId="9536" xr:uid="{1B9A9B26-94DF-47A0-9DA4-387428F160CA}"/>
    <cellStyle name="Note 2 5 3" xfId="1429" xr:uid="{00000000-0005-0000-0000-000036210000}"/>
    <cellStyle name="Note 2 5 3 2" xfId="3659" xr:uid="{00000000-0005-0000-0000-000037210000}"/>
    <cellStyle name="Note 2 5 3 2 2" xfId="7883" xr:uid="{00000000-0005-0000-0000-000038210000}"/>
    <cellStyle name="Note 2 5 3 2 2 2" xfId="16312" xr:uid="{BC0029E9-3A26-42C9-8142-1889E7A12FF4}"/>
    <cellStyle name="Note 2 5 3 2 3" xfId="12094" xr:uid="{719FF2CD-F208-4F19-8CFD-B0446C2D8BB6}"/>
    <cellStyle name="Note 2 5 3 3" xfId="5738" xr:uid="{00000000-0005-0000-0000-000039210000}"/>
    <cellStyle name="Note 2 5 3 3 2" xfId="14167" xr:uid="{3F991E26-1538-4D2F-B6A9-2D7B3709194C}"/>
    <cellStyle name="Note 2 5 3 4" xfId="9949" xr:uid="{D7AC1057-EC78-4556-A544-D640062454CC}"/>
    <cellStyle name="Note 2 5 4" xfId="1843" xr:uid="{00000000-0005-0000-0000-00003A210000}"/>
    <cellStyle name="Note 2 5 4 2" xfId="4072" xr:uid="{00000000-0005-0000-0000-00003B210000}"/>
    <cellStyle name="Note 2 5 4 2 2" xfId="8296" xr:uid="{00000000-0005-0000-0000-00003C210000}"/>
    <cellStyle name="Note 2 5 4 2 2 2" xfId="16725" xr:uid="{8990C1D4-4C25-4464-9383-63B9FEAA6656}"/>
    <cellStyle name="Note 2 5 4 2 3" xfId="12507" xr:uid="{FA6D7AAC-2EEF-4338-9B99-FD0B4F858C86}"/>
    <cellStyle name="Note 2 5 4 3" xfId="6151" xr:uid="{00000000-0005-0000-0000-00003D210000}"/>
    <cellStyle name="Note 2 5 4 3 2" xfId="14580" xr:uid="{33E6ACCD-911E-4882-9C29-D3E52664C279}"/>
    <cellStyle name="Note 2 5 4 4" xfId="10362" xr:uid="{F44F84A4-35A2-4FC3-82D7-E3A6BD51CEB9}"/>
    <cellStyle name="Note 2 5 5" xfId="2256" xr:uid="{00000000-0005-0000-0000-00003E210000}"/>
    <cellStyle name="Note 2 5 5 2" xfId="4485" xr:uid="{00000000-0005-0000-0000-00003F210000}"/>
    <cellStyle name="Note 2 5 5 2 2" xfId="8709" xr:uid="{00000000-0005-0000-0000-000040210000}"/>
    <cellStyle name="Note 2 5 5 2 2 2" xfId="17138" xr:uid="{7AE6BB6D-867E-4084-9AEB-BFBF44D46B5B}"/>
    <cellStyle name="Note 2 5 5 2 3" xfId="12920" xr:uid="{52D6EC3E-4F17-4ACE-A862-B31CE5B92246}"/>
    <cellStyle name="Note 2 5 5 3" xfId="6564" xr:uid="{00000000-0005-0000-0000-000041210000}"/>
    <cellStyle name="Note 2 5 5 3 2" xfId="14993" xr:uid="{7CC64871-BB27-4CB2-910E-7D4E2A39EF61}"/>
    <cellStyle name="Note 2 5 5 4" xfId="10775" xr:uid="{D551F2B5-E9D1-457E-AAE9-AC6766879459}"/>
    <cellStyle name="Note 2 5 6" xfId="2692" xr:uid="{00000000-0005-0000-0000-000042210000}"/>
    <cellStyle name="Note 2 5 6 2" xfId="6977" xr:uid="{00000000-0005-0000-0000-000043210000}"/>
    <cellStyle name="Note 2 5 6 2 2" xfId="15406" xr:uid="{BB0560F0-230E-4BAC-B866-1CB71AC59E55}"/>
    <cellStyle name="Note 2 5 6 3" xfId="11188" xr:uid="{EC7BECD2-93FE-4C29-B5E0-8D1FECCDBE39}"/>
    <cellStyle name="Note 2 5 7" xfId="2751" xr:uid="{00000000-0005-0000-0000-000044210000}"/>
    <cellStyle name="Note 2 5 8" xfId="2832" xr:uid="{00000000-0005-0000-0000-000045210000}"/>
    <cellStyle name="Note 2 5 8 2" xfId="7057" xr:uid="{00000000-0005-0000-0000-000046210000}"/>
    <cellStyle name="Note 2 5 8 2 2" xfId="15486" xr:uid="{26300EB3-18F4-41E4-BA64-3B8D6BEBE12A}"/>
    <cellStyle name="Note 2 5 8 3" xfId="11268" xr:uid="{D3183D3B-52D8-41E9-8174-EB8B0105FEFF}"/>
    <cellStyle name="Note 2 5 9" xfId="4912" xr:uid="{00000000-0005-0000-0000-000047210000}"/>
    <cellStyle name="Note 2 5 9 2" xfId="13341" xr:uid="{DE6A036D-2200-4645-A89A-6223F75BFD06}"/>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E56AF858-D17E-4728-AFE9-AB493800640C}"/>
    <cellStyle name="Note 3 2 10 3" xfId="11269" xr:uid="{C98E7916-B703-4A62-8419-DE3A657EB232}"/>
    <cellStyle name="Note 3 2 11" xfId="4913" xr:uid="{00000000-0005-0000-0000-00004C210000}"/>
    <cellStyle name="Note 3 2 11 2" xfId="13342" xr:uid="{24CAFC7E-4811-4205-8EF5-008512061C2A}"/>
    <cellStyle name="Note 3 2 12" xfId="9124" xr:uid="{3177152C-7853-4C1A-88B4-ABD1F388EE10}"/>
    <cellStyle name="Note 3 2 2" xfId="556" xr:uid="{00000000-0005-0000-0000-00004D210000}"/>
    <cellStyle name="Note 3 2 2 10" xfId="4914" xr:uid="{00000000-0005-0000-0000-00004E210000}"/>
    <cellStyle name="Note 3 2 2 10 2" xfId="13343" xr:uid="{B1B03BFA-7077-4D33-93CE-64A7BD98F5DF}"/>
    <cellStyle name="Note 3 2 2 11" xfId="9125" xr:uid="{0CF751C4-F053-46D4-9E44-0EC678FC03EB}"/>
    <cellStyle name="Note 3 2 2 2" xfId="557" xr:uid="{00000000-0005-0000-0000-00004F210000}"/>
    <cellStyle name="Note 3 2 2 2 10" xfId="9126" xr:uid="{CD17EC01-1205-4F50-918D-83F7CFC00BA1}"/>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9A20D2E3-F3FC-4209-A514-0A8D44EC927B}"/>
    <cellStyle name="Note 3 2 2 2 2 2 3" xfId="11684" xr:uid="{9B3A2BDA-345C-4AE2-B5A0-5B0310D6F987}"/>
    <cellStyle name="Note 3 2 2 2 2 3" xfId="5328" xr:uid="{00000000-0005-0000-0000-000053210000}"/>
    <cellStyle name="Note 3 2 2 2 2 3 2" xfId="13757" xr:uid="{B2C8568A-67F4-4CEF-B325-7C5BF16ED829}"/>
    <cellStyle name="Note 3 2 2 2 2 4" xfId="9539" xr:uid="{1BEABF10-036F-4325-9505-6F6A533FD567}"/>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B67FC224-9C5B-40CE-BF49-0A95726ED8DF}"/>
    <cellStyle name="Note 3 2 2 2 3 2 3" xfId="12097" xr:uid="{54317B91-9C41-47ED-82F9-A8A417EB4A3B}"/>
    <cellStyle name="Note 3 2 2 2 3 3" xfId="5741" xr:uid="{00000000-0005-0000-0000-000057210000}"/>
    <cellStyle name="Note 3 2 2 2 3 3 2" xfId="14170" xr:uid="{E0441FDF-CA0E-47D2-8777-28E326031B87}"/>
    <cellStyle name="Note 3 2 2 2 3 4" xfId="9952" xr:uid="{C06F0A0C-9502-4FCC-B595-B0783AE07A21}"/>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7AE7925F-2528-463A-BC6E-9157E3F80CE4}"/>
    <cellStyle name="Note 3 2 2 2 4 2 3" xfId="12510" xr:uid="{1EB2E0CC-BC07-45D5-B1BE-19B7CCC0DFB8}"/>
    <cellStyle name="Note 3 2 2 2 4 3" xfId="6154" xr:uid="{00000000-0005-0000-0000-00005B210000}"/>
    <cellStyle name="Note 3 2 2 2 4 3 2" xfId="14583" xr:uid="{3F156259-BCD3-46B1-A6E2-AE7BBC27B1D3}"/>
    <cellStyle name="Note 3 2 2 2 4 4" xfId="10365" xr:uid="{779C8465-16B4-4411-8144-A22D79E1364E}"/>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FE7E2C08-2EC5-4662-BF53-F58EF5C195D5}"/>
    <cellStyle name="Note 3 2 2 2 5 2 3" xfId="12923" xr:uid="{503B84C4-A0B1-47F3-8ECC-55C5E8031872}"/>
    <cellStyle name="Note 3 2 2 2 5 3" xfId="6567" xr:uid="{00000000-0005-0000-0000-00005F210000}"/>
    <cellStyle name="Note 3 2 2 2 5 3 2" xfId="14996" xr:uid="{94CB48ED-C122-41C6-9C90-CB210E59EE5F}"/>
    <cellStyle name="Note 3 2 2 2 5 4" xfId="10778" xr:uid="{FB92D878-70B0-4676-95DD-5CA11D2800AD}"/>
    <cellStyle name="Note 3 2 2 2 6" xfId="2695" xr:uid="{00000000-0005-0000-0000-000060210000}"/>
    <cellStyle name="Note 3 2 2 2 6 2" xfId="6980" xr:uid="{00000000-0005-0000-0000-000061210000}"/>
    <cellStyle name="Note 3 2 2 2 6 2 2" xfId="15409" xr:uid="{ADDF9056-2896-40E1-9CAE-12CF30BC88BA}"/>
    <cellStyle name="Note 3 2 2 2 6 3" xfId="11191" xr:uid="{13382185-6B27-4F0A-A374-A7DC9F3D3A8B}"/>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ABADFC7-8741-498C-B798-B85EA25EE3F2}"/>
    <cellStyle name="Note 3 2 2 2 8 3" xfId="11271" xr:uid="{70A5EE8B-6A80-4D86-848B-93C04FEBD1D3}"/>
    <cellStyle name="Note 3 2 2 2 9" xfId="4915" xr:uid="{00000000-0005-0000-0000-000065210000}"/>
    <cellStyle name="Note 3 2 2 2 9 2" xfId="13344" xr:uid="{083A50EC-F600-4D2E-9896-205217BF45C6}"/>
    <cellStyle name="Note 3 2 2 3" xfId="1016" xr:uid="{00000000-0005-0000-0000-000066210000}"/>
    <cellStyle name="Note 3 2 2 3 2" xfId="3248" xr:uid="{00000000-0005-0000-0000-000067210000}"/>
    <cellStyle name="Note 3 2 2 3 2 2" xfId="7472" xr:uid="{00000000-0005-0000-0000-000068210000}"/>
    <cellStyle name="Note 3 2 2 3 2 2 2" xfId="15901" xr:uid="{BEEE760F-6898-4743-965A-D678E5E2C0B1}"/>
    <cellStyle name="Note 3 2 2 3 2 3" xfId="11683" xr:uid="{747B2EE8-07A8-4835-AFDC-22978E3F00E3}"/>
    <cellStyle name="Note 3 2 2 3 3" xfId="5327" xr:uid="{00000000-0005-0000-0000-000069210000}"/>
    <cellStyle name="Note 3 2 2 3 3 2" xfId="13756" xr:uid="{2A8C4340-993C-476F-80F5-B9BDEA63F753}"/>
    <cellStyle name="Note 3 2 2 3 4" xfId="9538" xr:uid="{1984F689-CD74-400A-AE2D-72B5520F9578}"/>
    <cellStyle name="Note 3 2 2 4" xfId="1431" xr:uid="{00000000-0005-0000-0000-00006A210000}"/>
    <cellStyle name="Note 3 2 2 4 2" xfId="3661" xr:uid="{00000000-0005-0000-0000-00006B210000}"/>
    <cellStyle name="Note 3 2 2 4 2 2" xfId="7885" xr:uid="{00000000-0005-0000-0000-00006C210000}"/>
    <cellStyle name="Note 3 2 2 4 2 2 2" xfId="16314" xr:uid="{F1E6A99E-0D00-4BCF-8307-73E586E83EDF}"/>
    <cellStyle name="Note 3 2 2 4 2 3" xfId="12096" xr:uid="{74AAD9D6-A535-4248-879E-9CDC0DCFD991}"/>
    <cellStyle name="Note 3 2 2 4 3" xfId="5740" xr:uid="{00000000-0005-0000-0000-00006D210000}"/>
    <cellStyle name="Note 3 2 2 4 3 2" xfId="14169" xr:uid="{21DC4265-AE2B-4119-A307-FE9A2E6F1252}"/>
    <cellStyle name="Note 3 2 2 4 4" xfId="9951" xr:uid="{A0FC6A69-B287-4BA0-B46B-BCA27FE7AE52}"/>
    <cellStyle name="Note 3 2 2 5" xfId="1845" xr:uid="{00000000-0005-0000-0000-00006E210000}"/>
    <cellStyle name="Note 3 2 2 5 2" xfId="4074" xr:uid="{00000000-0005-0000-0000-00006F210000}"/>
    <cellStyle name="Note 3 2 2 5 2 2" xfId="8298" xr:uid="{00000000-0005-0000-0000-000070210000}"/>
    <cellStyle name="Note 3 2 2 5 2 2 2" xfId="16727" xr:uid="{88692A60-F1E6-48FE-B013-64CC435E2DBC}"/>
    <cellStyle name="Note 3 2 2 5 2 3" xfId="12509" xr:uid="{D351646D-C7CE-45F0-B33A-7504C6DF810E}"/>
    <cellStyle name="Note 3 2 2 5 3" xfId="6153" xr:uid="{00000000-0005-0000-0000-000071210000}"/>
    <cellStyle name="Note 3 2 2 5 3 2" xfId="14582" xr:uid="{0C5B0436-478F-4AFF-8757-832A9A872193}"/>
    <cellStyle name="Note 3 2 2 5 4" xfId="10364" xr:uid="{2791D851-0D6C-4A6E-90A4-CDE5E7F3110E}"/>
    <cellStyle name="Note 3 2 2 6" xfId="2258" xr:uid="{00000000-0005-0000-0000-000072210000}"/>
    <cellStyle name="Note 3 2 2 6 2" xfId="4487" xr:uid="{00000000-0005-0000-0000-000073210000}"/>
    <cellStyle name="Note 3 2 2 6 2 2" xfId="8711" xr:uid="{00000000-0005-0000-0000-000074210000}"/>
    <cellStyle name="Note 3 2 2 6 2 2 2" xfId="17140" xr:uid="{0F838BC4-4A9A-43EF-BF22-FC3918F45CF4}"/>
    <cellStyle name="Note 3 2 2 6 2 3" xfId="12922" xr:uid="{95E7CCD0-187F-4A1F-B2F1-12848D6BC535}"/>
    <cellStyle name="Note 3 2 2 6 3" xfId="6566" xr:uid="{00000000-0005-0000-0000-000075210000}"/>
    <cellStyle name="Note 3 2 2 6 3 2" xfId="14995" xr:uid="{2A2F6C54-B21C-4909-B081-E939F14B317B}"/>
    <cellStyle name="Note 3 2 2 6 4" xfId="10777" xr:uid="{6DA1151E-8595-42A8-A4EA-FA8560CE9E60}"/>
    <cellStyle name="Note 3 2 2 7" xfId="2694" xr:uid="{00000000-0005-0000-0000-000076210000}"/>
    <cellStyle name="Note 3 2 2 7 2" xfId="6979" xr:uid="{00000000-0005-0000-0000-000077210000}"/>
    <cellStyle name="Note 3 2 2 7 2 2" xfId="15408" xr:uid="{58BFAAB3-F2BD-4B3C-B4FD-ABB307DCB45B}"/>
    <cellStyle name="Note 3 2 2 7 3" xfId="11190" xr:uid="{20545D69-28C0-4DA3-8C51-7C2CEA0ADCF9}"/>
    <cellStyle name="Note 3 2 2 8" xfId="2753" xr:uid="{00000000-0005-0000-0000-000078210000}"/>
    <cellStyle name="Note 3 2 2 9" xfId="2834" xr:uid="{00000000-0005-0000-0000-000079210000}"/>
    <cellStyle name="Note 3 2 2 9 2" xfId="7059" xr:uid="{00000000-0005-0000-0000-00007A210000}"/>
    <cellStyle name="Note 3 2 2 9 2 2" xfId="15488" xr:uid="{1ECCCEE1-FDF8-444E-A47F-1CCF0529962C}"/>
    <cellStyle name="Note 3 2 2 9 3" xfId="11270" xr:uid="{DE4B6445-D204-4D05-BB5C-C6AA11BBF112}"/>
    <cellStyle name="Note 3 2 3" xfId="558" xr:uid="{00000000-0005-0000-0000-00007B210000}"/>
    <cellStyle name="Note 3 2 3 10" xfId="9127" xr:uid="{5A29256F-B00A-455D-8A25-CA79C22FBB78}"/>
    <cellStyle name="Note 3 2 3 2" xfId="1018" xr:uid="{00000000-0005-0000-0000-00007C210000}"/>
    <cellStyle name="Note 3 2 3 2 2" xfId="3250" xr:uid="{00000000-0005-0000-0000-00007D210000}"/>
    <cellStyle name="Note 3 2 3 2 2 2" xfId="7474" xr:uid="{00000000-0005-0000-0000-00007E210000}"/>
    <cellStyle name="Note 3 2 3 2 2 2 2" xfId="15903" xr:uid="{A071E467-7C65-4B81-981B-83F17157144D}"/>
    <cellStyle name="Note 3 2 3 2 2 3" xfId="11685" xr:uid="{1983DC1E-5CD1-4945-AA29-25A433CE22E4}"/>
    <cellStyle name="Note 3 2 3 2 3" xfId="5329" xr:uid="{00000000-0005-0000-0000-00007F210000}"/>
    <cellStyle name="Note 3 2 3 2 3 2" xfId="13758" xr:uid="{BBBB872F-94E8-40A4-83D8-42EE5C5FD8FF}"/>
    <cellStyle name="Note 3 2 3 2 4" xfId="9540" xr:uid="{A470C976-041E-4D84-8CBC-DD744ECECFDC}"/>
    <cellStyle name="Note 3 2 3 3" xfId="1433" xr:uid="{00000000-0005-0000-0000-000080210000}"/>
    <cellStyle name="Note 3 2 3 3 2" xfId="3663" xr:uid="{00000000-0005-0000-0000-000081210000}"/>
    <cellStyle name="Note 3 2 3 3 2 2" xfId="7887" xr:uid="{00000000-0005-0000-0000-000082210000}"/>
    <cellStyle name="Note 3 2 3 3 2 2 2" xfId="16316" xr:uid="{0B148D22-8517-4502-8DDB-DB8052E25CEC}"/>
    <cellStyle name="Note 3 2 3 3 2 3" xfId="12098" xr:uid="{F9314C62-D45A-49C2-9A48-0C03533D25D1}"/>
    <cellStyle name="Note 3 2 3 3 3" xfId="5742" xr:uid="{00000000-0005-0000-0000-000083210000}"/>
    <cellStyle name="Note 3 2 3 3 3 2" xfId="14171" xr:uid="{705599E1-E43C-493A-8634-3324E33C6A0B}"/>
    <cellStyle name="Note 3 2 3 3 4" xfId="9953" xr:uid="{4966377F-4142-44DA-A473-5DA4D96CFAE3}"/>
    <cellStyle name="Note 3 2 3 4" xfId="1847" xr:uid="{00000000-0005-0000-0000-000084210000}"/>
    <cellStyle name="Note 3 2 3 4 2" xfId="4076" xr:uid="{00000000-0005-0000-0000-000085210000}"/>
    <cellStyle name="Note 3 2 3 4 2 2" xfId="8300" xr:uid="{00000000-0005-0000-0000-000086210000}"/>
    <cellStyle name="Note 3 2 3 4 2 2 2" xfId="16729" xr:uid="{C4A72ED7-F63A-401F-9E4B-3F76756ED0A0}"/>
    <cellStyle name="Note 3 2 3 4 2 3" xfId="12511" xr:uid="{806E9FF7-0ED8-4236-9119-618B8F2DFEBA}"/>
    <cellStyle name="Note 3 2 3 4 3" xfId="6155" xr:uid="{00000000-0005-0000-0000-000087210000}"/>
    <cellStyle name="Note 3 2 3 4 3 2" xfId="14584" xr:uid="{1DF8FDDC-98A2-45F9-AD59-B631DC2E0F20}"/>
    <cellStyle name="Note 3 2 3 4 4" xfId="10366" xr:uid="{E247B39A-0B14-41A9-B2BA-2D423211136C}"/>
    <cellStyle name="Note 3 2 3 5" xfId="2260" xr:uid="{00000000-0005-0000-0000-000088210000}"/>
    <cellStyle name="Note 3 2 3 5 2" xfId="4489" xr:uid="{00000000-0005-0000-0000-000089210000}"/>
    <cellStyle name="Note 3 2 3 5 2 2" xfId="8713" xr:uid="{00000000-0005-0000-0000-00008A210000}"/>
    <cellStyle name="Note 3 2 3 5 2 2 2" xfId="17142" xr:uid="{3F92B648-C1F0-40EF-B14B-8F126C7F48AE}"/>
    <cellStyle name="Note 3 2 3 5 2 3" xfId="12924" xr:uid="{524800F9-6BA7-4EAC-8A66-1FB8ADEE2FA1}"/>
    <cellStyle name="Note 3 2 3 5 3" xfId="6568" xr:uid="{00000000-0005-0000-0000-00008B210000}"/>
    <cellStyle name="Note 3 2 3 5 3 2" xfId="14997" xr:uid="{391EF03A-7A03-4EDC-B84A-A1877DA33056}"/>
    <cellStyle name="Note 3 2 3 5 4" xfId="10779" xr:uid="{0F8FF337-F19F-4384-82CE-2BF0B64BCC87}"/>
    <cellStyle name="Note 3 2 3 6" xfId="2696" xr:uid="{00000000-0005-0000-0000-00008C210000}"/>
    <cellStyle name="Note 3 2 3 6 2" xfId="6981" xr:uid="{00000000-0005-0000-0000-00008D210000}"/>
    <cellStyle name="Note 3 2 3 6 2 2" xfId="15410" xr:uid="{9F02989F-B0FA-44E1-8D33-EC9E2D914666}"/>
    <cellStyle name="Note 3 2 3 6 3" xfId="11192" xr:uid="{137DB2FE-E063-4C92-B1F1-19DEEEACE6B1}"/>
    <cellStyle name="Note 3 2 3 7" xfId="2755" xr:uid="{00000000-0005-0000-0000-00008E210000}"/>
    <cellStyle name="Note 3 2 3 8" xfId="2836" xr:uid="{00000000-0005-0000-0000-00008F210000}"/>
    <cellStyle name="Note 3 2 3 8 2" xfId="7061" xr:uid="{00000000-0005-0000-0000-000090210000}"/>
    <cellStyle name="Note 3 2 3 8 2 2" xfId="15490" xr:uid="{DB9CBF7D-B7DE-4C69-B3F2-576A5405DD95}"/>
    <cellStyle name="Note 3 2 3 8 3" xfId="11272" xr:uid="{DE0598CA-7FC1-471C-969D-273C2332337B}"/>
    <cellStyle name="Note 3 2 3 9" xfId="4916" xr:uid="{00000000-0005-0000-0000-000091210000}"/>
    <cellStyle name="Note 3 2 3 9 2" xfId="13345" xr:uid="{84381EAB-E785-497B-80AD-73BF7F36822E}"/>
    <cellStyle name="Note 3 2 4" xfId="1015" xr:uid="{00000000-0005-0000-0000-000092210000}"/>
    <cellStyle name="Note 3 2 4 2" xfId="3247" xr:uid="{00000000-0005-0000-0000-000093210000}"/>
    <cellStyle name="Note 3 2 4 2 2" xfId="7471" xr:uid="{00000000-0005-0000-0000-000094210000}"/>
    <cellStyle name="Note 3 2 4 2 2 2" xfId="15900" xr:uid="{8CF2741B-8293-42AA-BFD9-74535244625F}"/>
    <cellStyle name="Note 3 2 4 2 3" xfId="11682" xr:uid="{BD30A758-E7E6-4EDE-AF38-DF1D2DFE62C4}"/>
    <cellStyle name="Note 3 2 4 3" xfId="5326" xr:uid="{00000000-0005-0000-0000-000095210000}"/>
    <cellStyle name="Note 3 2 4 3 2" xfId="13755" xr:uid="{4122434A-C7A1-43EE-94DD-B5E75FFBA13E}"/>
    <cellStyle name="Note 3 2 4 4" xfId="9537" xr:uid="{F806678B-4B82-4564-BF65-0E7120F30A0B}"/>
    <cellStyle name="Note 3 2 5" xfId="1430" xr:uid="{00000000-0005-0000-0000-000096210000}"/>
    <cellStyle name="Note 3 2 5 2" xfId="3660" xr:uid="{00000000-0005-0000-0000-000097210000}"/>
    <cellStyle name="Note 3 2 5 2 2" xfId="7884" xr:uid="{00000000-0005-0000-0000-000098210000}"/>
    <cellStyle name="Note 3 2 5 2 2 2" xfId="16313" xr:uid="{F1619173-42DC-4E13-B97A-2EC5AA2DC553}"/>
    <cellStyle name="Note 3 2 5 2 3" xfId="12095" xr:uid="{99FD1981-BC5F-4277-B831-893BD06D0CFC}"/>
    <cellStyle name="Note 3 2 5 3" xfId="5739" xr:uid="{00000000-0005-0000-0000-000099210000}"/>
    <cellStyle name="Note 3 2 5 3 2" xfId="14168" xr:uid="{4BE71DF4-8E24-48D8-A314-F725A816B60D}"/>
    <cellStyle name="Note 3 2 5 4" xfId="9950" xr:uid="{34E6CC8F-243A-42A8-9959-4D0859291727}"/>
    <cellStyle name="Note 3 2 6" xfId="1844" xr:uid="{00000000-0005-0000-0000-00009A210000}"/>
    <cellStyle name="Note 3 2 6 2" xfId="4073" xr:uid="{00000000-0005-0000-0000-00009B210000}"/>
    <cellStyle name="Note 3 2 6 2 2" xfId="8297" xr:uid="{00000000-0005-0000-0000-00009C210000}"/>
    <cellStyle name="Note 3 2 6 2 2 2" xfId="16726" xr:uid="{D7DD491A-2331-473E-8825-41D543DE4526}"/>
    <cellStyle name="Note 3 2 6 2 3" xfId="12508" xr:uid="{21187203-B948-4042-B361-4DE706322202}"/>
    <cellStyle name="Note 3 2 6 3" xfId="6152" xr:uid="{00000000-0005-0000-0000-00009D210000}"/>
    <cellStyle name="Note 3 2 6 3 2" xfId="14581" xr:uid="{855614A5-FEDD-4961-80C7-0A45E381E9F4}"/>
    <cellStyle name="Note 3 2 6 4" xfId="10363" xr:uid="{02C3C72B-CB7C-4CAD-A252-03AF98AC1C46}"/>
    <cellStyle name="Note 3 2 7" xfId="2257" xr:uid="{00000000-0005-0000-0000-00009E210000}"/>
    <cellStyle name="Note 3 2 7 2" xfId="4486" xr:uid="{00000000-0005-0000-0000-00009F210000}"/>
    <cellStyle name="Note 3 2 7 2 2" xfId="8710" xr:uid="{00000000-0005-0000-0000-0000A0210000}"/>
    <cellStyle name="Note 3 2 7 2 2 2" xfId="17139" xr:uid="{E16CEF3D-ED80-4786-B9CC-4273609EE4C6}"/>
    <cellStyle name="Note 3 2 7 2 3" xfId="12921" xr:uid="{35E5D6BD-182A-4390-8791-445B1B04CD4B}"/>
    <cellStyle name="Note 3 2 7 3" xfId="6565" xr:uid="{00000000-0005-0000-0000-0000A1210000}"/>
    <cellStyle name="Note 3 2 7 3 2" xfId="14994" xr:uid="{EB06EDD0-19AB-4AD8-A9BD-F56D128EEA59}"/>
    <cellStyle name="Note 3 2 7 4" xfId="10776" xr:uid="{9A99FDBA-1EA6-4D68-AF93-7759C66525A5}"/>
    <cellStyle name="Note 3 2 8" xfId="2693" xr:uid="{00000000-0005-0000-0000-0000A2210000}"/>
    <cellStyle name="Note 3 2 8 2" xfId="6978" xr:uid="{00000000-0005-0000-0000-0000A3210000}"/>
    <cellStyle name="Note 3 2 8 2 2" xfId="15407" xr:uid="{B8AFE3ED-FF18-408D-8AFC-BA3E164F76AD}"/>
    <cellStyle name="Note 3 2 8 3" xfId="11189" xr:uid="{311DB26F-900D-4716-8747-1447D1B3B704}"/>
    <cellStyle name="Note 3 2 9" xfId="2752" xr:uid="{00000000-0005-0000-0000-0000A4210000}"/>
    <cellStyle name="Note 3 3" xfId="559" xr:uid="{00000000-0005-0000-0000-0000A5210000}"/>
    <cellStyle name="Note 3 3 10" xfId="4917" xr:uid="{00000000-0005-0000-0000-0000A6210000}"/>
    <cellStyle name="Note 3 3 10 2" xfId="13346" xr:uid="{8A9812DA-865E-462F-BE48-6D56CCE34839}"/>
    <cellStyle name="Note 3 3 11" xfId="9128" xr:uid="{3BAF1110-BC18-4241-B4C8-E172FDF1EC5B}"/>
    <cellStyle name="Note 3 3 2" xfId="560" xr:uid="{00000000-0005-0000-0000-0000A7210000}"/>
    <cellStyle name="Note 3 3 2 10" xfId="9129" xr:uid="{4C8BFA23-4ACE-4259-BF0B-4380AC2FA55D}"/>
    <cellStyle name="Note 3 3 2 2" xfId="1020" xr:uid="{00000000-0005-0000-0000-0000A8210000}"/>
    <cellStyle name="Note 3 3 2 2 2" xfId="3252" xr:uid="{00000000-0005-0000-0000-0000A9210000}"/>
    <cellStyle name="Note 3 3 2 2 2 2" xfId="7476" xr:uid="{00000000-0005-0000-0000-0000AA210000}"/>
    <cellStyle name="Note 3 3 2 2 2 2 2" xfId="15905" xr:uid="{55E68684-20F1-40B7-8C76-0A392D93D790}"/>
    <cellStyle name="Note 3 3 2 2 2 3" xfId="11687" xr:uid="{51DC94C7-1BE9-4ABB-9934-FFA0B0F2B399}"/>
    <cellStyle name="Note 3 3 2 2 3" xfId="5331" xr:uid="{00000000-0005-0000-0000-0000AB210000}"/>
    <cellStyle name="Note 3 3 2 2 3 2" xfId="13760" xr:uid="{6A42EAEA-7263-4CC5-8600-73EFE776A696}"/>
    <cellStyle name="Note 3 3 2 2 4" xfId="9542" xr:uid="{AF355F4E-1872-4F81-A8E7-050AB8DD0C8E}"/>
    <cellStyle name="Note 3 3 2 3" xfId="1435" xr:uid="{00000000-0005-0000-0000-0000AC210000}"/>
    <cellStyle name="Note 3 3 2 3 2" xfId="3665" xr:uid="{00000000-0005-0000-0000-0000AD210000}"/>
    <cellStyle name="Note 3 3 2 3 2 2" xfId="7889" xr:uid="{00000000-0005-0000-0000-0000AE210000}"/>
    <cellStyle name="Note 3 3 2 3 2 2 2" xfId="16318" xr:uid="{9D64E3F7-2934-49BE-A2B2-5AFFD9F577CF}"/>
    <cellStyle name="Note 3 3 2 3 2 3" xfId="12100" xr:uid="{470D2CC3-378C-4D3C-988B-7E178C99320C}"/>
    <cellStyle name="Note 3 3 2 3 3" xfId="5744" xr:uid="{00000000-0005-0000-0000-0000AF210000}"/>
    <cellStyle name="Note 3 3 2 3 3 2" xfId="14173" xr:uid="{104F392D-6FB4-401F-9A28-9F856580F378}"/>
    <cellStyle name="Note 3 3 2 3 4" xfId="9955" xr:uid="{68C69DF4-E17A-489A-844A-0794E6110904}"/>
    <cellStyle name="Note 3 3 2 4" xfId="1849" xr:uid="{00000000-0005-0000-0000-0000B0210000}"/>
    <cellStyle name="Note 3 3 2 4 2" xfId="4078" xr:uid="{00000000-0005-0000-0000-0000B1210000}"/>
    <cellStyle name="Note 3 3 2 4 2 2" xfId="8302" xr:uid="{00000000-0005-0000-0000-0000B2210000}"/>
    <cellStyle name="Note 3 3 2 4 2 2 2" xfId="16731" xr:uid="{438501A7-182D-44A6-AE7D-4F7F2FC9F0FF}"/>
    <cellStyle name="Note 3 3 2 4 2 3" xfId="12513" xr:uid="{E81F7FD4-7D97-4139-82FD-107923EE836B}"/>
    <cellStyle name="Note 3 3 2 4 3" xfId="6157" xr:uid="{00000000-0005-0000-0000-0000B3210000}"/>
    <cellStyle name="Note 3 3 2 4 3 2" xfId="14586" xr:uid="{D85A5EE8-D48A-4640-B0AD-2423C9626E00}"/>
    <cellStyle name="Note 3 3 2 4 4" xfId="10368" xr:uid="{0E5DA68A-D8BD-4FA4-8683-082E3711BF15}"/>
    <cellStyle name="Note 3 3 2 5" xfId="2262" xr:uid="{00000000-0005-0000-0000-0000B4210000}"/>
    <cellStyle name="Note 3 3 2 5 2" xfId="4491" xr:uid="{00000000-0005-0000-0000-0000B5210000}"/>
    <cellStyle name="Note 3 3 2 5 2 2" xfId="8715" xr:uid="{00000000-0005-0000-0000-0000B6210000}"/>
    <cellStyle name="Note 3 3 2 5 2 2 2" xfId="17144" xr:uid="{ADFFB79A-347B-4DAA-AAFD-4ACA5496F63C}"/>
    <cellStyle name="Note 3 3 2 5 2 3" xfId="12926" xr:uid="{3154C110-3993-4814-BC83-F6D659D4C552}"/>
    <cellStyle name="Note 3 3 2 5 3" xfId="6570" xr:uid="{00000000-0005-0000-0000-0000B7210000}"/>
    <cellStyle name="Note 3 3 2 5 3 2" xfId="14999" xr:uid="{721EF78F-984C-4078-BD84-B0226E363BDC}"/>
    <cellStyle name="Note 3 3 2 5 4" xfId="10781" xr:uid="{C1338D18-7A90-48A9-85AD-8D730BF11A61}"/>
    <cellStyle name="Note 3 3 2 6" xfId="2698" xr:uid="{00000000-0005-0000-0000-0000B8210000}"/>
    <cellStyle name="Note 3 3 2 6 2" xfId="6983" xr:uid="{00000000-0005-0000-0000-0000B9210000}"/>
    <cellStyle name="Note 3 3 2 6 2 2" xfId="15412" xr:uid="{064A80F8-1F4B-4A03-A9E3-E5EAA3EC2648}"/>
    <cellStyle name="Note 3 3 2 6 3" xfId="11194" xr:uid="{13D3ABE7-1898-456C-9A9B-7BA7E774BC4E}"/>
    <cellStyle name="Note 3 3 2 7" xfId="2757" xr:uid="{00000000-0005-0000-0000-0000BA210000}"/>
    <cellStyle name="Note 3 3 2 8" xfId="2838" xr:uid="{00000000-0005-0000-0000-0000BB210000}"/>
    <cellStyle name="Note 3 3 2 8 2" xfId="7063" xr:uid="{00000000-0005-0000-0000-0000BC210000}"/>
    <cellStyle name="Note 3 3 2 8 2 2" xfId="15492" xr:uid="{E2166BD0-76CC-4425-86E7-BF3F1AAB625B}"/>
    <cellStyle name="Note 3 3 2 8 3" xfId="11274" xr:uid="{CA39AEA4-5D5D-4B19-BF06-A299832D17D9}"/>
    <cellStyle name="Note 3 3 2 9" xfId="4918" xr:uid="{00000000-0005-0000-0000-0000BD210000}"/>
    <cellStyle name="Note 3 3 2 9 2" xfId="13347" xr:uid="{12ED72C0-CEA3-42D7-B6F0-081E46532A80}"/>
    <cellStyle name="Note 3 3 3" xfId="1019" xr:uid="{00000000-0005-0000-0000-0000BE210000}"/>
    <cellStyle name="Note 3 3 3 2" xfId="3251" xr:uid="{00000000-0005-0000-0000-0000BF210000}"/>
    <cellStyle name="Note 3 3 3 2 2" xfId="7475" xr:uid="{00000000-0005-0000-0000-0000C0210000}"/>
    <cellStyle name="Note 3 3 3 2 2 2" xfId="15904" xr:uid="{C2B8BBE8-A2AC-4CE3-B828-DA63139AA97A}"/>
    <cellStyle name="Note 3 3 3 2 3" xfId="11686" xr:uid="{6066D90B-1962-4972-B383-64314CBC5050}"/>
    <cellStyle name="Note 3 3 3 3" xfId="5330" xr:uid="{00000000-0005-0000-0000-0000C1210000}"/>
    <cellStyle name="Note 3 3 3 3 2" xfId="13759" xr:uid="{8B1E3A73-A49F-4A47-9E53-C7FAA0E7CC46}"/>
    <cellStyle name="Note 3 3 3 4" xfId="9541" xr:uid="{4CC35710-5548-491D-B1B8-EC3B2BDCADBF}"/>
    <cellStyle name="Note 3 3 4" xfId="1434" xr:uid="{00000000-0005-0000-0000-0000C2210000}"/>
    <cellStyle name="Note 3 3 4 2" xfId="3664" xr:uid="{00000000-0005-0000-0000-0000C3210000}"/>
    <cellStyle name="Note 3 3 4 2 2" xfId="7888" xr:uid="{00000000-0005-0000-0000-0000C4210000}"/>
    <cellStyle name="Note 3 3 4 2 2 2" xfId="16317" xr:uid="{3BDD4C12-3D43-40C3-B8DB-2A29BE765A41}"/>
    <cellStyle name="Note 3 3 4 2 3" xfId="12099" xr:uid="{0E832222-C168-4A08-9802-C86F613E4B32}"/>
    <cellStyle name="Note 3 3 4 3" xfId="5743" xr:uid="{00000000-0005-0000-0000-0000C5210000}"/>
    <cellStyle name="Note 3 3 4 3 2" xfId="14172" xr:uid="{0A72F5EC-5365-425F-84A2-515E6DAC70F6}"/>
    <cellStyle name="Note 3 3 4 4" xfId="9954" xr:uid="{3743EBC7-CF1D-41A2-98C7-3BAE944FC70D}"/>
    <cellStyle name="Note 3 3 5" xfId="1848" xr:uid="{00000000-0005-0000-0000-0000C6210000}"/>
    <cellStyle name="Note 3 3 5 2" xfId="4077" xr:uid="{00000000-0005-0000-0000-0000C7210000}"/>
    <cellStyle name="Note 3 3 5 2 2" xfId="8301" xr:uid="{00000000-0005-0000-0000-0000C8210000}"/>
    <cellStyle name="Note 3 3 5 2 2 2" xfId="16730" xr:uid="{93405519-72E1-4DF8-9646-9D9C198B3F3F}"/>
    <cellStyle name="Note 3 3 5 2 3" xfId="12512" xr:uid="{63131FDD-C274-4E55-9BDE-9D3ECC23C2E4}"/>
    <cellStyle name="Note 3 3 5 3" xfId="6156" xr:uid="{00000000-0005-0000-0000-0000C9210000}"/>
    <cellStyle name="Note 3 3 5 3 2" xfId="14585" xr:uid="{FCD22375-DC80-4DE0-B307-4593304F2E35}"/>
    <cellStyle name="Note 3 3 5 4" xfId="10367" xr:uid="{3D0AACE6-4476-4E8F-8560-9EEED9606971}"/>
    <cellStyle name="Note 3 3 6" xfId="2261" xr:uid="{00000000-0005-0000-0000-0000CA210000}"/>
    <cellStyle name="Note 3 3 6 2" xfId="4490" xr:uid="{00000000-0005-0000-0000-0000CB210000}"/>
    <cellStyle name="Note 3 3 6 2 2" xfId="8714" xr:uid="{00000000-0005-0000-0000-0000CC210000}"/>
    <cellStyle name="Note 3 3 6 2 2 2" xfId="17143" xr:uid="{D5BE7231-8D5C-4D52-B85F-C6AAEDB61DAE}"/>
    <cellStyle name="Note 3 3 6 2 3" xfId="12925" xr:uid="{0C946977-4AB4-41C0-8170-F2A00A3B5D7B}"/>
    <cellStyle name="Note 3 3 6 3" xfId="6569" xr:uid="{00000000-0005-0000-0000-0000CD210000}"/>
    <cellStyle name="Note 3 3 6 3 2" xfId="14998" xr:uid="{2CC00C03-F612-4A4F-BACF-C7522E5E169F}"/>
    <cellStyle name="Note 3 3 6 4" xfId="10780" xr:uid="{662D994F-796E-4A26-BA41-9BCD58EE6CAA}"/>
    <cellStyle name="Note 3 3 7" xfId="2697" xr:uid="{00000000-0005-0000-0000-0000CE210000}"/>
    <cellStyle name="Note 3 3 7 2" xfId="6982" xr:uid="{00000000-0005-0000-0000-0000CF210000}"/>
    <cellStyle name="Note 3 3 7 2 2" xfId="15411" xr:uid="{F02BFEDF-FE69-4281-810F-F1DA15C5310B}"/>
    <cellStyle name="Note 3 3 7 3" xfId="11193" xr:uid="{A9479801-1DAF-4F3A-86D7-8143E74BD4F1}"/>
    <cellStyle name="Note 3 3 8" xfId="2756" xr:uid="{00000000-0005-0000-0000-0000D0210000}"/>
    <cellStyle name="Note 3 3 9" xfId="2837" xr:uid="{00000000-0005-0000-0000-0000D1210000}"/>
    <cellStyle name="Note 3 3 9 2" xfId="7062" xr:uid="{00000000-0005-0000-0000-0000D2210000}"/>
    <cellStyle name="Note 3 3 9 2 2" xfId="15491" xr:uid="{12EB394E-ADD4-48B1-A765-E9E13ED5990B}"/>
    <cellStyle name="Note 3 3 9 3" xfId="11273" xr:uid="{B8068815-4116-4D6F-AA68-DA445611FCE0}"/>
    <cellStyle name="Note 3 4" xfId="561" xr:uid="{00000000-0005-0000-0000-0000D3210000}"/>
    <cellStyle name="Note 3 4 10" xfId="9130" xr:uid="{D6C5DBE7-A0A5-411E-BE06-83A0BF5E6B08}"/>
    <cellStyle name="Note 3 4 2" xfId="1021" xr:uid="{00000000-0005-0000-0000-0000D4210000}"/>
    <cellStyle name="Note 3 4 2 2" xfId="3253" xr:uid="{00000000-0005-0000-0000-0000D5210000}"/>
    <cellStyle name="Note 3 4 2 2 2" xfId="7477" xr:uid="{00000000-0005-0000-0000-0000D6210000}"/>
    <cellStyle name="Note 3 4 2 2 2 2" xfId="15906" xr:uid="{65C34E69-5E54-4CE0-95BA-A2FDDDA81120}"/>
    <cellStyle name="Note 3 4 2 2 3" xfId="11688" xr:uid="{FB096971-BCAC-417C-A98E-49B937D3BBDA}"/>
    <cellStyle name="Note 3 4 2 3" xfId="5332" xr:uid="{00000000-0005-0000-0000-0000D7210000}"/>
    <cellStyle name="Note 3 4 2 3 2" xfId="13761" xr:uid="{60A9DBD2-8B39-4EBF-9CC8-FEC5721F45D9}"/>
    <cellStyle name="Note 3 4 2 4" xfId="9543" xr:uid="{F2B34F03-0CC2-4425-9D12-99198A76D5FA}"/>
    <cellStyle name="Note 3 4 3" xfId="1436" xr:uid="{00000000-0005-0000-0000-0000D8210000}"/>
    <cellStyle name="Note 3 4 3 2" xfId="3666" xr:uid="{00000000-0005-0000-0000-0000D9210000}"/>
    <cellStyle name="Note 3 4 3 2 2" xfId="7890" xr:uid="{00000000-0005-0000-0000-0000DA210000}"/>
    <cellStyle name="Note 3 4 3 2 2 2" xfId="16319" xr:uid="{643EF5A5-12BD-4629-802A-A4AD03B11281}"/>
    <cellStyle name="Note 3 4 3 2 3" xfId="12101" xr:uid="{EB4748FE-C379-4518-9951-2365324DFF5D}"/>
    <cellStyle name="Note 3 4 3 3" xfId="5745" xr:uid="{00000000-0005-0000-0000-0000DB210000}"/>
    <cellStyle name="Note 3 4 3 3 2" xfId="14174" xr:uid="{CA022607-3BC3-4E8C-9479-8127C4901401}"/>
    <cellStyle name="Note 3 4 3 4" xfId="9956" xr:uid="{A166220F-ACC4-4586-B330-CAB810586B5C}"/>
    <cellStyle name="Note 3 4 4" xfId="1850" xr:uid="{00000000-0005-0000-0000-0000DC210000}"/>
    <cellStyle name="Note 3 4 4 2" xfId="4079" xr:uid="{00000000-0005-0000-0000-0000DD210000}"/>
    <cellStyle name="Note 3 4 4 2 2" xfId="8303" xr:uid="{00000000-0005-0000-0000-0000DE210000}"/>
    <cellStyle name="Note 3 4 4 2 2 2" xfId="16732" xr:uid="{5D3983EC-7115-4ABA-9C42-D59E986B2913}"/>
    <cellStyle name="Note 3 4 4 2 3" xfId="12514" xr:uid="{C59E60F1-E640-4F03-9815-B4AE39F83228}"/>
    <cellStyle name="Note 3 4 4 3" xfId="6158" xr:uid="{00000000-0005-0000-0000-0000DF210000}"/>
    <cellStyle name="Note 3 4 4 3 2" xfId="14587" xr:uid="{7AB2B2A3-7A2F-4670-9B0D-A29340772C50}"/>
    <cellStyle name="Note 3 4 4 4" xfId="10369" xr:uid="{C7972166-4082-4491-A987-762B9F4403B2}"/>
    <cellStyle name="Note 3 4 5" xfId="2263" xr:uid="{00000000-0005-0000-0000-0000E0210000}"/>
    <cellStyle name="Note 3 4 5 2" xfId="4492" xr:uid="{00000000-0005-0000-0000-0000E1210000}"/>
    <cellStyle name="Note 3 4 5 2 2" xfId="8716" xr:uid="{00000000-0005-0000-0000-0000E2210000}"/>
    <cellStyle name="Note 3 4 5 2 2 2" xfId="17145" xr:uid="{CFC223D8-7933-4F14-9403-6F2A3CB35FE6}"/>
    <cellStyle name="Note 3 4 5 2 3" xfId="12927" xr:uid="{2C3B6AE6-7508-4DA7-93C1-520F7E33A228}"/>
    <cellStyle name="Note 3 4 5 3" xfId="6571" xr:uid="{00000000-0005-0000-0000-0000E3210000}"/>
    <cellStyle name="Note 3 4 5 3 2" xfId="15000" xr:uid="{B47BDCE8-D335-4619-8444-6300C4D8F6EC}"/>
    <cellStyle name="Note 3 4 5 4" xfId="10782" xr:uid="{E77CC99B-3FB4-4FCA-9B70-911FBF749F84}"/>
    <cellStyle name="Note 3 4 6" xfId="2699" xr:uid="{00000000-0005-0000-0000-0000E4210000}"/>
    <cellStyle name="Note 3 4 6 2" xfId="6984" xr:uid="{00000000-0005-0000-0000-0000E5210000}"/>
    <cellStyle name="Note 3 4 6 2 2" xfId="15413" xr:uid="{63FB6017-D1FD-4D9B-B7DA-FA70C0183A6A}"/>
    <cellStyle name="Note 3 4 6 3" xfId="11195" xr:uid="{567718D0-CDBC-42AA-AC30-21D8691CDBF6}"/>
    <cellStyle name="Note 3 4 7" xfId="2758" xr:uid="{00000000-0005-0000-0000-0000E6210000}"/>
    <cellStyle name="Note 3 4 8" xfId="2839" xr:uid="{00000000-0005-0000-0000-0000E7210000}"/>
    <cellStyle name="Note 3 4 8 2" xfId="7064" xr:uid="{00000000-0005-0000-0000-0000E8210000}"/>
    <cellStyle name="Note 3 4 8 2 2" xfId="15493" xr:uid="{9A188A09-4917-4B67-9BEA-494FC64FC6CE}"/>
    <cellStyle name="Note 3 4 8 3" xfId="11275" xr:uid="{A1B3C5B4-D53B-4DE8-B221-FAEF4E627903}"/>
    <cellStyle name="Note 3 4 9" xfId="4919" xr:uid="{00000000-0005-0000-0000-0000E9210000}"/>
    <cellStyle name="Note 3 4 9 2" xfId="13348" xr:uid="{23340019-3752-461B-A78C-0D53A0046937}"/>
    <cellStyle name="Note 3 5" xfId="562" xr:uid="{00000000-0005-0000-0000-0000EA210000}"/>
    <cellStyle name="Note 3 5 10" xfId="9131" xr:uid="{B6DCA05C-0A40-4AA7-91EC-53E17D691376}"/>
    <cellStyle name="Note 3 5 2" xfId="1022" xr:uid="{00000000-0005-0000-0000-0000EB210000}"/>
    <cellStyle name="Note 3 5 2 2" xfId="3254" xr:uid="{00000000-0005-0000-0000-0000EC210000}"/>
    <cellStyle name="Note 3 5 2 2 2" xfId="7478" xr:uid="{00000000-0005-0000-0000-0000ED210000}"/>
    <cellStyle name="Note 3 5 2 2 2 2" xfId="15907" xr:uid="{FB488620-362A-4789-9382-2B798DB96377}"/>
    <cellStyle name="Note 3 5 2 2 3" xfId="11689" xr:uid="{8914E9F5-A0DA-4107-BCB5-DA8F854FA841}"/>
    <cellStyle name="Note 3 5 2 3" xfId="5333" xr:uid="{00000000-0005-0000-0000-0000EE210000}"/>
    <cellStyle name="Note 3 5 2 3 2" xfId="13762" xr:uid="{807C3FC9-225A-4211-8BE4-E60E28855352}"/>
    <cellStyle name="Note 3 5 2 4" xfId="9544" xr:uid="{14701B09-9D31-4D42-8712-3682FA370BFA}"/>
    <cellStyle name="Note 3 5 3" xfId="1437" xr:uid="{00000000-0005-0000-0000-0000EF210000}"/>
    <cellStyle name="Note 3 5 3 2" xfId="3667" xr:uid="{00000000-0005-0000-0000-0000F0210000}"/>
    <cellStyle name="Note 3 5 3 2 2" xfId="7891" xr:uid="{00000000-0005-0000-0000-0000F1210000}"/>
    <cellStyle name="Note 3 5 3 2 2 2" xfId="16320" xr:uid="{32A2C972-B8E4-4460-A84D-4582F4A0E6F1}"/>
    <cellStyle name="Note 3 5 3 2 3" xfId="12102" xr:uid="{D04A6ABD-1946-4F21-B673-CC74E0C68D2E}"/>
    <cellStyle name="Note 3 5 3 3" xfId="5746" xr:uid="{00000000-0005-0000-0000-0000F2210000}"/>
    <cellStyle name="Note 3 5 3 3 2" xfId="14175" xr:uid="{81C2658D-7F7C-4626-9737-9EDD4CC6FF52}"/>
    <cellStyle name="Note 3 5 3 4" xfId="9957" xr:uid="{90519DBD-4321-414F-8761-324F0DBCB6FD}"/>
    <cellStyle name="Note 3 5 4" xfId="1851" xr:uid="{00000000-0005-0000-0000-0000F3210000}"/>
    <cellStyle name="Note 3 5 4 2" xfId="4080" xr:uid="{00000000-0005-0000-0000-0000F4210000}"/>
    <cellStyle name="Note 3 5 4 2 2" xfId="8304" xr:uid="{00000000-0005-0000-0000-0000F5210000}"/>
    <cellStyle name="Note 3 5 4 2 2 2" xfId="16733" xr:uid="{4E897D0E-257F-44A1-96A9-6D5C9DF708FA}"/>
    <cellStyle name="Note 3 5 4 2 3" xfId="12515" xr:uid="{2DCE0B18-E6C2-4CA7-9A9D-2F3BB4891CD5}"/>
    <cellStyle name="Note 3 5 4 3" xfId="6159" xr:uid="{00000000-0005-0000-0000-0000F6210000}"/>
    <cellStyle name="Note 3 5 4 3 2" xfId="14588" xr:uid="{1A11C5BE-2D76-40DC-80E1-163A94ABFA95}"/>
    <cellStyle name="Note 3 5 4 4" xfId="10370" xr:uid="{7F120C25-32DF-4C02-A99D-CCF41527D137}"/>
    <cellStyle name="Note 3 5 5" xfId="2264" xr:uid="{00000000-0005-0000-0000-0000F7210000}"/>
    <cellStyle name="Note 3 5 5 2" xfId="4493" xr:uid="{00000000-0005-0000-0000-0000F8210000}"/>
    <cellStyle name="Note 3 5 5 2 2" xfId="8717" xr:uid="{00000000-0005-0000-0000-0000F9210000}"/>
    <cellStyle name="Note 3 5 5 2 2 2" xfId="17146" xr:uid="{45D602A0-19FC-4E84-9329-D98F412F361D}"/>
    <cellStyle name="Note 3 5 5 2 3" xfId="12928" xr:uid="{A7745573-841A-454D-B4D0-9224BB6EBD66}"/>
    <cellStyle name="Note 3 5 5 3" xfId="6572" xr:uid="{00000000-0005-0000-0000-0000FA210000}"/>
    <cellStyle name="Note 3 5 5 3 2" xfId="15001" xr:uid="{CF517F08-41D7-4E00-A154-67400DF96092}"/>
    <cellStyle name="Note 3 5 5 4" xfId="10783" xr:uid="{769A7E77-A5F8-49A0-BDA3-2CB87B0C6735}"/>
    <cellStyle name="Note 3 5 6" xfId="2700" xr:uid="{00000000-0005-0000-0000-0000FB210000}"/>
    <cellStyle name="Note 3 5 6 2" xfId="6985" xr:uid="{00000000-0005-0000-0000-0000FC210000}"/>
    <cellStyle name="Note 3 5 6 2 2" xfId="15414" xr:uid="{6F954DCB-D619-4AEB-BE36-55EA8ADA0DEA}"/>
    <cellStyle name="Note 3 5 6 3" xfId="11196" xr:uid="{9F96071C-131E-425B-A67A-0B1C0F158A7E}"/>
    <cellStyle name="Note 3 5 7" xfId="2759" xr:uid="{00000000-0005-0000-0000-0000FD210000}"/>
    <cellStyle name="Note 3 5 8" xfId="2840" xr:uid="{00000000-0005-0000-0000-0000FE210000}"/>
    <cellStyle name="Note 3 5 8 2" xfId="7065" xr:uid="{00000000-0005-0000-0000-0000FF210000}"/>
    <cellStyle name="Note 3 5 8 2 2" xfId="15494" xr:uid="{73735863-BDC0-4CD5-8BEE-7F6047B82B9B}"/>
    <cellStyle name="Note 3 5 8 3" xfId="11276" xr:uid="{BB2E1B0D-73F2-47EB-9C9F-4C2BA808C6EA}"/>
    <cellStyle name="Note 3 5 9" xfId="4920" xr:uid="{00000000-0005-0000-0000-000000220000}"/>
    <cellStyle name="Note 3 5 9 2" xfId="13349" xr:uid="{09BC5C9D-75EA-4862-9E02-844EA42D1DF3}"/>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06DE2E9A-DD48-4C10-9BAC-8CBC68294D6B}"/>
    <cellStyle name="Percent 4" xfId="4503" xr:uid="{00000000-0005-0000-0000-000006220000}"/>
    <cellStyle name="Percent 4 2" xfId="12935" xr:uid="{F33AECE5-2AB5-456C-95A3-E1796F80F803}"/>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191698</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83" t="s">
        <v>583</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row>
    <row r="2" spans="1:38" ht="13.5" thickBo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85" t="s">
        <v>1389</v>
      </c>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c r="AI7" s="1885"/>
      <c r="AJ7" s="1885"/>
      <c r="AK7" s="1885"/>
      <c r="AL7" s="746"/>
    </row>
    <row r="8" spans="1:38">
      <c r="A8" s="327"/>
      <c r="B8" s="325"/>
      <c r="C8" s="326"/>
      <c r="D8" s="1885"/>
      <c r="E8" s="1885"/>
      <c r="F8" s="1885"/>
      <c r="G8" s="1885"/>
      <c r="H8" s="1885"/>
      <c r="I8" s="1885"/>
      <c r="J8" s="1885"/>
      <c r="K8" s="1885"/>
      <c r="L8" s="1885"/>
      <c r="M8" s="1885"/>
      <c r="N8" s="1885"/>
      <c r="O8" s="1885"/>
      <c r="P8" s="1885"/>
      <c r="Q8" s="1885"/>
      <c r="R8" s="1885"/>
      <c r="S8" s="1885"/>
      <c r="T8" s="1885"/>
      <c r="U8" s="1885"/>
      <c r="V8" s="1885"/>
      <c r="W8" s="1885"/>
      <c r="X8" s="1885"/>
      <c r="Y8" s="1885"/>
      <c r="Z8" s="1885"/>
      <c r="AA8" s="1885"/>
      <c r="AB8" s="1885"/>
      <c r="AC8" s="1885"/>
      <c r="AD8" s="1885"/>
      <c r="AE8" s="1885"/>
      <c r="AF8" s="1885"/>
      <c r="AG8" s="1885"/>
      <c r="AH8" s="1885"/>
      <c r="AI8" s="1885"/>
      <c r="AJ8" s="1885"/>
      <c r="AK8" s="1885"/>
      <c r="AL8" s="746"/>
    </row>
    <row r="9" spans="1:38">
      <c r="A9" s="327"/>
      <c r="B9" s="325"/>
      <c r="C9" s="326"/>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85" t="s">
        <v>1393</v>
      </c>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746"/>
    </row>
    <row r="12" spans="1:38">
      <c r="A12" s="327"/>
      <c r="B12" s="325"/>
      <c r="C12" s="326"/>
      <c r="D12" s="1885"/>
      <c r="E12" s="1885"/>
      <c r="F12" s="1885"/>
      <c r="G12" s="1885"/>
      <c r="H12" s="1885"/>
      <c r="I12" s="1885"/>
      <c r="J12" s="1885"/>
      <c r="K12" s="1885"/>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c r="AH12" s="1885"/>
      <c r="AI12" s="1885"/>
      <c r="AJ12" s="1885"/>
      <c r="AK12" s="1885"/>
      <c r="AL12" s="746"/>
    </row>
    <row r="13" spans="1:38" s="717" customFormat="1">
      <c r="A13" s="327"/>
      <c r="B13" s="325"/>
      <c r="C13" s="326"/>
      <c r="D13" s="1885"/>
      <c r="E13" s="1885"/>
      <c r="F13" s="1885"/>
      <c r="G13" s="1885"/>
      <c r="H13" s="1885"/>
      <c r="I13" s="1885"/>
      <c r="J13" s="1885"/>
      <c r="K13" s="1885"/>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746"/>
    </row>
    <row r="14" spans="1:38" s="717" customFormat="1" ht="13.35" customHeight="1">
      <c r="A14" s="327"/>
      <c r="B14" s="325"/>
      <c r="C14" s="326"/>
      <c r="E14" s="1871" t="s">
        <v>2167</v>
      </c>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746"/>
    </row>
    <row r="15" spans="1:38" s="717" customFormat="1" ht="13.35" customHeight="1">
      <c r="A15" s="327"/>
      <c r="B15" s="325"/>
      <c r="C15" s="326"/>
      <c r="E15" s="1871"/>
      <c r="F15" s="1871"/>
      <c r="G15" s="1871"/>
      <c r="H15" s="1871"/>
      <c r="I15" s="1871"/>
      <c r="J15" s="1871"/>
      <c r="K15" s="1871"/>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c r="AH15" s="1871"/>
      <c r="AI15" s="1871"/>
      <c r="AJ15" s="1871"/>
      <c r="AK15" s="1871"/>
      <c r="AL15" s="746"/>
    </row>
    <row r="16" spans="1:38" s="717" customFormat="1">
      <c r="A16" s="327"/>
      <c r="B16" s="325"/>
      <c r="C16" s="326"/>
      <c r="D16" s="746"/>
      <c r="E16" s="1871"/>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71" t="s">
        <v>1521</v>
      </c>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325"/>
    </row>
    <row r="19" spans="1:38">
      <c r="A19" s="327"/>
      <c r="B19" s="325"/>
      <c r="C19" s="326"/>
      <c r="D19" s="1871"/>
      <c r="E19" s="1871"/>
      <c r="F19" s="1871"/>
      <c r="G19" s="1871"/>
      <c r="H19" s="1871"/>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325"/>
    </row>
    <row r="20" spans="1:38" s="717" customFormat="1">
      <c r="A20" s="327"/>
      <c r="B20" s="325"/>
      <c r="C20" s="326"/>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325"/>
    </row>
    <row r="21" spans="1:38" s="717" customFormat="1" ht="13.35" customHeight="1">
      <c r="A21" s="327"/>
      <c r="B21" s="325"/>
      <c r="C21" s="326"/>
      <c r="D21" s="1871"/>
      <c r="E21" s="1871"/>
      <c r="F21" s="1871"/>
      <c r="G21" s="1871"/>
      <c r="H21" s="1871"/>
      <c r="I21" s="1871"/>
      <c r="J21" s="1871"/>
      <c r="K21" s="1871"/>
      <c r="L21" s="1871"/>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325"/>
    </row>
    <row r="22" spans="1:38" s="717" customFormat="1">
      <c r="A22" s="327"/>
      <c r="B22" s="325"/>
      <c r="C22" s="326"/>
      <c r="D22" s="1871"/>
      <c r="E22" s="1871"/>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325"/>
    </row>
    <row r="23" spans="1:38" s="717" customFormat="1">
      <c r="A23" s="327"/>
      <c r="B23" s="325"/>
      <c r="C23" s="326"/>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325"/>
    </row>
    <row r="24" spans="1:38">
      <c r="A24" s="327"/>
      <c r="B24" s="325"/>
      <c r="C24" s="326"/>
      <c r="D24" s="1871"/>
      <c r="E24" s="1871"/>
      <c r="F24" s="1871"/>
      <c r="G24" s="1871"/>
      <c r="H24" s="1871"/>
      <c r="I24" s="1871"/>
      <c r="J24" s="1871"/>
      <c r="K24" s="1871"/>
      <c r="L24" s="1871"/>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325"/>
    </row>
    <row r="25" spans="1:38" s="717" customFormat="1">
      <c r="A25" s="327"/>
      <c r="B25" s="325"/>
      <c r="C25" s="326"/>
      <c r="D25" s="1871"/>
      <c r="E25" s="1871"/>
      <c r="F25" s="1871"/>
      <c r="G25" s="1871"/>
      <c r="H25" s="1871"/>
      <c r="I25" s="1871"/>
      <c r="J25" s="1871"/>
      <c r="K25" s="1871"/>
      <c r="L25" s="1871"/>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325"/>
    </row>
    <row r="26" spans="1:38" s="717" customFormat="1">
      <c r="A26" s="327"/>
      <c r="B26" s="325"/>
      <c r="C26" s="326"/>
      <c r="D26" s="1871"/>
      <c r="E26" s="1871"/>
      <c r="F26" s="1871"/>
      <c r="G26" s="1871"/>
      <c r="H26" s="1871"/>
      <c r="I26" s="1871"/>
      <c r="J26" s="1871"/>
      <c r="K26" s="1871"/>
      <c r="L26" s="1871"/>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325"/>
    </row>
    <row r="27" spans="1:38" s="717" customFormat="1" ht="11.85" customHeight="1">
      <c r="A27" s="327"/>
      <c r="B27" s="325"/>
      <c r="C27" s="326"/>
      <c r="D27" s="1871"/>
      <c r="E27" s="1871"/>
      <c r="F27" s="1871"/>
      <c r="G27" s="1871"/>
      <c r="H27" s="1871"/>
      <c r="I27" s="1871"/>
      <c r="J27" s="1871"/>
      <c r="K27" s="1871"/>
      <c r="L27" s="1871"/>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325"/>
    </row>
    <row r="28" spans="1:38" s="717" customFormat="1" ht="13.35" customHeight="1">
      <c r="A28" s="327"/>
      <c r="B28" s="325"/>
      <c r="C28" s="326"/>
      <c r="E28" s="1871" t="s">
        <v>2168</v>
      </c>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325"/>
    </row>
    <row r="29" spans="1:38" s="717" customFormat="1" ht="13.35" customHeight="1">
      <c r="A29" s="327"/>
      <c r="B29" s="325"/>
      <c r="C29" s="326"/>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325"/>
    </row>
    <row r="30" spans="1:38" s="717" customFormat="1">
      <c r="A30" s="327"/>
      <c r="B30" s="325"/>
      <c r="C30" s="326"/>
      <c r="D30" s="746"/>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73" t="s">
        <v>1394</v>
      </c>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325"/>
    </row>
    <row r="33" spans="1:38" s="717" customFormat="1">
      <c r="A33" s="327"/>
      <c r="B33" s="325"/>
      <c r="C33" s="326"/>
      <c r="D33" s="746"/>
      <c r="E33" s="1872" t="s">
        <v>2407</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86" t="s">
        <v>2408</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row>
    <row r="36" spans="1:38">
      <c r="A36" s="149"/>
      <c r="D36" s="1886"/>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row>
    <row r="37" spans="1:38">
      <c r="A37" s="149"/>
      <c r="D37" s="250"/>
      <c r="E37" s="1879" t="s">
        <v>1093</v>
      </c>
      <c r="F37" s="1879"/>
      <c r="G37" s="1879"/>
      <c r="H37" s="1879"/>
      <c r="I37" s="1879"/>
      <c r="J37" s="1879"/>
      <c r="K37" s="1879"/>
      <c r="L37" s="1879"/>
      <c r="M37" s="1879"/>
      <c r="N37" s="1879"/>
      <c r="O37" s="1879"/>
      <c r="P37" s="1879"/>
      <c r="Q37" s="1879"/>
      <c r="R37" s="1879"/>
      <c r="S37" s="1879"/>
      <c r="T37" s="1879"/>
      <c r="U37" s="1879"/>
      <c r="V37" s="1879"/>
      <c r="W37" s="1879"/>
      <c r="X37" s="1879"/>
      <c r="Y37" s="1879"/>
      <c r="Z37" s="1879"/>
      <c r="AA37" s="1879"/>
      <c r="AB37" s="1879"/>
      <c r="AC37" s="1879"/>
      <c r="AD37" s="1879"/>
      <c r="AE37" s="1879"/>
      <c r="AF37" s="1879"/>
      <c r="AG37" s="1879"/>
      <c r="AH37" s="1879"/>
      <c r="AI37" s="1879"/>
      <c r="AJ37" s="1879"/>
      <c r="AK37" s="1879"/>
    </row>
    <row r="38" spans="1:38">
      <c r="A38" s="149"/>
      <c r="D38" s="250"/>
      <c r="E38" s="1879" t="s">
        <v>1392</v>
      </c>
      <c r="F38" s="1879"/>
      <c r="G38" s="1879"/>
      <c r="H38" s="1879"/>
      <c r="I38" s="1879"/>
      <c r="J38" s="1879"/>
      <c r="K38" s="1879"/>
      <c r="L38" s="1879"/>
      <c r="M38" s="1879"/>
      <c r="N38" s="1879"/>
      <c r="O38" s="1879"/>
      <c r="P38" s="1879"/>
      <c r="Q38" s="1879"/>
      <c r="R38" s="1879"/>
      <c r="S38" s="1879"/>
      <c r="T38" s="1879"/>
      <c r="U38" s="1879"/>
      <c r="V38" s="1879"/>
      <c r="W38" s="1879"/>
      <c r="X38" s="1879"/>
      <c r="Y38" s="1879"/>
      <c r="Z38" s="1879"/>
      <c r="AA38" s="1879"/>
      <c r="AB38" s="1879"/>
      <c r="AC38" s="1879"/>
      <c r="AD38" s="1879"/>
      <c r="AE38" s="1879"/>
      <c r="AF38" s="1879"/>
      <c r="AG38" s="1879"/>
      <c r="AH38" s="1879"/>
      <c r="AI38" s="1879"/>
      <c r="AJ38" s="1879"/>
      <c r="AK38" s="187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1" customFormat="1" ht="13.35" customHeight="1">
      <c r="A42" s="149"/>
      <c r="B42"/>
      <c r="C42" s="5"/>
      <c r="D42" s="149"/>
      <c r="E42" s="149" t="s">
        <v>690</v>
      </c>
      <c r="F42" s="1871" t="s">
        <v>1359</v>
      </c>
    </row>
    <row r="43" spans="1:38" s="1871"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8" t="s">
        <v>1473</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3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71" t="s">
        <v>1474</v>
      </c>
      <c r="G50" s="1871"/>
      <c r="H50" s="1871"/>
      <c r="I50" s="1871"/>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row>
    <row r="51" spans="1:38">
      <c r="A51" s="149"/>
      <c r="C51" s="5"/>
      <c r="D51" s="149"/>
      <c r="E51" s="149"/>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row>
    <row r="52" spans="1:38">
      <c r="A52" s="149"/>
      <c r="C52" s="5"/>
      <c r="D52" s="149"/>
      <c r="F52" s="1871"/>
      <c r="G52" s="1871"/>
      <c r="H52" s="1871"/>
      <c r="I52" s="1871"/>
      <c r="J52" s="1871"/>
      <c r="K52" s="1871"/>
      <c r="L52" s="1871"/>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76" t="s">
        <v>1395</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6" t="s">
        <v>610</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7" t="s">
        <v>1475</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71" t="s">
        <v>1361</v>
      </c>
      <c r="H66" s="1871"/>
      <c r="I66" s="1871"/>
      <c r="J66" s="1871"/>
      <c r="K66" s="1871"/>
      <c r="L66" s="1871"/>
      <c r="M66" s="1871"/>
      <c r="N66" s="1871"/>
      <c r="O66" s="1871"/>
      <c r="P66" s="1871"/>
      <c r="Q66" s="1871"/>
      <c r="R66" s="1871"/>
      <c r="S66" s="1871"/>
      <c r="T66" s="1871"/>
      <c r="U66" s="1871"/>
      <c r="V66" s="1871"/>
      <c r="W66" s="1871"/>
      <c r="X66" s="1871"/>
      <c r="Y66" s="1871"/>
      <c r="Z66" s="1871"/>
      <c r="AA66" s="1871"/>
      <c r="AB66" s="1871"/>
      <c r="AC66" s="1871"/>
      <c r="AD66" s="1871"/>
      <c r="AE66" s="1871"/>
      <c r="AF66" s="1871"/>
      <c r="AG66" s="1871"/>
      <c r="AH66" s="1871"/>
      <c r="AI66" s="1871"/>
      <c r="AJ66" s="1871"/>
      <c r="AK66" s="1871"/>
    </row>
    <row r="67" spans="1:37">
      <c r="A67" s="149"/>
      <c r="C67" s="5"/>
      <c r="D67" s="149"/>
      <c r="E67" s="149"/>
      <c r="F67" s="9"/>
      <c r="G67" s="1871"/>
      <c r="H67" s="1871"/>
      <c r="I67" s="1871"/>
      <c r="J67" s="1871"/>
      <c r="K67" s="1871"/>
      <c r="L67" s="1871"/>
      <c r="M67" s="1871"/>
      <c r="N67" s="1871"/>
      <c r="O67" s="1871"/>
      <c r="P67" s="1871"/>
      <c r="Q67" s="1871"/>
      <c r="R67" s="1871"/>
      <c r="S67" s="1871"/>
      <c r="T67" s="1871"/>
      <c r="U67" s="1871"/>
      <c r="V67" s="1871"/>
      <c r="W67" s="1871"/>
      <c r="X67" s="1871"/>
      <c r="Y67" s="1871"/>
      <c r="Z67" s="1871"/>
      <c r="AA67" s="1871"/>
      <c r="AB67" s="1871"/>
      <c r="AC67" s="1871"/>
      <c r="AD67" s="1871"/>
      <c r="AE67" s="1871"/>
      <c r="AF67" s="1871"/>
      <c r="AG67" s="1871"/>
      <c r="AH67" s="1871"/>
      <c r="AI67" s="1871"/>
      <c r="AJ67" s="1871"/>
      <c r="AK67" s="1871"/>
    </row>
    <row r="68" spans="1:37">
      <c r="A68" s="149"/>
      <c r="C68" s="5"/>
      <c r="D68" s="149"/>
      <c r="E68" s="149"/>
      <c r="F68" s="9"/>
      <c r="G68" s="1871"/>
      <c r="H68" s="1871"/>
      <c r="I68" s="1871"/>
      <c r="J68" s="1871"/>
      <c r="K68" s="1871"/>
      <c r="L68" s="1871"/>
      <c r="M68" s="1871"/>
      <c r="N68" s="1871"/>
      <c r="O68" s="1871"/>
      <c r="P68" s="1871"/>
      <c r="Q68" s="1871"/>
      <c r="R68" s="1871"/>
      <c r="S68" s="1871"/>
      <c r="T68" s="1871"/>
      <c r="U68" s="1871"/>
      <c r="V68" s="1871"/>
      <c r="W68" s="1871"/>
      <c r="X68" s="1871"/>
      <c r="Y68" s="1871"/>
      <c r="Z68" s="1871"/>
      <c r="AA68" s="1871"/>
      <c r="AB68" s="1871"/>
      <c r="AC68" s="1871"/>
      <c r="AD68" s="1871"/>
      <c r="AE68" s="1871"/>
      <c r="AF68" s="1871"/>
      <c r="AG68" s="1871"/>
      <c r="AH68" s="1871"/>
      <c r="AI68" s="1871"/>
      <c r="AJ68" s="1871"/>
      <c r="AK68" s="1871"/>
    </row>
    <row r="69" spans="1:37" ht="13.35" customHeight="1">
      <c r="A69" s="149"/>
      <c r="C69" s="5"/>
      <c r="D69" s="149"/>
      <c r="E69" s="149"/>
      <c r="F69" s="9" t="s">
        <v>542</v>
      </c>
      <c r="G69" s="1871" t="s">
        <v>1362</v>
      </c>
      <c r="H69" s="1871"/>
      <c r="I69" s="1871"/>
      <c r="J69" s="1871"/>
      <c r="K69" s="1871"/>
      <c r="L69" s="1871"/>
      <c r="M69" s="1871"/>
      <c r="N69" s="1871"/>
      <c r="O69" s="1871"/>
      <c r="P69" s="1871"/>
      <c r="Q69" s="1871"/>
      <c r="R69" s="1871"/>
      <c r="S69" s="1871"/>
      <c r="T69" s="1871"/>
      <c r="U69" s="1871"/>
      <c r="V69" s="1871"/>
      <c r="W69" s="1871"/>
      <c r="X69" s="1871"/>
      <c r="Y69" s="1871"/>
      <c r="Z69" s="1871"/>
      <c r="AA69" s="1871"/>
      <c r="AB69" s="1871"/>
      <c r="AC69" s="1871"/>
      <c r="AD69" s="1871"/>
      <c r="AE69" s="1871"/>
      <c r="AF69" s="1871"/>
      <c r="AG69" s="1871"/>
      <c r="AH69" s="1871"/>
      <c r="AI69" s="1871"/>
      <c r="AJ69" s="1871"/>
      <c r="AK69" s="1871"/>
    </row>
    <row r="70" spans="1:37">
      <c r="A70" s="149"/>
      <c r="C70" s="5"/>
      <c r="D70" s="149"/>
      <c r="E70" s="149"/>
      <c r="F70" s="379"/>
      <c r="G70" s="1871"/>
      <c r="H70" s="1871"/>
      <c r="I70" s="1871"/>
      <c r="J70" s="1871"/>
      <c r="K70" s="1871"/>
      <c r="L70" s="1871"/>
      <c r="M70" s="1871"/>
      <c r="N70" s="1871"/>
      <c r="O70" s="1871"/>
      <c r="P70" s="1871"/>
      <c r="Q70" s="1871"/>
      <c r="R70" s="1871"/>
      <c r="S70" s="1871"/>
      <c r="T70" s="1871"/>
      <c r="U70" s="1871"/>
      <c r="V70" s="1871"/>
      <c r="W70" s="1871"/>
      <c r="X70" s="1871"/>
      <c r="Y70" s="1871"/>
      <c r="Z70" s="1871"/>
      <c r="AA70" s="1871"/>
      <c r="AB70" s="1871"/>
      <c r="AC70" s="1871"/>
      <c r="AD70" s="1871"/>
      <c r="AE70" s="1871"/>
      <c r="AF70" s="1871"/>
      <c r="AG70" s="1871"/>
      <c r="AH70" s="1871"/>
      <c r="AI70" s="1871"/>
      <c r="AJ70" s="1871"/>
      <c r="AK70" s="187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71" t="s">
        <v>1363</v>
      </c>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row>
    <row r="73" spans="1:37">
      <c r="A73" s="149"/>
      <c r="C73" s="5"/>
      <c r="D73" s="149"/>
      <c r="E73" s="149"/>
      <c r="F73" s="249"/>
      <c r="G73" s="1871"/>
      <c r="H73" s="1871"/>
      <c r="I73" s="1871"/>
      <c r="J73" s="1871"/>
      <c r="K73" s="1871"/>
      <c r="L73" s="1871"/>
      <c r="M73" s="1871"/>
      <c r="N73" s="1871"/>
      <c r="O73" s="1871"/>
      <c r="P73" s="1871"/>
      <c r="Q73" s="1871"/>
      <c r="R73" s="1871"/>
      <c r="S73" s="1871"/>
      <c r="T73" s="1871"/>
      <c r="U73" s="1871"/>
      <c r="V73" s="1871"/>
      <c r="W73" s="1871"/>
      <c r="X73" s="1871"/>
      <c r="Y73" s="1871"/>
      <c r="Z73" s="1871"/>
      <c r="AA73" s="1871"/>
      <c r="AB73" s="1871"/>
      <c r="AC73" s="1871"/>
      <c r="AD73" s="1871"/>
      <c r="AE73" s="1871"/>
      <c r="AF73" s="1871"/>
      <c r="AG73" s="1871"/>
      <c r="AH73" s="1871"/>
      <c r="AI73" s="1871"/>
      <c r="AJ73" s="1871"/>
      <c r="AK73" s="1871"/>
    </row>
    <row r="74" spans="1:37">
      <c r="A74" s="149"/>
      <c r="C74" s="5"/>
      <c r="D74" s="149"/>
      <c r="E74" s="149"/>
      <c r="F74" s="249" t="s">
        <v>542</v>
      </c>
      <c r="G74" s="1871" t="s">
        <v>1364</v>
      </c>
      <c r="H74" s="1871"/>
      <c r="I74" s="1871"/>
      <c r="J74" s="1871"/>
      <c r="K74" s="1871"/>
      <c r="L74" s="1871"/>
      <c r="M74" s="1871"/>
      <c r="N74" s="1871"/>
      <c r="O74" s="1871"/>
      <c r="P74" s="1871"/>
      <c r="Q74" s="1871"/>
      <c r="R74" s="1871"/>
      <c r="S74" s="1871"/>
      <c r="T74" s="1871"/>
      <c r="U74" s="1871"/>
      <c r="V74" s="1871"/>
      <c r="W74" s="1871"/>
      <c r="X74" s="1871"/>
      <c r="Y74" s="1871"/>
      <c r="Z74" s="1871"/>
      <c r="AA74" s="1871"/>
      <c r="AB74" s="1871"/>
      <c r="AC74" s="1871"/>
      <c r="AD74" s="1871"/>
      <c r="AE74" s="1871"/>
      <c r="AF74" s="1871"/>
      <c r="AG74" s="1871"/>
      <c r="AH74" s="1871"/>
      <c r="AI74" s="1871"/>
      <c r="AJ74" s="1871"/>
      <c r="AK74" s="1871"/>
    </row>
    <row r="75" spans="1:37">
      <c r="A75" s="149"/>
      <c r="C75" s="5"/>
      <c r="D75" s="149"/>
      <c r="E75" s="149"/>
      <c r="F75" s="249"/>
      <c r="G75" s="1871"/>
      <c r="H75" s="1871"/>
      <c r="I75" s="1871"/>
      <c r="J75" s="1871"/>
      <c r="K75" s="1871"/>
      <c r="L75" s="1871"/>
      <c r="M75" s="1871"/>
      <c r="N75" s="1871"/>
      <c r="O75" s="1871"/>
      <c r="P75" s="1871"/>
      <c r="Q75" s="1871"/>
      <c r="R75" s="1871"/>
      <c r="S75" s="1871"/>
      <c r="T75" s="1871"/>
      <c r="U75" s="1871"/>
      <c r="V75" s="1871"/>
      <c r="W75" s="1871"/>
      <c r="X75" s="1871"/>
      <c r="Y75" s="1871"/>
      <c r="Z75" s="1871"/>
      <c r="AA75" s="1871"/>
      <c r="AB75" s="1871"/>
      <c r="AC75" s="1871"/>
      <c r="AD75" s="1871"/>
      <c r="AE75" s="1871"/>
      <c r="AF75" s="1871"/>
      <c r="AG75" s="1871"/>
      <c r="AH75" s="1871"/>
      <c r="AI75" s="1871"/>
      <c r="AJ75" s="1871"/>
      <c r="AK75" s="187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1" t="s">
        <v>1365</v>
      </c>
      <c r="H82" s="1871"/>
      <c r="I82" s="1871"/>
      <c r="J82" s="1871"/>
      <c r="K82" s="1871"/>
      <c r="L82" s="1871"/>
      <c r="M82" s="1871"/>
      <c r="N82" s="1871"/>
      <c r="O82" s="1871"/>
      <c r="P82" s="1871"/>
      <c r="Q82" s="1871"/>
      <c r="R82" s="1871"/>
      <c r="S82" s="1871"/>
      <c r="T82" s="1871"/>
      <c r="U82" s="1871"/>
      <c r="V82" s="1871"/>
      <c r="W82" s="1871"/>
      <c r="X82" s="1871"/>
      <c r="Y82" s="1871"/>
      <c r="Z82" s="1871"/>
      <c r="AA82" s="1871"/>
      <c r="AB82" s="1871"/>
      <c r="AC82" s="1871"/>
      <c r="AD82" s="1871"/>
      <c r="AE82" s="1871"/>
      <c r="AF82" s="1871"/>
      <c r="AG82" s="1871"/>
      <c r="AH82" s="1871"/>
      <c r="AI82" s="1871"/>
      <c r="AJ82" s="1871"/>
      <c r="AK82" s="1871"/>
    </row>
    <row r="83" spans="1:37">
      <c r="A83" s="149"/>
      <c r="C83" s="5"/>
      <c r="D83" s="149"/>
      <c r="E83" s="149"/>
      <c r="F83" s="149"/>
      <c r="G83" s="1871"/>
      <c r="H83" s="1871"/>
      <c r="I83" s="1871"/>
      <c r="J83" s="1871"/>
      <c r="K83" s="1871"/>
      <c r="L83" s="1871"/>
      <c r="M83" s="1871"/>
      <c r="N83" s="1871"/>
      <c r="O83" s="1871"/>
      <c r="P83" s="1871"/>
      <c r="Q83" s="1871"/>
      <c r="R83" s="1871"/>
      <c r="S83" s="1871"/>
      <c r="T83" s="1871"/>
      <c r="U83" s="1871"/>
      <c r="V83" s="1871"/>
      <c r="W83" s="1871"/>
      <c r="X83" s="1871"/>
      <c r="Y83" s="1871"/>
      <c r="Z83" s="1871"/>
      <c r="AA83" s="1871"/>
      <c r="AB83" s="1871"/>
      <c r="AC83" s="1871"/>
      <c r="AD83" s="1871"/>
      <c r="AE83" s="1871"/>
      <c r="AF83" s="1871"/>
      <c r="AG83" s="1871"/>
      <c r="AH83" s="1871"/>
      <c r="AI83" s="1871"/>
      <c r="AJ83" s="1871"/>
      <c r="AK83" s="1871"/>
    </row>
    <row r="84" spans="1:37" s="717" customFormat="1">
      <c r="A84" s="149"/>
      <c r="C84" s="5"/>
      <c r="D84" s="149"/>
      <c r="E84" s="149"/>
      <c r="F84" s="149"/>
      <c r="G84" s="1871"/>
      <c r="H84" s="1871"/>
      <c r="I84" s="1871"/>
      <c r="J84" s="1871"/>
      <c r="K84" s="1871"/>
      <c r="L84" s="1871"/>
      <c r="M84" s="1871"/>
      <c r="N84" s="1871"/>
      <c r="O84" s="1871"/>
      <c r="P84" s="1871"/>
      <c r="Q84" s="1871"/>
      <c r="R84" s="1871"/>
      <c r="S84" s="1871"/>
      <c r="T84" s="1871"/>
      <c r="U84" s="1871"/>
      <c r="V84" s="1871"/>
      <c r="W84" s="1871"/>
      <c r="X84" s="1871"/>
      <c r="Y84" s="1871"/>
      <c r="Z84" s="1871"/>
      <c r="AA84" s="1871"/>
      <c r="AB84" s="1871"/>
      <c r="AC84" s="1871"/>
      <c r="AD84" s="1871"/>
      <c r="AE84" s="1871"/>
      <c r="AF84" s="1871"/>
      <c r="AG84" s="1871"/>
      <c r="AH84" s="1871"/>
      <c r="AI84" s="1871"/>
      <c r="AJ84" s="1871"/>
      <c r="AK84" s="187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1" t="s">
        <v>1366</v>
      </c>
      <c r="H86" s="1871"/>
      <c r="I86" s="1871"/>
      <c r="J86" s="1871"/>
      <c r="K86" s="1871"/>
      <c r="L86" s="1871"/>
      <c r="M86" s="1871"/>
      <c r="N86" s="1871"/>
      <c r="O86" s="1871"/>
      <c r="P86" s="1871"/>
      <c r="Q86" s="1871"/>
      <c r="R86" s="1871"/>
      <c r="S86" s="1871"/>
      <c r="T86" s="1871"/>
      <c r="U86" s="1871"/>
      <c r="V86" s="1871"/>
      <c r="W86" s="1871"/>
      <c r="X86" s="1871"/>
      <c r="Y86" s="1871"/>
      <c r="Z86" s="1871"/>
      <c r="AA86" s="1871"/>
      <c r="AB86" s="1871"/>
      <c r="AC86" s="1871"/>
      <c r="AD86" s="1871"/>
      <c r="AE86" s="1871"/>
      <c r="AF86" s="1871"/>
      <c r="AG86" s="1871"/>
      <c r="AH86" s="1871"/>
      <c r="AI86" s="1871"/>
      <c r="AJ86" s="1871"/>
      <c r="AK86" s="1871"/>
    </row>
    <row r="87" spans="1:37">
      <c r="A87" s="149"/>
      <c r="C87" s="5"/>
      <c r="D87" s="149"/>
      <c r="E87" s="149"/>
      <c r="F87" s="149"/>
      <c r="G87" s="1871"/>
      <c r="H87" s="1871"/>
      <c r="I87" s="1871"/>
      <c r="J87" s="1871"/>
      <c r="K87" s="1871"/>
      <c r="L87" s="1871"/>
      <c r="M87" s="1871"/>
      <c r="N87" s="1871"/>
      <c r="O87" s="1871"/>
      <c r="P87" s="1871"/>
      <c r="Q87" s="1871"/>
      <c r="R87" s="1871"/>
      <c r="S87" s="1871"/>
      <c r="T87" s="1871"/>
      <c r="U87" s="1871"/>
      <c r="V87" s="1871"/>
      <c r="W87" s="1871"/>
      <c r="X87" s="1871"/>
      <c r="Y87" s="1871"/>
      <c r="Z87" s="1871"/>
      <c r="AA87" s="1871"/>
      <c r="AB87" s="1871"/>
      <c r="AC87" s="1871"/>
      <c r="AD87" s="1871"/>
      <c r="AE87" s="1871"/>
      <c r="AF87" s="1871"/>
      <c r="AG87" s="1871"/>
      <c r="AH87" s="1871"/>
      <c r="AI87" s="1871"/>
      <c r="AJ87" s="1871"/>
      <c r="AK87" s="1871"/>
    </row>
    <row r="88" spans="1:37">
      <c r="A88" s="149"/>
      <c r="C88" s="5"/>
      <c r="D88" s="149"/>
      <c r="E88" s="149"/>
      <c r="G88" s="1871"/>
      <c r="H88" s="1871"/>
      <c r="I88" s="1871"/>
      <c r="J88" s="1871"/>
      <c r="K88" s="1871"/>
      <c r="L88" s="1871"/>
      <c r="M88" s="1871"/>
      <c r="N88" s="1871"/>
      <c r="O88" s="1871"/>
      <c r="P88" s="1871"/>
      <c r="Q88" s="1871"/>
      <c r="R88" s="1871"/>
      <c r="S88" s="1871"/>
      <c r="T88" s="1871"/>
      <c r="U88" s="1871"/>
      <c r="V88" s="1871"/>
      <c r="W88" s="1871"/>
      <c r="X88" s="1871"/>
      <c r="Y88" s="1871"/>
      <c r="Z88" s="1871"/>
      <c r="AA88" s="1871"/>
      <c r="AB88" s="1871"/>
      <c r="AC88" s="1871"/>
      <c r="AD88" s="1871"/>
      <c r="AE88" s="1871"/>
      <c r="AF88" s="1871"/>
      <c r="AG88" s="1871"/>
      <c r="AH88" s="1871"/>
      <c r="AI88" s="1871"/>
      <c r="AJ88" s="1871"/>
      <c r="AK88" s="187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4" t="s">
        <v>1367</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7" customFormat="1">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1" t="s">
        <v>1368</v>
      </c>
      <c r="H94" s="1871"/>
      <c r="I94" s="1871"/>
      <c r="J94" s="1871"/>
      <c r="K94" s="1871"/>
      <c r="L94" s="1871"/>
      <c r="M94" s="1871"/>
      <c r="N94" s="1871"/>
      <c r="O94" s="1871"/>
      <c r="P94" s="1871"/>
      <c r="Q94" s="1871"/>
      <c r="R94" s="1871"/>
      <c r="S94" s="1871"/>
      <c r="T94" s="1871"/>
      <c r="U94" s="1871"/>
      <c r="V94" s="1871"/>
      <c r="W94" s="1871"/>
      <c r="X94" s="1871"/>
      <c r="Y94" s="1871"/>
      <c r="Z94" s="1871"/>
      <c r="AA94" s="1871"/>
      <c r="AB94" s="1871"/>
      <c r="AC94" s="1871"/>
      <c r="AD94" s="1871"/>
      <c r="AE94" s="1871"/>
      <c r="AF94" s="1871"/>
      <c r="AG94" s="1871"/>
      <c r="AH94" s="1871"/>
      <c r="AI94" s="1871"/>
      <c r="AJ94" s="1871"/>
      <c r="AK94" s="1871"/>
    </row>
    <row r="95" spans="1:37">
      <c r="A95" s="149"/>
      <c r="C95" s="5"/>
      <c r="D95" s="149"/>
      <c r="E95" s="149"/>
      <c r="G95" s="1871"/>
      <c r="H95" s="1871"/>
      <c r="I95" s="1871"/>
      <c r="J95" s="1871"/>
      <c r="K95" s="1871"/>
      <c r="L95" s="1871"/>
      <c r="M95" s="1871"/>
      <c r="N95" s="1871"/>
      <c r="O95" s="1871"/>
      <c r="P95" s="1871"/>
      <c r="Q95" s="1871"/>
      <c r="R95" s="1871"/>
      <c r="S95" s="1871"/>
      <c r="T95" s="1871"/>
      <c r="U95" s="1871"/>
      <c r="V95" s="1871"/>
      <c r="W95" s="1871"/>
      <c r="X95" s="1871"/>
      <c r="Y95" s="1871"/>
      <c r="Z95" s="1871"/>
      <c r="AA95" s="1871"/>
      <c r="AB95" s="1871"/>
      <c r="AC95" s="1871"/>
      <c r="AD95" s="1871"/>
      <c r="AE95" s="1871"/>
      <c r="AF95" s="1871"/>
      <c r="AG95" s="1871"/>
      <c r="AH95" s="1871"/>
      <c r="AI95" s="1871"/>
      <c r="AJ95" s="1871"/>
      <c r="AK95" s="187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71" t="s">
        <v>1369</v>
      </c>
      <c r="H97" s="1871"/>
      <c r="I97" s="1871"/>
      <c r="J97" s="1871"/>
      <c r="K97" s="1871"/>
      <c r="L97" s="1871"/>
      <c r="M97" s="1871"/>
      <c r="N97" s="1871"/>
      <c r="O97" s="1871"/>
      <c r="P97" s="1871"/>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row>
    <row r="98" spans="1:38">
      <c r="A98" s="149"/>
      <c r="C98" s="183"/>
      <c r="D98" s="182"/>
      <c r="E98" s="182"/>
      <c r="F98" s="2"/>
      <c r="G98" s="1871"/>
      <c r="H98" s="1871"/>
      <c r="I98" s="1871"/>
      <c r="J98" s="1871"/>
      <c r="K98" s="1871"/>
      <c r="L98" s="1871"/>
      <c r="M98" s="1871"/>
      <c r="N98" s="1871"/>
      <c r="O98" s="1871"/>
      <c r="P98" s="1871"/>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2"/>
    </row>
    <row r="99" spans="1:38">
      <c r="A99" s="149"/>
      <c r="C99" s="183"/>
      <c r="D99" s="182"/>
      <c r="E99" s="182"/>
      <c r="F99" s="2"/>
      <c r="G99" s="1871"/>
      <c r="H99" s="1871"/>
      <c r="I99" s="1871"/>
      <c r="J99" s="1871"/>
      <c r="K99" s="1871"/>
      <c r="L99" s="1871"/>
      <c r="M99" s="1871"/>
      <c r="N99" s="1871"/>
      <c r="O99" s="1871"/>
      <c r="P99" s="1871"/>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2"/>
    </row>
    <row r="100" spans="1:38">
      <c r="A100" s="149"/>
      <c r="C100" s="2"/>
      <c r="D100" s="491"/>
      <c r="E100" s="1875" t="s">
        <v>1370</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71" t="s">
        <v>1371</v>
      </c>
      <c r="H207" s="1871"/>
      <c r="I207" s="1871"/>
      <c r="J207" s="1871"/>
      <c r="K207" s="1871"/>
      <c r="L207" s="1871"/>
      <c r="M207" s="1871"/>
      <c r="N207" s="1871"/>
      <c r="O207" s="1871"/>
      <c r="P207" s="1871"/>
      <c r="Q207" s="1871"/>
      <c r="R207" s="1871"/>
      <c r="S207" s="1871"/>
      <c r="T207" s="1871"/>
      <c r="U207" s="1871"/>
      <c r="V207" s="1871"/>
      <c r="W207" s="1871"/>
      <c r="X207" s="1871"/>
      <c r="Y207" s="1871"/>
      <c r="Z207" s="1871"/>
      <c r="AA207" s="1871"/>
      <c r="AB207" s="1871"/>
      <c r="AC207" s="1871"/>
      <c r="AD207" s="1871"/>
      <c r="AE207" s="1871"/>
      <c r="AF207" s="1871"/>
      <c r="AG207" s="1871"/>
      <c r="AH207" s="1871"/>
      <c r="AI207" s="1871"/>
      <c r="AJ207" s="1871"/>
      <c r="AK207" s="1871"/>
    </row>
    <row r="208" spans="2:37">
      <c r="B208" s="149"/>
      <c r="C208" s="149"/>
      <c r="D208" s="5"/>
      <c r="G208" s="1871"/>
      <c r="H208" s="1871"/>
      <c r="I208" s="1871"/>
      <c r="J208" s="1871"/>
      <c r="K208" s="1871"/>
      <c r="L208" s="1871"/>
      <c r="M208" s="1871"/>
      <c r="N208" s="1871"/>
      <c r="O208" s="1871"/>
      <c r="P208" s="1871"/>
      <c r="Q208" s="1871"/>
      <c r="R208" s="1871"/>
      <c r="S208" s="1871"/>
      <c r="T208" s="1871"/>
      <c r="U208" s="1871"/>
      <c r="V208" s="1871"/>
      <c r="W208" s="1871"/>
      <c r="X208" s="1871"/>
      <c r="Y208" s="1871"/>
      <c r="Z208" s="1871"/>
      <c r="AA208" s="1871"/>
      <c r="AB208" s="1871"/>
      <c r="AC208" s="1871"/>
      <c r="AD208" s="1871"/>
      <c r="AE208" s="1871"/>
      <c r="AF208" s="1871"/>
      <c r="AG208" s="1871"/>
      <c r="AH208" s="1871"/>
      <c r="AI208" s="1871"/>
      <c r="AJ208" s="1871"/>
      <c r="AK208" s="187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71" t="s">
        <v>1346</v>
      </c>
      <c r="G338" s="1871"/>
      <c r="H338" s="1871"/>
      <c r="I338" s="1871"/>
      <c r="J338" s="1871"/>
      <c r="K338" s="1871"/>
      <c r="L338" s="1871"/>
      <c r="M338" s="1871"/>
      <c r="N338" s="1871"/>
      <c r="O338" s="1871"/>
      <c r="P338" s="1871"/>
      <c r="Q338" s="1871"/>
      <c r="R338" s="1871"/>
      <c r="S338" s="1871"/>
      <c r="T338" s="1871"/>
      <c r="U338" s="1871"/>
      <c r="V338" s="1871"/>
      <c r="W338" s="1871"/>
      <c r="X338" s="1871"/>
      <c r="Y338" s="1871"/>
      <c r="Z338" s="1871"/>
      <c r="AA338" s="1871"/>
      <c r="AB338" s="1871"/>
      <c r="AC338" s="1871"/>
      <c r="AD338" s="1871"/>
      <c r="AE338" s="1871"/>
      <c r="AF338" s="1871"/>
      <c r="AG338" s="1871"/>
      <c r="AH338" s="1871"/>
      <c r="AI338" s="1871"/>
      <c r="AJ338" s="1871"/>
      <c r="AK338" s="1871"/>
    </row>
    <row r="339" spans="2:37">
      <c r="B339" s="5"/>
      <c r="E339" s="149"/>
      <c r="F339" s="1871"/>
      <c r="G339" s="1871"/>
      <c r="H339" s="1871"/>
      <c r="I339" s="1871"/>
      <c r="J339" s="1871"/>
      <c r="K339" s="1871"/>
      <c r="L339" s="1871"/>
      <c r="M339" s="1871"/>
      <c r="N339" s="1871"/>
      <c r="O339" s="1871"/>
      <c r="P339" s="1871"/>
      <c r="Q339" s="1871"/>
      <c r="R339" s="1871"/>
      <c r="S339" s="1871"/>
      <c r="T339" s="1871"/>
      <c r="U339" s="1871"/>
      <c r="V339" s="1871"/>
      <c r="W339" s="1871"/>
      <c r="X339" s="1871"/>
      <c r="Y339" s="1871"/>
      <c r="Z339" s="1871"/>
      <c r="AA339" s="1871"/>
      <c r="AB339" s="1871"/>
      <c r="AC339" s="1871"/>
      <c r="AD339" s="1871"/>
      <c r="AE339" s="1871"/>
      <c r="AF339" s="1871"/>
      <c r="AG339" s="1871"/>
      <c r="AH339" s="1871"/>
      <c r="AI339" s="1871"/>
      <c r="AJ339" s="1871"/>
      <c r="AK339" s="1871"/>
    </row>
    <row r="340" spans="2:37">
      <c r="B340" s="5"/>
      <c r="E340" s="149"/>
      <c r="F340" s="1871"/>
      <c r="G340" s="1871"/>
      <c r="H340" s="1871"/>
      <c r="I340" s="1871"/>
      <c r="J340" s="1871"/>
      <c r="K340" s="1871"/>
      <c r="L340" s="1871"/>
      <c r="M340" s="1871"/>
      <c r="N340" s="1871"/>
      <c r="O340" s="1871"/>
      <c r="P340" s="1871"/>
      <c r="Q340" s="1871"/>
      <c r="R340" s="1871"/>
      <c r="S340" s="1871"/>
      <c r="T340" s="1871"/>
      <c r="U340" s="1871"/>
      <c r="V340" s="1871"/>
      <c r="W340" s="1871"/>
      <c r="X340" s="1871"/>
      <c r="Y340" s="1871"/>
      <c r="Z340" s="1871"/>
      <c r="AA340" s="1871"/>
      <c r="AB340" s="1871"/>
      <c r="AC340" s="1871"/>
      <c r="AD340" s="1871"/>
      <c r="AE340" s="1871"/>
      <c r="AF340" s="1871"/>
      <c r="AG340" s="1871"/>
      <c r="AH340" s="1871"/>
      <c r="AI340" s="1871"/>
      <c r="AJ340" s="1871"/>
      <c r="AK340" s="187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76" t="s">
        <v>1449</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c r="B348" s="5"/>
      <c r="E348" s="6" t="s">
        <v>117</v>
      </c>
      <c r="F348" s="1871" t="s">
        <v>1451</v>
      </c>
      <c r="G348" s="1871"/>
      <c r="H348" s="1871"/>
      <c r="I348" s="1871"/>
      <c r="J348" s="1871"/>
      <c r="K348" s="1871"/>
      <c r="L348" s="1871"/>
      <c r="M348" s="1871"/>
      <c r="N348" s="1871"/>
      <c r="O348" s="1871"/>
      <c r="P348" s="1871"/>
      <c r="Q348" s="1871"/>
      <c r="R348" s="1871"/>
      <c r="S348" s="1871"/>
      <c r="T348" s="1871"/>
      <c r="U348" s="1871"/>
      <c r="V348" s="1871"/>
      <c r="W348" s="1871"/>
      <c r="X348" s="1871"/>
      <c r="Y348" s="1871"/>
      <c r="Z348" s="1871"/>
      <c r="AA348" s="1871"/>
      <c r="AB348" s="1871"/>
      <c r="AC348" s="1871"/>
      <c r="AD348" s="1871"/>
      <c r="AE348" s="1871"/>
      <c r="AF348" s="1871"/>
      <c r="AG348" s="1871"/>
      <c r="AH348" s="1871"/>
      <c r="AI348" s="1871"/>
      <c r="AJ348" s="1871"/>
      <c r="AK348" s="1871"/>
    </row>
    <row r="349" spans="2:37" s="717" customFormat="1">
      <c r="B349" s="5"/>
      <c r="E349" s="6"/>
      <c r="F349" s="1871"/>
      <c r="G349" s="1871"/>
      <c r="H349" s="1871"/>
      <c r="I349" s="1871"/>
      <c r="J349" s="1871"/>
      <c r="K349" s="1871"/>
      <c r="L349" s="1871"/>
      <c r="M349" s="1871"/>
      <c r="N349" s="1871"/>
      <c r="O349" s="1871"/>
      <c r="P349" s="1871"/>
      <c r="Q349" s="1871"/>
      <c r="R349" s="1871"/>
      <c r="S349" s="1871"/>
      <c r="T349" s="1871"/>
      <c r="U349" s="1871"/>
      <c r="V349" s="1871"/>
      <c r="W349" s="1871"/>
      <c r="X349" s="1871"/>
      <c r="Y349" s="1871"/>
      <c r="Z349" s="1871"/>
      <c r="AA349" s="1871"/>
      <c r="AB349" s="1871"/>
      <c r="AC349" s="1871"/>
      <c r="AD349" s="1871"/>
      <c r="AE349" s="1871"/>
      <c r="AF349" s="1871"/>
      <c r="AG349" s="1871"/>
      <c r="AH349" s="1871"/>
      <c r="AI349" s="1871"/>
      <c r="AJ349" s="1871"/>
      <c r="AK349" s="1871"/>
    </row>
    <row r="350" spans="2:37" s="717" customFormat="1">
      <c r="B350" s="5"/>
      <c r="E350" s="6"/>
      <c r="F350" s="1871"/>
      <c r="G350" s="1871"/>
      <c r="H350" s="1871"/>
      <c r="I350" s="1871"/>
      <c r="J350" s="1871"/>
      <c r="K350" s="1871"/>
      <c r="L350" s="1871"/>
      <c r="M350" s="1871"/>
      <c r="N350" s="1871"/>
      <c r="O350" s="1871"/>
      <c r="P350" s="1871"/>
      <c r="Q350" s="1871"/>
      <c r="R350" s="1871"/>
      <c r="S350" s="1871"/>
      <c r="T350" s="1871"/>
      <c r="U350" s="1871"/>
      <c r="V350" s="1871"/>
      <c r="W350" s="1871"/>
      <c r="X350" s="1871"/>
      <c r="Y350" s="1871"/>
      <c r="Z350" s="1871"/>
      <c r="AA350" s="1871"/>
      <c r="AB350" s="1871"/>
      <c r="AC350" s="1871"/>
      <c r="AD350" s="1871"/>
      <c r="AE350" s="1871"/>
      <c r="AF350" s="1871"/>
      <c r="AG350" s="1871"/>
      <c r="AH350" s="1871"/>
      <c r="AI350" s="1871"/>
      <c r="AJ350" s="1871"/>
      <c r="AK350" s="1871"/>
    </row>
    <row r="351" spans="2:37" s="717" customFormat="1">
      <c r="B351" s="5"/>
      <c r="E351" s="6"/>
      <c r="F351" s="1871"/>
      <c r="G351" s="1871"/>
      <c r="H351" s="1871"/>
      <c r="I351" s="1871"/>
      <c r="J351" s="1871"/>
      <c r="K351" s="1871"/>
      <c r="L351" s="1871"/>
      <c r="M351" s="1871"/>
      <c r="N351" s="1871"/>
      <c r="O351" s="1871"/>
      <c r="P351" s="1871"/>
      <c r="Q351" s="1871"/>
      <c r="R351" s="1871"/>
      <c r="S351" s="1871"/>
      <c r="T351" s="1871"/>
      <c r="U351" s="1871"/>
      <c r="V351" s="1871"/>
      <c r="W351" s="1871"/>
      <c r="X351" s="1871"/>
      <c r="Y351" s="1871"/>
      <c r="Z351" s="1871"/>
      <c r="AA351" s="1871"/>
      <c r="AB351" s="1871"/>
      <c r="AC351" s="1871"/>
      <c r="AD351" s="1871"/>
      <c r="AE351" s="1871"/>
      <c r="AF351" s="1871"/>
      <c r="AG351" s="1871"/>
      <c r="AH351" s="1871"/>
      <c r="AI351" s="1871"/>
      <c r="AJ351" s="1871"/>
      <c r="AK351" s="1871"/>
    </row>
    <row r="352" spans="2:37" s="717" customFormat="1">
      <c r="B352" s="5"/>
      <c r="E352" s="6" t="s">
        <v>118</v>
      </c>
      <c r="F352" s="1871" t="s">
        <v>1450</v>
      </c>
      <c r="G352" s="1871"/>
      <c r="H352" s="1871"/>
      <c r="I352" s="1871"/>
      <c r="J352" s="1871"/>
      <c r="K352" s="1871"/>
      <c r="L352" s="1871"/>
      <c r="M352" s="1871"/>
      <c r="N352" s="1871"/>
      <c r="O352" s="1871"/>
      <c r="P352" s="1871"/>
      <c r="Q352" s="1871"/>
      <c r="R352" s="1871"/>
      <c r="S352" s="1871"/>
      <c r="T352" s="1871"/>
      <c r="U352" s="1871"/>
      <c r="V352" s="1871"/>
      <c r="W352" s="1871"/>
      <c r="X352" s="1871"/>
      <c r="Y352" s="1871"/>
      <c r="Z352" s="1871"/>
      <c r="AA352" s="1871"/>
      <c r="AB352" s="1871"/>
      <c r="AC352" s="1871"/>
      <c r="AD352" s="1871"/>
      <c r="AE352" s="1871"/>
      <c r="AF352" s="1871"/>
      <c r="AG352" s="1871"/>
      <c r="AH352" s="1871"/>
      <c r="AI352" s="1871"/>
      <c r="AJ352" s="1871"/>
      <c r="AK352" s="1871"/>
    </row>
    <row r="353" spans="1:38" s="717" customFormat="1">
      <c r="B353" s="5"/>
      <c r="F353" s="1871"/>
      <c r="G353" s="1871"/>
      <c r="H353" s="1871"/>
      <c r="I353" s="1871"/>
      <c r="J353" s="1871"/>
      <c r="K353" s="1871"/>
      <c r="L353" s="1871"/>
      <c r="M353" s="1871"/>
      <c r="N353" s="1871"/>
      <c r="O353" s="1871"/>
      <c r="P353" s="1871"/>
      <c r="Q353" s="1871"/>
      <c r="R353" s="1871"/>
      <c r="S353" s="1871"/>
      <c r="T353" s="1871"/>
      <c r="U353" s="1871"/>
      <c r="V353" s="1871"/>
      <c r="W353" s="1871"/>
      <c r="X353" s="1871"/>
      <c r="Y353" s="1871"/>
      <c r="Z353" s="1871"/>
      <c r="AA353" s="1871"/>
      <c r="AB353" s="1871"/>
      <c r="AC353" s="1871"/>
      <c r="AD353" s="1871"/>
      <c r="AE353" s="1871"/>
      <c r="AF353" s="1871"/>
      <c r="AG353" s="1871"/>
      <c r="AH353" s="1871"/>
      <c r="AI353" s="1871"/>
      <c r="AJ353" s="1871"/>
      <c r="AK353" s="1871"/>
    </row>
    <row r="354" spans="1:38" s="717" customFormat="1">
      <c r="B354" s="5"/>
      <c r="F354" s="1871"/>
      <c r="G354" s="1871"/>
      <c r="H354" s="1871"/>
      <c r="I354" s="1871"/>
      <c r="J354" s="1871"/>
      <c r="K354" s="1871"/>
      <c r="L354" s="1871"/>
      <c r="M354" s="1871"/>
      <c r="N354" s="1871"/>
      <c r="O354" s="1871"/>
      <c r="P354" s="1871"/>
      <c r="Q354" s="1871"/>
      <c r="R354" s="1871"/>
      <c r="S354" s="1871"/>
      <c r="T354" s="1871"/>
      <c r="U354" s="1871"/>
      <c r="V354" s="1871"/>
      <c r="W354" s="1871"/>
      <c r="X354" s="1871"/>
      <c r="Y354" s="1871"/>
      <c r="Z354" s="1871"/>
      <c r="AA354" s="1871"/>
      <c r="AB354" s="1871"/>
      <c r="AC354" s="1871"/>
      <c r="AD354" s="1871"/>
      <c r="AE354" s="1871"/>
      <c r="AF354" s="1871"/>
      <c r="AG354" s="1871"/>
      <c r="AH354" s="1871"/>
      <c r="AI354" s="1871"/>
      <c r="AJ354" s="1871"/>
      <c r="AK354" s="187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80" t="s">
        <v>1440</v>
      </c>
      <c r="F367" s="1880"/>
      <c r="G367" s="1880"/>
      <c r="H367" s="1880"/>
      <c r="I367" s="1880"/>
      <c r="J367" s="1880"/>
      <c r="K367" s="1880"/>
      <c r="L367" s="1880"/>
      <c r="M367" s="1880"/>
      <c r="N367" s="1880"/>
      <c r="O367" s="1880"/>
      <c r="P367" s="1880"/>
      <c r="Q367" s="1880"/>
      <c r="R367" s="1880"/>
      <c r="S367" s="1880"/>
      <c r="T367" s="1880"/>
      <c r="U367" s="1880"/>
      <c r="V367" s="1880"/>
      <c r="W367" s="1880"/>
      <c r="X367" s="1880"/>
      <c r="Y367" s="1880"/>
      <c r="Z367" s="1880"/>
      <c r="AA367" s="1880"/>
      <c r="AB367" s="1880"/>
      <c r="AC367" s="1880"/>
      <c r="AD367" s="1880"/>
      <c r="AE367" s="1880"/>
      <c r="AF367" s="1880"/>
      <c r="AG367" s="1880"/>
      <c r="AH367" s="1880"/>
      <c r="AI367" s="1880"/>
      <c r="AJ367" s="1880"/>
      <c r="AK367" s="1880"/>
      <c r="AL367" s="1880"/>
    </row>
    <row r="368" spans="1:38" s="717" customFormat="1">
      <c r="B368" s="5"/>
      <c r="E368" s="1880"/>
      <c r="F368" s="1880"/>
      <c r="G368" s="1880"/>
      <c r="H368" s="1880"/>
      <c r="I368" s="1880"/>
      <c r="J368" s="1880"/>
      <c r="K368" s="1880"/>
      <c r="L368" s="1880"/>
      <c r="M368" s="1880"/>
      <c r="N368" s="1880"/>
      <c r="O368" s="1880"/>
      <c r="P368" s="1880"/>
      <c r="Q368" s="1880"/>
      <c r="R368" s="1880"/>
      <c r="S368" s="1880"/>
      <c r="T368" s="1880"/>
      <c r="U368" s="1880"/>
      <c r="V368" s="1880"/>
      <c r="W368" s="1880"/>
      <c r="X368" s="1880"/>
      <c r="Y368" s="1880"/>
      <c r="Z368" s="1880"/>
      <c r="AA368" s="1880"/>
      <c r="AB368" s="1880"/>
      <c r="AC368" s="1880"/>
      <c r="AD368" s="1880"/>
      <c r="AE368" s="1880"/>
      <c r="AF368" s="1880"/>
      <c r="AG368" s="1880"/>
      <c r="AH368" s="1880"/>
      <c r="AI368" s="1880"/>
      <c r="AJ368" s="1880"/>
      <c r="AK368" s="1880"/>
      <c r="AL368" s="1880"/>
    </row>
    <row r="369" spans="1:38" s="1882" customFormat="1">
      <c r="A369"/>
      <c r="B369" s="5"/>
      <c r="C369"/>
      <c r="D369"/>
      <c r="E369" s="1881" t="s">
        <v>1489</v>
      </c>
    </row>
    <row r="370" spans="1:38" s="188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3" t="s">
        <v>1501</v>
      </c>
      <c r="G388" s="1873"/>
      <c r="H388" s="1873"/>
      <c r="I388" s="1873"/>
      <c r="J388" s="1873"/>
      <c r="K388" s="1873"/>
      <c r="L388" s="1873"/>
      <c r="M388" s="1873"/>
      <c r="N388" s="1873"/>
      <c r="O388" s="1873"/>
      <c r="P388" s="1873"/>
      <c r="Q388" s="1873"/>
      <c r="R388" s="1873"/>
      <c r="S388" s="1873"/>
      <c r="T388" s="1873"/>
      <c r="U388" s="1873"/>
      <c r="V388" s="1873"/>
      <c r="W388" s="1873"/>
      <c r="X388" s="1873"/>
      <c r="Y388" s="1873"/>
      <c r="Z388" s="1873"/>
      <c r="AA388" s="1873"/>
      <c r="AB388" s="1873"/>
      <c r="AC388" s="1873"/>
      <c r="AD388" s="1873"/>
      <c r="AE388" s="1873"/>
      <c r="AF388" s="1873"/>
      <c r="AG388" s="1873"/>
      <c r="AH388" s="1873"/>
      <c r="AI388" s="1873"/>
      <c r="AJ388" s="1873"/>
      <c r="AK388" s="1873"/>
      <c r="AL388" s="677"/>
    </row>
    <row r="389" spans="1:38" s="717" customFormat="1">
      <c r="A389" s="677"/>
      <c r="B389" s="183"/>
      <c r="C389" s="677"/>
      <c r="D389" s="677"/>
      <c r="E389" s="678"/>
      <c r="F389" s="1873"/>
      <c r="G389" s="1873"/>
      <c r="H389" s="1873"/>
      <c r="I389" s="1873"/>
      <c r="J389" s="1873"/>
      <c r="K389" s="1873"/>
      <c r="L389" s="1873"/>
      <c r="M389" s="1873"/>
      <c r="N389" s="1873"/>
      <c r="O389" s="1873"/>
      <c r="P389" s="1873"/>
      <c r="Q389" s="1873"/>
      <c r="R389" s="1873"/>
      <c r="S389" s="1873"/>
      <c r="T389" s="1873"/>
      <c r="U389" s="1873"/>
      <c r="V389" s="1873"/>
      <c r="W389" s="1873"/>
      <c r="X389" s="1873"/>
      <c r="Y389" s="1873"/>
      <c r="Z389" s="1873"/>
      <c r="AA389" s="1873"/>
      <c r="AB389" s="1873"/>
      <c r="AC389" s="1873"/>
      <c r="AD389" s="1873"/>
      <c r="AE389" s="1873"/>
      <c r="AF389" s="1873"/>
      <c r="AG389" s="1873"/>
      <c r="AH389" s="1873"/>
      <c r="AI389" s="1873"/>
      <c r="AJ389" s="1873"/>
      <c r="AK389" s="1873"/>
      <c r="AL389" s="677"/>
    </row>
    <row r="390" spans="1:38" s="717" customFormat="1">
      <c r="A390" s="677"/>
      <c r="B390" s="183"/>
      <c r="C390" s="677"/>
      <c r="D390" s="677"/>
      <c r="E390" s="678"/>
      <c r="F390" s="1873"/>
      <c r="G390" s="1873"/>
      <c r="H390" s="1873"/>
      <c r="I390" s="1873"/>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1873"/>
      <c r="AF390" s="1873"/>
      <c r="AG390" s="1873"/>
      <c r="AH390" s="1873"/>
      <c r="AI390" s="1873"/>
      <c r="AJ390" s="1873"/>
      <c r="AK390" s="187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1" t="s">
        <v>1878</v>
      </c>
      <c r="B1" s="3271"/>
      <c r="C1" s="3271"/>
      <c r="D1" s="3271"/>
      <c r="E1" s="3271"/>
      <c r="F1" s="3271"/>
      <c r="G1" s="3271"/>
      <c r="H1" s="3271"/>
      <c r="I1" s="3271"/>
    </row>
    <row r="2" spans="1:11" ht="15">
      <c r="A2" s="1336"/>
      <c r="B2" s="1336"/>
      <c r="E2" s="1337"/>
      <c r="I2" s="1339"/>
      <c r="K2" s="1340"/>
    </row>
    <row r="3" spans="1:11">
      <c r="A3" s="1341" t="s">
        <v>1585</v>
      </c>
      <c r="B3" s="1341"/>
      <c r="C3" s="1334" t="s">
        <v>2179</v>
      </c>
      <c r="E3" s="1825">
        <f>ROUND(Application!AM564+'Basis &amp; Credits'!AB77,0)</f>
        <v>26638727</v>
      </c>
      <c r="F3" s="1342"/>
      <c r="K3" s="1413"/>
    </row>
    <row r="4" spans="1:11" s="1343" customFormat="1" ht="15" customHeight="1">
      <c r="C4" s="1343" t="s">
        <v>1879</v>
      </c>
      <c r="E4" s="1419">
        <f>Application!AD1037</f>
        <v>6.1403508771929821E-2</v>
      </c>
      <c r="F4" s="1344"/>
      <c r="H4" s="1345"/>
      <c r="K4" s="1631"/>
    </row>
    <row r="5" spans="1:11" s="1346" customFormat="1" ht="15" customHeight="1">
      <c r="A5" s="3272"/>
      <c r="B5" s="3272"/>
      <c r="D5" s="1346" t="s">
        <v>2180</v>
      </c>
      <c r="E5" s="1347">
        <f>IF('CDLAC Points System'!C274="Yes",0.2,0)</f>
        <v>0</v>
      </c>
      <c r="F5" s="1344"/>
      <c r="H5" s="1345"/>
      <c r="K5" s="1632"/>
    </row>
    <row r="6" spans="1:11" s="1346" customFormat="1" ht="15" customHeight="1">
      <c r="A6" s="1495"/>
      <c r="B6" s="1495"/>
      <c r="D6" s="1346" t="s">
        <v>2181</v>
      </c>
      <c r="E6" s="1347" t="str">
        <f>IF(AND((Application!W464&gt;=(0.5*Application!G753)),Application!D210="Special Needs",(OR(Application!M354="Yes",Application!M355="Yes"))),0.2," ")</f>
        <v xml:space="preserve"> </v>
      </c>
      <c r="F6" s="1344"/>
      <c r="H6" s="1345"/>
      <c r="K6" s="1632"/>
    </row>
    <row r="7" spans="1:11" ht="15">
      <c r="A7" s="1336"/>
      <c r="B7" s="1336"/>
      <c r="C7" s="1334" t="s">
        <v>2183</v>
      </c>
      <c r="E7" s="1417">
        <f>E3-(E3*(E4+(MAX(E5,E6))))</f>
        <v>25003015.692982458</v>
      </c>
      <c r="F7" s="1342"/>
      <c r="I7" s="1348"/>
      <c r="K7" s="1633"/>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135</v>
      </c>
      <c r="G12" s="1361">
        <v>1</v>
      </c>
      <c r="H12" s="1362"/>
      <c r="I12" s="1363">
        <f>E12*G12</f>
        <v>135</v>
      </c>
      <c r="J12" s="1354"/>
    </row>
    <row r="13" spans="1:11" ht="15">
      <c r="A13" s="1336"/>
      <c r="B13" s="1336"/>
      <c r="C13" s="1354" t="s">
        <v>1888</v>
      </c>
      <c r="D13" s="1354"/>
      <c r="E13" s="1414">
        <f>Application!BX635+Application!BX644+Application!DC658</f>
        <v>15</v>
      </c>
      <c r="G13" s="1361">
        <v>1.25</v>
      </c>
      <c r="H13" s="1362"/>
      <c r="I13" s="1363">
        <f>E13*G13</f>
        <v>18.75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150</v>
      </c>
      <c r="G16" s="1337"/>
      <c r="I16" s="1418">
        <f>SUM(I11:I15)</f>
        <v>153.75</v>
      </c>
    </row>
    <row r="17" spans="1:9" ht="15">
      <c r="A17" s="1336"/>
      <c r="B17" s="1336"/>
      <c r="E17" s="1337"/>
      <c r="I17" s="1365"/>
    </row>
    <row r="18" spans="1:9" ht="15">
      <c r="A18" s="1341" t="s">
        <v>1590</v>
      </c>
      <c r="B18" s="1341"/>
      <c r="C18" s="1366" t="s">
        <v>1891</v>
      </c>
      <c r="D18" s="1338"/>
      <c r="E18" s="1367">
        <f>E7/I16</f>
        <v>162621.2402795607</v>
      </c>
      <c r="F18" s="1368"/>
      <c r="G18" s="1369"/>
      <c r="H18" s="1370"/>
      <c r="I18" s="1365"/>
    </row>
    <row r="21" spans="1:9" ht="14.25" customHeight="1">
      <c r="A21" s="3273" t="s">
        <v>2178</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150" zoomScaleNormal="100" zoomScaleSheetLayoutView="150" workbookViewId="0">
      <selection activeCell="Y68" sqref="Y68:AC68"/>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46530977</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1" t="s">
        <v>530</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4" t="s">
        <v>531</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4" t="s">
        <v>532</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4" t="s">
        <v>533</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4" t="s">
        <v>864</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4" t="s">
        <v>534</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9" t="s">
        <v>1039</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9" t="s">
        <v>1039</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6" t="s">
        <v>535</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6" t="s">
        <v>1494</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6" t="s">
        <v>536</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9" t="s">
        <v>537</v>
      </c>
      <c r="C23" s="3290"/>
      <c r="D23" s="3290"/>
      <c r="E23" s="3290"/>
      <c r="F23" s="3290"/>
      <c r="G23" s="3290"/>
      <c r="H23" s="3290"/>
      <c r="I23" s="3290"/>
      <c r="J23" s="3290"/>
      <c r="K23" s="3290"/>
      <c r="L23" s="3290"/>
      <c r="M23" s="3290"/>
      <c r="N23" s="3290"/>
      <c r="O23" s="3290"/>
      <c r="P23" s="3290"/>
      <c r="Q23" s="3290"/>
      <c r="R23" s="3290"/>
      <c r="S23" s="3291"/>
      <c r="T23" s="3279">
        <f>T11+T22</f>
        <v>46530977</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6" t="s">
        <v>1040</v>
      </c>
      <c r="C24" s="3287"/>
      <c r="D24" s="3287"/>
      <c r="E24" s="3287"/>
      <c r="F24" s="3287"/>
      <c r="G24" s="3287"/>
      <c r="H24" s="3287"/>
      <c r="I24" s="3287"/>
      <c r="J24" s="3287"/>
      <c r="K24" s="3287"/>
      <c r="L24" s="3287"/>
      <c r="M24" s="3287"/>
      <c r="N24" s="3287"/>
      <c r="O24" s="3287"/>
      <c r="P24" s="3287"/>
      <c r="Q24" s="3287"/>
      <c r="R24" s="3287"/>
      <c r="S24" s="3288"/>
      <c r="T24" s="3281">
        <f>Application!AJ1032</f>
        <v>93346263.849999994</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3" t="s">
        <v>1495</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6" t="s">
        <v>538</v>
      </c>
      <c r="C26" s="3287"/>
      <c r="D26" s="3287"/>
      <c r="E26" s="3287"/>
      <c r="F26" s="3287"/>
      <c r="G26" s="3287"/>
      <c r="H26" s="3287"/>
      <c r="I26" s="3287"/>
      <c r="J26" s="3287"/>
      <c r="K26" s="3287"/>
      <c r="L26" s="3287"/>
      <c r="M26" s="3287"/>
      <c r="N26" s="3287"/>
      <c r="O26" s="3287"/>
      <c r="P26" s="3287"/>
      <c r="Q26" s="3287"/>
      <c r="R26" s="3287"/>
      <c r="S26" s="3288"/>
      <c r="T26" s="3330">
        <f>T23*T25</f>
        <v>60490270.100000001</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299">
        <f>IF(ISERROR((T26*T27)),0,(T26*T27))</f>
        <v>60490270.100000001</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6" t="s">
        <v>556</v>
      </c>
      <c r="C29" s="3287"/>
      <c r="D29" s="3287"/>
      <c r="E29" s="3287"/>
      <c r="F29" s="3287"/>
      <c r="G29" s="3287"/>
      <c r="H29" s="3287"/>
      <c r="I29" s="3287"/>
      <c r="J29" s="3287"/>
      <c r="K29" s="3287"/>
      <c r="L29" s="3287"/>
      <c r="M29" s="3287"/>
      <c r="N29" s="3287"/>
      <c r="O29" s="3287"/>
      <c r="P29" s="3287"/>
      <c r="Q29" s="3287"/>
      <c r="R29" s="3287"/>
      <c r="S29" s="3288"/>
      <c r="T29" s="3281">
        <f>T28+Y28+AD28+AI28</f>
        <v>60490270.100000001</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1497</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1496</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1345</v>
      </c>
      <c r="Z35" s="3318"/>
      <c r="AA35" s="3318"/>
      <c r="AB35" s="3318"/>
      <c r="AC35" s="3318"/>
      <c r="AD35" s="3344" t="s">
        <v>380</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60490270.100000001</v>
      </c>
      <c r="Z38" s="3280"/>
      <c r="AA38" s="3280"/>
      <c r="AB38" s="3280"/>
      <c r="AC38" s="3280"/>
      <c r="AD38" s="3280">
        <f>IF(T24&gt;=(T23+Y23+AD23+AI23),AD28+AI28,0)</f>
        <v>0</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6" t="s">
        <v>2177</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2419611</v>
      </c>
      <c r="Z40" s="3280"/>
      <c r="AA40" s="3280"/>
      <c r="AB40" s="3280"/>
      <c r="AC40" s="3280"/>
      <c r="AD40" s="3279">
        <f>ROUND(AD38*AD39,0)</f>
        <v>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2419611</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4" t="s">
        <v>1511</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53072424</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31357717</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21714707</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f>AB49/(Y41*10)</f>
        <v>0.89744620106289807</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2373</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24196110</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2419611</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2419611</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21714707</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0</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3" t="s">
        <v>1067</v>
      </c>
      <c r="Z63" s="3333"/>
      <c r="AA63" s="3333"/>
      <c r="AB63" s="3333"/>
      <c r="AC63" s="3333"/>
      <c r="AD63" s="3333" t="s">
        <v>380</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46530977</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2">
        <f>ROUND(Y64*Y67,0)</f>
        <v>13959293</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1482</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0</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0</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0</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4"/>
      <c r="Z85" s="619"/>
      <c r="AA85" s="619"/>
      <c r="AB85" s="619"/>
      <c r="AC85" s="619"/>
      <c r="AD85" s="619"/>
      <c r="AE85" s="619"/>
      <c r="AF85" s="619"/>
      <c r="AG85" s="619"/>
      <c r="AH85" s="619"/>
    </row>
    <row r="86" spans="1:98" ht="12.75">
      <c r="D86" s="334"/>
      <c r="Z86" s="619"/>
      <c r="AA86" s="619"/>
      <c r="AB86" s="3285"/>
      <c r="AC86" s="3285"/>
      <c r="AD86" s="3285"/>
      <c r="AE86" s="3285"/>
      <c r="AF86" s="3285"/>
      <c r="AG86" s="619"/>
      <c r="AH86" s="619"/>
    </row>
    <row r="87" spans="1:98" ht="13.5"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5"/>
  <sheetViews>
    <sheetView showGridLines="0" topLeftCell="A10" zoomScaleNormal="100" zoomScaleSheetLayoutView="80" workbookViewId="0">
      <selection activeCell="G19" sqref="G19"/>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7" t="s">
        <v>1935</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1936</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1937</v>
      </c>
      <c r="D7" s="1426"/>
      <c r="E7" s="3359" t="str">
        <f>Application!H16</f>
        <v>Wong Center at the Railyard, L.P.</v>
      </c>
      <c r="F7" s="3359"/>
      <c r="G7" s="3359"/>
      <c r="H7" s="1426"/>
      <c r="I7" s="1427" t="s">
        <v>1938</v>
      </c>
      <c r="J7" s="1428">
        <f>Application!AG437+Application!AG439</f>
        <v>149</v>
      </c>
    </row>
    <row r="8" spans="1:33">
      <c r="C8" s="1427" t="s">
        <v>1939</v>
      </c>
      <c r="D8" s="1426"/>
      <c r="E8" s="3359" t="str">
        <f>Application!H18</f>
        <v>The Wong Center</v>
      </c>
      <c r="F8" s="3359"/>
      <c r="G8" s="3359"/>
      <c r="H8" s="1426"/>
      <c r="I8" s="1427" t="s">
        <v>1940</v>
      </c>
      <c r="J8" s="1429">
        <f>Application!CS663</f>
        <v>163</v>
      </c>
    </row>
    <row r="9" spans="1:33" ht="14.25" customHeight="1">
      <c r="C9" s="1427" t="s">
        <v>1941</v>
      </c>
      <c r="D9" s="1426"/>
      <c r="E9" s="3360" t="str">
        <f>Application!D210</f>
        <v>Non-Targeted</v>
      </c>
      <c r="F9" s="3360"/>
      <c r="G9" s="3360"/>
      <c r="H9" s="1426"/>
      <c r="I9" s="1427" t="s">
        <v>1942</v>
      </c>
      <c r="J9" s="1430"/>
      <c r="N9" s="1431"/>
    </row>
    <row r="10" spans="1:33" ht="26.85" customHeight="1">
      <c r="C10" s="3358" t="s">
        <v>1943</v>
      </c>
      <c r="D10" s="3358"/>
      <c r="E10" s="3361" t="str">
        <f>Application!D213</f>
        <v>N/A</v>
      </c>
      <c r="F10" s="3361"/>
      <c r="G10" s="3361"/>
      <c r="H10" s="1426"/>
      <c r="I10" s="1432" t="s">
        <v>1944</v>
      </c>
      <c r="J10" s="1433">
        <f>IF(J9&gt;0,J8-J9,J8)</f>
        <v>163</v>
      </c>
      <c r="N10" s="1431"/>
    </row>
    <row r="11" spans="1:33">
      <c r="C11" s="1434"/>
      <c r="N11" s="1431"/>
    </row>
    <row r="12" spans="1:33" ht="15" customHeight="1">
      <c r="C12" s="3362" t="s">
        <v>1945</v>
      </c>
      <c r="D12" s="3363"/>
      <c r="E12" s="3364"/>
      <c r="F12" s="3355" t="s">
        <v>1946</v>
      </c>
      <c r="G12" s="3355" t="s">
        <v>1947</v>
      </c>
      <c r="H12" s="3368" t="s">
        <v>2159</v>
      </c>
      <c r="I12" s="3355" t="s">
        <v>2158</v>
      </c>
      <c r="J12" s="3355" t="s">
        <v>1948</v>
      </c>
      <c r="N12" s="1431"/>
    </row>
    <row r="13" spans="1:33" ht="68.25" customHeight="1">
      <c r="C13" s="3365"/>
      <c r="D13" s="3366"/>
      <c r="E13" s="3367"/>
      <c r="F13" s="3356"/>
      <c r="G13" s="3356"/>
      <c r="H13" s="3369"/>
      <c r="I13" s="3356"/>
      <c r="J13" s="3356"/>
    </row>
    <row r="14" spans="1:33" ht="15" customHeight="1">
      <c r="C14" s="1435" t="s">
        <v>1949</v>
      </c>
      <c r="D14" s="1436"/>
      <c r="E14" s="1436"/>
      <c r="F14" s="1437"/>
      <c r="G14" s="1437"/>
      <c r="H14" s="1438"/>
      <c r="I14" s="1438"/>
      <c r="J14" s="1438"/>
    </row>
    <row r="15" spans="1:33">
      <c r="C15" s="1439" t="s">
        <v>1950</v>
      </c>
      <c r="D15" s="1424" t="s">
        <v>2608</v>
      </c>
      <c r="F15" s="1859">
        <v>0.27</v>
      </c>
      <c r="G15" s="1860">
        <v>21224.23</v>
      </c>
      <c r="H15" s="1858" t="s">
        <v>2605</v>
      </c>
      <c r="I15" s="1858" t="s">
        <v>2606</v>
      </c>
      <c r="J15" s="1858" t="s">
        <v>2519</v>
      </c>
    </row>
    <row r="16" spans="1:33" s="1856" customFormat="1">
      <c r="C16" s="1857" t="s">
        <v>1951</v>
      </c>
      <c r="D16" s="1856" t="s">
        <v>2657</v>
      </c>
      <c r="F16" s="1859">
        <v>0.23</v>
      </c>
      <c r="G16" s="1860">
        <v>15338.77</v>
      </c>
      <c r="H16" s="1858" t="s">
        <v>2605</v>
      </c>
      <c r="I16" s="1858" t="s">
        <v>2606</v>
      </c>
      <c r="J16" s="1858" t="s">
        <v>2519</v>
      </c>
    </row>
    <row r="17" spans="3:10">
      <c r="C17" s="1439" t="s">
        <v>1836</v>
      </c>
      <c r="D17" s="1424" t="s">
        <v>1952</v>
      </c>
      <c r="F17" s="1859"/>
      <c r="G17" s="1860"/>
      <c r="H17" s="1858"/>
      <c r="I17" s="1858"/>
      <c r="J17" s="1858"/>
    </row>
    <row r="18" spans="3:10">
      <c r="C18" s="1439" t="s">
        <v>1954</v>
      </c>
      <c r="D18" s="1424" t="s">
        <v>1953</v>
      </c>
      <c r="F18" s="1864"/>
      <c r="G18" s="1867"/>
      <c r="H18" s="1867"/>
      <c r="I18" s="1867"/>
      <c r="J18" s="1863"/>
    </row>
    <row r="19" spans="3:10">
      <c r="C19" s="1439" t="s">
        <v>1955</v>
      </c>
      <c r="D19" s="1425" t="s">
        <v>2609</v>
      </c>
      <c r="E19" s="1425"/>
      <c r="F19" s="1865"/>
      <c r="G19" s="1861">
        <v>2500</v>
      </c>
      <c r="H19" s="1862" t="s">
        <v>2605</v>
      </c>
      <c r="I19" s="1862" t="s">
        <v>2606</v>
      </c>
      <c r="J19" s="1866" t="s">
        <v>2607</v>
      </c>
    </row>
    <row r="20" spans="3:10">
      <c r="C20" s="1439" t="s">
        <v>1957</v>
      </c>
      <c r="D20" s="1425" t="s">
        <v>1956</v>
      </c>
      <c r="E20" s="1425"/>
      <c r="F20" s="1440"/>
      <c r="G20" s="1442"/>
      <c r="H20" s="1441"/>
      <c r="I20" s="1441"/>
      <c r="J20" s="1441"/>
    </row>
    <row r="21" spans="3:10">
      <c r="C21" s="1439" t="s">
        <v>1960</v>
      </c>
      <c r="D21" s="1425" t="s">
        <v>1958</v>
      </c>
      <c r="E21" s="1443"/>
      <c r="F21" s="1444"/>
      <c r="G21" s="1442"/>
      <c r="H21" s="1441"/>
      <c r="I21" s="1441"/>
      <c r="J21" s="1441"/>
    </row>
    <row r="22" spans="3:10">
      <c r="C22" s="1445"/>
      <c r="D22" s="1446"/>
      <c r="E22" s="1447"/>
      <c r="F22" s="1444"/>
      <c r="G22" s="1442"/>
      <c r="H22" s="1441"/>
      <c r="I22" s="1441"/>
      <c r="J22" s="1441"/>
    </row>
    <row r="23" spans="3:10">
      <c r="C23" s="1448" t="s">
        <v>1959</v>
      </c>
      <c r="D23" s="1449"/>
      <c r="E23" s="1449"/>
      <c r="F23" s="1450"/>
      <c r="G23" s="1451"/>
      <c r="H23" s="1452"/>
      <c r="I23" s="1452"/>
      <c r="J23" s="1452"/>
    </row>
    <row r="24" spans="3:10">
      <c r="C24" s="1439" t="s">
        <v>1960</v>
      </c>
      <c r="D24" s="1425" t="s">
        <v>1961</v>
      </c>
      <c r="E24" s="1425"/>
      <c r="F24" s="1440"/>
      <c r="G24" s="1442"/>
      <c r="H24" s="1441"/>
      <c r="I24" s="1441"/>
      <c r="J24" s="1441"/>
    </row>
    <row r="25" spans="3:10">
      <c r="C25" s="1439" t="s">
        <v>1962</v>
      </c>
      <c r="D25" s="1425" t="s">
        <v>1963</v>
      </c>
      <c r="E25" s="1425"/>
      <c r="F25" s="1440"/>
      <c r="G25" s="1442"/>
      <c r="H25" s="1441"/>
      <c r="I25" s="1441"/>
      <c r="J25" s="1441"/>
    </row>
    <row r="26" spans="3:10">
      <c r="C26" s="1439" t="s">
        <v>1964</v>
      </c>
      <c r="D26" s="1424" t="s">
        <v>1953</v>
      </c>
      <c r="E26" s="1425"/>
      <c r="F26" s="1440"/>
      <c r="G26" s="1442"/>
      <c r="H26" s="1441"/>
      <c r="I26" s="1441"/>
      <c r="J26" s="1441"/>
    </row>
    <row r="27" spans="3:10">
      <c r="C27" s="1439" t="s">
        <v>1965</v>
      </c>
      <c r="D27" s="1425" t="s">
        <v>1966</v>
      </c>
      <c r="E27" s="1425"/>
      <c r="F27" s="1440"/>
      <c r="G27" s="1442"/>
      <c r="H27" s="1441"/>
      <c r="I27" s="1441"/>
      <c r="J27" s="1441"/>
    </row>
    <row r="28" spans="3:10">
      <c r="C28" s="1439" t="s">
        <v>1967</v>
      </c>
      <c r="D28" s="1425" t="s">
        <v>1956</v>
      </c>
      <c r="E28" s="1425"/>
      <c r="F28" s="1440"/>
      <c r="G28" s="1442"/>
      <c r="H28" s="1441"/>
      <c r="I28" s="1441"/>
      <c r="J28" s="1441"/>
    </row>
    <row r="29" spans="3:10">
      <c r="C29" s="1439" t="s">
        <v>1968</v>
      </c>
      <c r="D29" s="1425" t="s">
        <v>1958</v>
      </c>
      <c r="E29" s="1425"/>
      <c r="F29" s="1440"/>
      <c r="G29" s="1442"/>
      <c r="H29" s="1441"/>
      <c r="I29" s="1441"/>
      <c r="J29" s="1441"/>
    </row>
    <row r="30" spans="3:10">
      <c r="C30" s="1453"/>
      <c r="D30" s="1434"/>
      <c r="E30" s="1434"/>
      <c r="F30" s="1440"/>
      <c r="G30" s="1442"/>
      <c r="H30" s="1441"/>
      <c r="I30" s="1441"/>
      <c r="J30" s="1441"/>
    </row>
    <row r="31" spans="3:10" ht="15">
      <c r="C31" s="1454" t="s">
        <v>1969</v>
      </c>
      <c r="D31" s="1449"/>
      <c r="E31" s="1449"/>
      <c r="F31" s="1455"/>
      <c r="G31" s="1456"/>
      <c r="H31" s="1457"/>
      <c r="I31" s="1457"/>
      <c r="J31" s="1457"/>
    </row>
    <row r="32" spans="3:10">
      <c r="C32" s="1439"/>
      <c r="D32" s="1458"/>
      <c r="E32" s="1458"/>
      <c r="F32" s="1440"/>
      <c r="G32" s="1442"/>
      <c r="H32" s="1441"/>
      <c r="I32" s="1441"/>
      <c r="J32" s="1441"/>
    </row>
    <row r="33" spans="3:10">
      <c r="C33" s="1439"/>
      <c r="D33" s="1458"/>
      <c r="E33" s="1458"/>
      <c r="F33" s="1440"/>
      <c r="G33" s="1442"/>
      <c r="H33" s="1441"/>
      <c r="I33" s="1441"/>
      <c r="J33" s="1441"/>
    </row>
    <row r="34" spans="3:10">
      <c r="C34" s="1439"/>
      <c r="D34" s="1459"/>
      <c r="E34" s="1458"/>
      <c r="F34" s="1440"/>
      <c r="G34" s="1442"/>
      <c r="H34" s="1441"/>
      <c r="I34" s="1441"/>
      <c r="J34" s="1441"/>
    </row>
    <row r="35" spans="3:10">
      <c r="C35" s="1439"/>
      <c r="F35" s="1460"/>
      <c r="G35" s="1460"/>
      <c r="H35" s="1460"/>
      <c r="I35" s="1460"/>
      <c r="J35" s="1460"/>
    </row>
    <row r="36" spans="3:10" ht="15">
      <c r="C36" s="1461" t="s">
        <v>968</v>
      </c>
      <c r="D36" s="1462"/>
      <c r="E36" s="1462"/>
      <c r="F36" s="1463"/>
      <c r="G36" s="1464">
        <f>SUM(G15:G34)</f>
        <v>39063</v>
      </c>
      <c r="H36" s="1465"/>
      <c r="I36" s="1465"/>
      <c r="J36" s="1465"/>
    </row>
    <row r="37" spans="3:10"/>
    <row r="38" spans="3:10" ht="16.5">
      <c r="C38" s="1466" t="s">
        <v>1970</v>
      </c>
    </row>
    <row r="39" spans="3:10" s="1468" customFormat="1" ht="17.25" customHeight="1">
      <c r="C39" s="1467" t="s">
        <v>1971</v>
      </c>
    </row>
    <row r="40" spans="3:10" s="1468" customFormat="1" ht="15">
      <c r="C40" s="1468" t="s">
        <v>1972</v>
      </c>
    </row>
    <row r="41" spans="3:10" s="1468" customFormat="1"/>
    <row r="42" spans="3:10" s="1468" customFormat="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1468" customFormat="1" hidden="1"/>
    <row r="55"/>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106" zoomScaleNormal="106" zoomScaleSheetLayoutView="100" workbookViewId="0">
      <selection activeCell="A65" sqref="A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1431240</v>
      </c>
      <c r="G4" s="354">
        <f>E4*$C$4</f>
        <v>1467020.9999999998</v>
      </c>
      <c r="I4" s="354">
        <f>G4*$C$4</f>
        <v>1503696.5249999997</v>
      </c>
      <c r="K4" s="354">
        <f>I4*$C$4</f>
        <v>1541288.9381249996</v>
      </c>
      <c r="M4" s="354">
        <f>K4*$C$4</f>
        <v>1579821.1615781244</v>
      </c>
      <c r="O4" s="354">
        <f>M4*$C$4</f>
        <v>1619316.6906175774</v>
      </c>
      <c r="Q4" s="354">
        <f>O4*$C$4</f>
        <v>1659799.6078830168</v>
      </c>
      <c r="S4" s="354">
        <f>Q4*$C$4</f>
        <v>1701294.5980800921</v>
      </c>
      <c r="U4" s="354">
        <f>S4*$C$4</f>
        <v>1743826.9630320943</v>
      </c>
      <c r="W4" s="354">
        <f>U4*$C$4</f>
        <v>1787422.6371078964</v>
      </c>
      <c r="Y4" s="354">
        <f>W4*$C$4</f>
        <v>1832108.2030355937</v>
      </c>
      <c r="AA4" s="354">
        <f>Y4*$C$4</f>
        <v>1877910.9081114833</v>
      </c>
      <c r="AC4" s="354">
        <f>AA4*$C$4</f>
        <v>1924858.6808142702</v>
      </c>
      <c r="AE4" s="354">
        <f>AC4*$C$4</f>
        <v>1972980.1478346267</v>
      </c>
      <c r="AG4" s="354">
        <f>AE4*$C$4</f>
        <v>2022304.6515304921</v>
      </c>
    </row>
    <row r="5" spans="1:34" s="339" customFormat="1" ht="14.25">
      <c r="B5" s="339" t="s">
        <v>901</v>
      </c>
      <c r="C5" s="375">
        <f>IF(Application!$D$210="Special Needs",0.1,0.05)</f>
        <v>0.05</v>
      </c>
      <c r="E5" s="356">
        <f>-E4*$C$5</f>
        <v>-71562</v>
      </c>
      <c r="F5" s="356"/>
      <c r="G5" s="356">
        <f>-G4*$C$5</f>
        <v>-73351.049999999988</v>
      </c>
      <c r="H5" s="356"/>
      <c r="I5" s="356">
        <f>-I4*$C$5</f>
        <v>-75184.826249999984</v>
      </c>
      <c r="J5" s="356"/>
      <c r="K5" s="356">
        <f>-K4*$C$5</f>
        <v>-77064.446906249985</v>
      </c>
      <c r="L5" s="356"/>
      <c r="M5" s="356">
        <f>-M4*$C$5</f>
        <v>-78991.058078906222</v>
      </c>
      <c r="N5" s="356"/>
      <c r="O5" s="356">
        <f>-O4*$C$5</f>
        <v>-80965.83453087887</v>
      </c>
      <c r="P5" s="356"/>
      <c r="Q5" s="356">
        <f>-Q4*$C$5</f>
        <v>-82989.980394150843</v>
      </c>
      <c r="R5" s="356"/>
      <c r="S5" s="356">
        <f>-S4*$C$5</f>
        <v>-85064.729904004605</v>
      </c>
      <c r="T5" s="356"/>
      <c r="U5" s="356">
        <f>-U4*$C$5</f>
        <v>-87191.348151604718</v>
      </c>
      <c r="V5" s="356"/>
      <c r="W5" s="356">
        <f>-W4*$C$5</f>
        <v>-89371.131855394822</v>
      </c>
      <c r="X5" s="356"/>
      <c r="Y5" s="356">
        <f>-Y4*$C$5</f>
        <v>-91605.410151779695</v>
      </c>
      <c r="Z5" s="356"/>
      <c r="AA5" s="356">
        <f>-AA4*$C$5</f>
        <v>-93895.545405574172</v>
      </c>
      <c r="AB5" s="356"/>
      <c r="AC5" s="356">
        <f>-AC4*$C$5</f>
        <v>-96242.934040713517</v>
      </c>
      <c r="AD5" s="356"/>
      <c r="AE5" s="356">
        <f>-AE4*$C$5</f>
        <v>-98649.007391731342</v>
      </c>
      <c r="AF5" s="356"/>
      <c r="AG5" s="356">
        <f>-AG4*$C$5</f>
        <v>-101115.23257652461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13000</v>
      </c>
      <c r="F8" s="357"/>
      <c r="G8" s="357">
        <f>E8*$C$8</f>
        <v>13324.999999999998</v>
      </c>
      <c r="H8" s="357"/>
      <c r="I8" s="357">
        <f>G8*$C$8</f>
        <v>13658.124999999996</v>
      </c>
      <c r="J8" s="357"/>
      <c r="K8" s="357">
        <f>I8*$C$8</f>
        <v>13999.578124999995</v>
      </c>
      <c r="L8" s="357"/>
      <c r="M8" s="357">
        <f>K8*$C$8</f>
        <v>14349.567578124994</v>
      </c>
      <c r="N8" s="357"/>
      <c r="O8" s="357">
        <f>M8*$C$8</f>
        <v>14708.306767578117</v>
      </c>
      <c r="P8" s="357"/>
      <c r="Q8" s="357">
        <f>O8*$C$8</f>
        <v>15076.014436767568</v>
      </c>
      <c r="R8" s="357"/>
      <c r="S8" s="357">
        <f>Q8*$C$8</f>
        <v>15452.914797686755</v>
      </c>
      <c r="T8" s="357"/>
      <c r="U8" s="357">
        <f>S8*$C$8</f>
        <v>15839.237667628922</v>
      </c>
      <c r="V8" s="357"/>
      <c r="W8" s="357">
        <f>U8*$C$8</f>
        <v>16235.218609319643</v>
      </c>
      <c r="X8" s="357"/>
      <c r="Y8" s="357">
        <f>W8*$C$8</f>
        <v>16641.099074552632</v>
      </c>
      <c r="Z8" s="357"/>
      <c r="AA8" s="357">
        <f>Y8*$C$8</f>
        <v>17057.126551416448</v>
      </c>
      <c r="AB8" s="357"/>
      <c r="AC8" s="357">
        <f>AA8*$C$8</f>
        <v>17483.554715201859</v>
      </c>
      <c r="AD8" s="357"/>
      <c r="AE8" s="357">
        <f>AC8*$C$8</f>
        <v>17920.643583081903</v>
      </c>
      <c r="AF8" s="357"/>
      <c r="AG8" s="357">
        <f>AE8*$C$8</f>
        <v>18368.659672658949</v>
      </c>
    </row>
    <row r="9" spans="1:34" s="339" customFormat="1" ht="14.25">
      <c r="B9" s="339" t="s">
        <v>901</v>
      </c>
      <c r="C9" s="375">
        <f>IF(Application!$D$210="Special Needs",0.1,0.05)</f>
        <v>0.05</v>
      </c>
      <c r="E9" s="373">
        <f>-E8*$C$9</f>
        <v>-650</v>
      </c>
      <c r="F9" s="356"/>
      <c r="G9" s="373">
        <f>-G8*$C$9</f>
        <v>-666.25</v>
      </c>
      <c r="H9" s="356"/>
      <c r="I9" s="373">
        <f>-I8*$C$9</f>
        <v>-682.90624999999989</v>
      </c>
      <c r="J9" s="356"/>
      <c r="K9" s="373">
        <f>-K8*$C$9</f>
        <v>-699.9789062499998</v>
      </c>
      <c r="L9" s="356"/>
      <c r="M9" s="373">
        <f>-M8*$C$9</f>
        <v>-717.47837890624976</v>
      </c>
      <c r="N9" s="356"/>
      <c r="O9" s="373">
        <f>-O8*$C$9</f>
        <v>-735.41533837890586</v>
      </c>
      <c r="P9" s="356"/>
      <c r="Q9" s="373">
        <f>-Q8*$C$9</f>
        <v>-753.80072183837842</v>
      </c>
      <c r="R9" s="356"/>
      <c r="S9" s="373">
        <f>-S8*$C$9</f>
        <v>-772.64573988433779</v>
      </c>
      <c r="T9" s="356"/>
      <c r="U9" s="373">
        <f>-U8*$C$9</f>
        <v>-791.96188338144611</v>
      </c>
      <c r="V9" s="356"/>
      <c r="W9" s="373">
        <f>-W8*$C$9</f>
        <v>-811.76093046598226</v>
      </c>
      <c r="X9" s="356"/>
      <c r="Y9" s="373">
        <f>-Y8*$C$9</f>
        <v>-832.05495372763164</v>
      </c>
      <c r="Z9" s="356"/>
      <c r="AA9" s="373">
        <f>-AA8*$C$9</f>
        <v>-852.85632757082249</v>
      </c>
      <c r="AB9" s="356"/>
      <c r="AC9" s="373">
        <f>-AC8*$C$9</f>
        <v>-874.17773576009301</v>
      </c>
      <c r="AD9" s="356"/>
      <c r="AE9" s="373">
        <f>-AE8*$C$9</f>
        <v>-896.03217915409516</v>
      </c>
      <c r="AF9" s="356"/>
      <c r="AG9" s="373">
        <f>-AG8*$C$9</f>
        <v>-918.43298363294753</v>
      </c>
    </row>
    <row r="10" spans="1:34" s="358" customFormat="1" ht="15">
      <c r="A10" s="358" t="s">
        <v>922</v>
      </c>
      <c r="C10" s="349"/>
      <c r="E10" s="358">
        <f>SUM(E4:E9)</f>
        <v>1372028</v>
      </c>
      <c r="G10" s="358">
        <f>SUM(G4:G9)</f>
        <v>1406328.6999999997</v>
      </c>
      <c r="I10" s="358">
        <f>SUM(I4:I9)</f>
        <v>1441486.9174999997</v>
      </c>
      <c r="K10" s="358">
        <f>SUM(K4:K9)</f>
        <v>1477524.0904374996</v>
      </c>
      <c r="M10" s="358">
        <f>SUM(M4:M9)</f>
        <v>1514462.192698437</v>
      </c>
      <c r="O10" s="358">
        <f>SUM(O4:O9)</f>
        <v>1552323.7475158977</v>
      </c>
      <c r="Q10" s="358">
        <f>SUM(Q4:Q9)</f>
        <v>1591131.8412037953</v>
      </c>
      <c r="S10" s="358">
        <f>SUM(S4:S9)</f>
        <v>1630910.1372338899</v>
      </c>
      <c r="U10" s="358">
        <f>SUM(U4:U9)</f>
        <v>1671682.8906647372</v>
      </c>
      <c r="W10" s="358">
        <f>SUM(W4:W9)</f>
        <v>1713474.962931355</v>
      </c>
      <c r="Y10" s="358">
        <f>SUM(Y4:Y9)</f>
        <v>1756311.837004639</v>
      </c>
      <c r="AA10" s="358">
        <f>SUM(AA4:AA9)</f>
        <v>1800219.6329297549</v>
      </c>
      <c r="AC10" s="358">
        <f>SUM(AC4:AC9)</f>
        <v>1845225.1237529984</v>
      </c>
      <c r="AE10" s="358">
        <f>SUM(AE4:AE9)</f>
        <v>1891355.7518468234</v>
      </c>
      <c r="AG10" s="358">
        <f>SUM(AG4:AG9)</f>
        <v>1938639.6456429935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116295</v>
      </c>
      <c r="G14" s="354">
        <f>E14*$C$13</f>
        <v>120365.325</v>
      </c>
      <c r="I14" s="354">
        <f>G14*$C$13</f>
        <v>124578.11137499999</v>
      </c>
      <c r="K14" s="354">
        <f>I14*$C$13</f>
        <v>128938.34527312499</v>
      </c>
      <c r="M14" s="354">
        <f>K14*$C$13</f>
        <v>133451.18735768434</v>
      </c>
      <c r="O14" s="354">
        <f>M14*$C$13</f>
        <v>138121.97891520328</v>
      </c>
      <c r="Q14" s="354">
        <f>O14*$C$13</f>
        <v>142956.24817723539</v>
      </c>
      <c r="S14" s="354">
        <f>Q14*$C$13</f>
        <v>147959.71686343863</v>
      </c>
      <c r="U14" s="354">
        <f>S14*$C$13</f>
        <v>153138.30695365896</v>
      </c>
      <c r="W14" s="354">
        <f>U14*$C$13</f>
        <v>158498.147697037</v>
      </c>
      <c r="Y14" s="354">
        <f>W14*$C$13</f>
        <v>164045.58286643328</v>
      </c>
      <c r="AA14" s="354">
        <f>Y14*$C$13</f>
        <v>169787.17826675842</v>
      </c>
      <c r="AC14" s="354">
        <f>AA14*$C$13</f>
        <v>175729.72950609494</v>
      </c>
      <c r="AE14" s="354">
        <f>AC14*$C$13</f>
        <v>181880.27003880826</v>
      </c>
      <c r="AG14" s="354">
        <f>AE14*$C$13</f>
        <v>188246.07949016654</v>
      </c>
    </row>
    <row r="15" spans="1:34" s="339" customFormat="1" ht="14.25">
      <c r="A15" s="339" t="s">
        <v>354</v>
      </c>
      <c r="C15" s="368"/>
      <c r="E15" s="357">
        <f>Application!W847</f>
        <v>102600</v>
      </c>
      <c r="F15" s="357"/>
      <c r="G15" s="357">
        <f t="shared" ref="G15:AG20" si="0">E15*$C$13</f>
        <v>106190.99999999999</v>
      </c>
      <c r="H15" s="357"/>
      <c r="I15" s="357">
        <f t="shared" si="0"/>
        <v>109907.68499999998</v>
      </c>
      <c r="J15" s="357"/>
      <c r="K15" s="357">
        <f t="shared" si="0"/>
        <v>113754.45397499997</v>
      </c>
      <c r="L15" s="357"/>
      <c r="M15" s="357">
        <f t="shared" si="0"/>
        <v>117735.85986412496</v>
      </c>
      <c r="N15" s="357"/>
      <c r="O15" s="357">
        <f t="shared" si="0"/>
        <v>121856.61495936933</v>
      </c>
      <c r="P15" s="357"/>
      <c r="Q15" s="357">
        <f t="shared" si="0"/>
        <v>126121.59648294724</v>
      </c>
      <c r="R15" s="357"/>
      <c r="S15" s="357">
        <f t="shared" si="0"/>
        <v>130535.85235985038</v>
      </c>
      <c r="T15" s="357"/>
      <c r="U15" s="357">
        <f t="shared" si="0"/>
        <v>135104.60719244514</v>
      </c>
      <c r="V15" s="357"/>
      <c r="W15" s="357">
        <f t="shared" si="0"/>
        <v>139833.26844418072</v>
      </c>
      <c r="X15" s="357"/>
      <c r="Y15" s="357">
        <f t="shared" si="0"/>
        <v>144727.43283972703</v>
      </c>
      <c r="Z15" s="357"/>
      <c r="AA15" s="357">
        <f t="shared" si="0"/>
        <v>149792.89298911748</v>
      </c>
      <c r="AB15" s="357"/>
      <c r="AC15" s="357">
        <f t="shared" si="0"/>
        <v>155035.64424373658</v>
      </c>
      <c r="AD15" s="357"/>
      <c r="AE15" s="357">
        <f t="shared" si="0"/>
        <v>160461.89179226736</v>
      </c>
      <c r="AF15" s="357"/>
      <c r="AG15" s="357">
        <f t="shared" si="0"/>
        <v>166078.05800499671</v>
      </c>
    </row>
    <row r="16" spans="1:34" s="339" customFormat="1" ht="14.25">
      <c r="A16" s="339" t="s">
        <v>594</v>
      </c>
      <c r="C16" s="368"/>
      <c r="E16" s="357">
        <f>Application!W853</f>
        <v>175600</v>
      </c>
      <c r="F16" s="357"/>
      <c r="G16" s="357">
        <f t="shared" si="0"/>
        <v>181746</v>
      </c>
      <c r="H16" s="357"/>
      <c r="I16" s="357">
        <f t="shared" si="0"/>
        <v>188107.11</v>
      </c>
      <c r="J16" s="357"/>
      <c r="K16" s="357">
        <f t="shared" si="0"/>
        <v>194690.85884999996</v>
      </c>
      <c r="L16" s="357"/>
      <c r="M16" s="357">
        <f t="shared" si="0"/>
        <v>201505.03890974994</v>
      </c>
      <c r="N16" s="357"/>
      <c r="O16" s="357">
        <f t="shared" si="0"/>
        <v>208557.71527159118</v>
      </c>
      <c r="P16" s="357"/>
      <c r="Q16" s="357">
        <f t="shared" si="0"/>
        <v>215857.23530609685</v>
      </c>
      <c r="R16" s="357"/>
      <c r="S16" s="357">
        <f t="shared" si="0"/>
        <v>223412.23854181022</v>
      </c>
      <c r="T16" s="357"/>
      <c r="U16" s="357">
        <f t="shared" si="0"/>
        <v>231231.66689077357</v>
      </c>
      <c r="V16" s="357"/>
      <c r="W16" s="357">
        <f t="shared" si="0"/>
        <v>239324.77523195063</v>
      </c>
      <c r="X16" s="357"/>
      <c r="Y16" s="357">
        <f t="shared" si="0"/>
        <v>247701.14236506887</v>
      </c>
      <c r="Z16" s="357"/>
      <c r="AA16" s="357">
        <f t="shared" si="0"/>
        <v>256370.68234784625</v>
      </c>
      <c r="AB16" s="357"/>
      <c r="AC16" s="357">
        <f t="shared" si="0"/>
        <v>265343.65623002086</v>
      </c>
      <c r="AD16" s="357"/>
      <c r="AE16" s="357">
        <f t="shared" si="0"/>
        <v>274630.6841980716</v>
      </c>
      <c r="AF16" s="357"/>
      <c r="AG16" s="357">
        <f t="shared" si="0"/>
        <v>284242.7581450041</v>
      </c>
    </row>
    <row r="17" spans="1:33" s="339" customFormat="1" ht="14.25">
      <c r="A17" s="339" t="s">
        <v>905</v>
      </c>
      <c r="C17" s="368"/>
      <c r="E17" s="357">
        <f>Application!W860</f>
        <v>290312</v>
      </c>
      <c r="F17" s="357"/>
      <c r="G17" s="357">
        <f t="shared" si="0"/>
        <v>300472.92</v>
      </c>
      <c r="H17" s="357"/>
      <c r="I17" s="357">
        <f t="shared" si="0"/>
        <v>310989.47219999996</v>
      </c>
      <c r="J17" s="357"/>
      <c r="K17" s="357">
        <f t="shared" si="0"/>
        <v>321874.10372699995</v>
      </c>
      <c r="L17" s="357"/>
      <c r="M17" s="357">
        <f t="shared" si="0"/>
        <v>333139.69735744491</v>
      </c>
      <c r="N17" s="357"/>
      <c r="O17" s="357">
        <f t="shared" si="0"/>
        <v>344799.58676495543</v>
      </c>
      <c r="P17" s="357"/>
      <c r="Q17" s="357">
        <f t="shared" si="0"/>
        <v>356867.57230172883</v>
      </c>
      <c r="R17" s="357"/>
      <c r="S17" s="357">
        <f t="shared" si="0"/>
        <v>369357.93733228929</v>
      </c>
      <c r="T17" s="357"/>
      <c r="U17" s="357">
        <f t="shared" si="0"/>
        <v>382285.46513891936</v>
      </c>
      <c r="V17" s="357"/>
      <c r="W17" s="357">
        <f t="shared" si="0"/>
        <v>395665.45641878148</v>
      </c>
      <c r="X17" s="357"/>
      <c r="Y17" s="357">
        <f t="shared" si="0"/>
        <v>409513.74739343883</v>
      </c>
      <c r="Z17" s="357"/>
      <c r="AA17" s="357">
        <f t="shared" si="0"/>
        <v>423846.72855220916</v>
      </c>
      <c r="AB17" s="357"/>
      <c r="AC17" s="357">
        <f t="shared" si="0"/>
        <v>438681.36405153642</v>
      </c>
      <c r="AD17" s="357"/>
      <c r="AE17" s="357">
        <f t="shared" si="0"/>
        <v>454035.21179334016</v>
      </c>
      <c r="AF17" s="357"/>
      <c r="AG17" s="357">
        <f t="shared" si="0"/>
        <v>469926.44420610706</v>
      </c>
    </row>
    <row r="18" spans="1:33" s="339" customFormat="1" ht="14.25">
      <c r="A18" s="339" t="s">
        <v>160</v>
      </c>
      <c r="C18" s="368"/>
      <c r="E18" s="357">
        <f>Application!W861</f>
        <v>54000</v>
      </c>
      <c r="F18" s="357"/>
      <c r="G18" s="357">
        <f t="shared" si="0"/>
        <v>55889.999999999993</v>
      </c>
      <c r="H18" s="357"/>
      <c r="I18" s="357">
        <f t="shared" si="0"/>
        <v>57846.149999999987</v>
      </c>
      <c r="J18" s="357"/>
      <c r="K18" s="357">
        <f t="shared" si="0"/>
        <v>59870.765249999982</v>
      </c>
      <c r="L18" s="357"/>
      <c r="M18" s="357">
        <f t="shared" si="0"/>
        <v>61966.242033749979</v>
      </c>
      <c r="N18" s="357"/>
      <c r="O18" s="357">
        <f t="shared" si="0"/>
        <v>64135.060504931222</v>
      </c>
      <c r="P18" s="357"/>
      <c r="Q18" s="357">
        <f t="shared" si="0"/>
        <v>66379.787622603806</v>
      </c>
      <c r="R18" s="357"/>
      <c r="S18" s="357">
        <f t="shared" si="0"/>
        <v>68703.080189394939</v>
      </c>
      <c r="T18" s="357"/>
      <c r="U18" s="357">
        <f t="shared" si="0"/>
        <v>71107.687996023757</v>
      </c>
      <c r="V18" s="357"/>
      <c r="W18" s="357">
        <f t="shared" si="0"/>
        <v>73596.45707588458</v>
      </c>
      <c r="X18" s="357"/>
      <c r="Y18" s="357">
        <f t="shared" si="0"/>
        <v>76172.333073540532</v>
      </c>
      <c r="Z18" s="357"/>
      <c r="AA18" s="357">
        <f t="shared" si="0"/>
        <v>78838.364731114445</v>
      </c>
      <c r="AB18" s="357"/>
      <c r="AC18" s="357">
        <f t="shared" si="0"/>
        <v>81597.707496703442</v>
      </c>
      <c r="AD18" s="357"/>
      <c r="AE18" s="357">
        <f t="shared" si="0"/>
        <v>84453.627259088054</v>
      </c>
      <c r="AF18" s="357"/>
      <c r="AG18" s="357">
        <f t="shared" si="0"/>
        <v>87409.504213156135</v>
      </c>
    </row>
    <row r="19" spans="1:33" s="339" customFormat="1" ht="14.25">
      <c r="A19" s="339" t="s">
        <v>409</v>
      </c>
      <c r="C19" s="368"/>
      <c r="E19" s="357">
        <f>Application!W870</f>
        <v>107700</v>
      </c>
      <c r="F19" s="357"/>
      <c r="G19" s="357">
        <f t="shared" si="0"/>
        <v>111469.49999999999</v>
      </c>
      <c r="H19" s="357"/>
      <c r="I19" s="357">
        <f t="shared" si="0"/>
        <v>115370.93249999998</v>
      </c>
      <c r="J19" s="357"/>
      <c r="K19" s="357">
        <f t="shared" si="0"/>
        <v>119408.91513749996</v>
      </c>
      <c r="L19" s="357"/>
      <c r="M19" s="357">
        <f t="shared" si="0"/>
        <v>123588.22716731245</v>
      </c>
      <c r="N19" s="357"/>
      <c r="O19" s="357">
        <f t="shared" si="0"/>
        <v>127913.81511816838</v>
      </c>
      <c r="P19" s="357"/>
      <c r="Q19" s="357">
        <f t="shared" si="0"/>
        <v>132390.79864730427</v>
      </c>
      <c r="R19" s="357"/>
      <c r="S19" s="357">
        <f t="shared" si="0"/>
        <v>137024.47659995992</v>
      </c>
      <c r="T19" s="357"/>
      <c r="U19" s="357">
        <f t="shared" si="0"/>
        <v>141820.3332809585</v>
      </c>
      <c r="V19" s="357"/>
      <c r="W19" s="357">
        <f t="shared" si="0"/>
        <v>146784.04494579203</v>
      </c>
      <c r="X19" s="357"/>
      <c r="Y19" s="357">
        <f t="shared" si="0"/>
        <v>151921.48651889473</v>
      </c>
      <c r="Z19" s="357"/>
      <c r="AA19" s="357">
        <f t="shared" si="0"/>
        <v>157238.73854705604</v>
      </c>
      <c r="AB19" s="357"/>
      <c r="AC19" s="357">
        <f t="shared" si="0"/>
        <v>162742.094396203</v>
      </c>
      <c r="AD19" s="357"/>
      <c r="AE19" s="357">
        <f t="shared" si="0"/>
        <v>168438.0677000701</v>
      </c>
      <c r="AF19" s="357"/>
      <c r="AG19" s="357">
        <f t="shared" si="0"/>
        <v>174333.40006957253</v>
      </c>
    </row>
    <row r="20" spans="1:33" s="339" customFormat="1" ht="14.25">
      <c r="A20" s="361" t="s">
        <v>2663</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846507</v>
      </c>
      <c r="G21" s="358">
        <f>SUM(G14:G20)</f>
        <v>876134.74499999988</v>
      </c>
      <c r="I21" s="358">
        <f>SUM(I14:I20)</f>
        <v>906799.461075</v>
      </c>
      <c r="K21" s="358">
        <f>SUM(K14:K20)</f>
        <v>938537.44221262471</v>
      </c>
      <c r="M21" s="358">
        <f>SUM(M14:M20)</f>
        <v>971386.25269006647</v>
      </c>
      <c r="O21" s="358">
        <f>SUM(O14:O20)</f>
        <v>1005384.7715342188</v>
      </c>
      <c r="Q21" s="358">
        <f>SUM(Q14:Q20)</f>
        <v>1040573.2385379164</v>
      </c>
      <c r="S21" s="358">
        <f>SUM(S14:S20)</f>
        <v>1076993.3018867434</v>
      </c>
      <c r="U21" s="358">
        <f>SUM(U14:U20)</f>
        <v>1114688.0674527793</v>
      </c>
      <c r="W21" s="358">
        <f>SUM(W14:W20)</f>
        <v>1153702.1498136264</v>
      </c>
      <c r="Y21" s="358">
        <f>SUM(Y14:Y20)</f>
        <v>1194081.7250571034</v>
      </c>
      <c r="AA21" s="358">
        <f>SUM(AA14:AA20)</f>
        <v>1235874.5854341015</v>
      </c>
      <c r="AC21" s="358">
        <f>SUM(AC14:AC20)</f>
        <v>1279130.1959242953</v>
      </c>
      <c r="AE21" s="358">
        <f>SUM(AE14:AE20)</f>
        <v>1323899.7527816454</v>
      </c>
      <c r="AG21" s="358">
        <f>SUM(AG14:AG20)</f>
        <v>1370236.244129003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39063</v>
      </c>
      <c r="F26" s="357"/>
      <c r="G26" s="357">
        <f>E26*$C$26</f>
        <v>40430.204999999994</v>
      </c>
      <c r="H26" s="357"/>
      <c r="I26" s="357">
        <f>G26*$C$26</f>
        <v>41845.262174999989</v>
      </c>
      <c r="J26" s="357"/>
      <c r="K26" s="357">
        <f>I26*$C$26</f>
        <v>43309.846351124987</v>
      </c>
      <c r="L26" s="357"/>
      <c r="M26" s="357">
        <f>K26*$C$26</f>
        <v>44825.690973414356</v>
      </c>
      <c r="N26" s="357"/>
      <c r="O26" s="357">
        <f>M26*$C$26</f>
        <v>46394.590157483857</v>
      </c>
      <c r="P26" s="357"/>
      <c r="Q26" s="357">
        <f>O26*$C$26</f>
        <v>48018.400812995787</v>
      </c>
      <c r="R26" s="357"/>
      <c r="S26" s="357">
        <f>Q26*$C$26</f>
        <v>49699.044841450639</v>
      </c>
      <c r="T26" s="357"/>
      <c r="U26" s="357">
        <f>S26*$C$26</f>
        <v>51438.51141090141</v>
      </c>
      <c r="V26" s="357"/>
      <c r="W26" s="357">
        <f>U26*$C$26</f>
        <v>53238.859310282955</v>
      </c>
      <c r="X26" s="357"/>
      <c r="Y26" s="357">
        <f>W26*$C$26</f>
        <v>55102.219386142853</v>
      </c>
      <c r="Z26" s="357"/>
      <c r="AA26" s="357">
        <f>Y26*$C$26</f>
        <v>57030.797064657847</v>
      </c>
      <c r="AB26" s="357"/>
      <c r="AC26" s="357">
        <f>AA26*$C$26</f>
        <v>59026.874961920868</v>
      </c>
      <c r="AD26" s="357"/>
      <c r="AE26" s="357">
        <f>AC26*$C$26</f>
        <v>61092.81558558809</v>
      </c>
      <c r="AF26" s="357"/>
      <c r="AG26" s="357">
        <f>AE26*$C$26</f>
        <v>63231.064131083665</v>
      </c>
    </row>
    <row r="27" spans="1:33" s="339" customFormat="1" ht="14.25">
      <c r="A27" s="339" t="s">
        <v>909</v>
      </c>
      <c r="C27" s="376"/>
      <c r="E27" s="357">
        <f>Application!AC887</f>
        <v>60000</v>
      </c>
      <c r="F27" s="357"/>
      <c r="G27" s="357">
        <f>$E$27</f>
        <v>60000</v>
      </c>
      <c r="H27" s="357"/>
      <c r="I27" s="357">
        <f>$E$27</f>
        <v>60000</v>
      </c>
      <c r="J27" s="357"/>
      <c r="K27" s="357">
        <f>$E$27</f>
        <v>60000</v>
      </c>
      <c r="L27" s="357"/>
      <c r="M27" s="357">
        <f>$E$27</f>
        <v>60000</v>
      </c>
      <c r="N27" s="357"/>
      <c r="O27" s="357">
        <f>$E$27</f>
        <v>60000</v>
      </c>
      <c r="P27" s="357"/>
      <c r="Q27" s="357">
        <f>$E$27</f>
        <v>60000</v>
      </c>
      <c r="R27" s="357"/>
      <c r="S27" s="357">
        <f>$E$27</f>
        <v>60000</v>
      </c>
      <c r="T27" s="357"/>
      <c r="U27" s="357">
        <f>$E$27</f>
        <v>60000</v>
      </c>
      <c r="V27" s="357"/>
      <c r="W27" s="357">
        <f>$E$27</f>
        <v>60000</v>
      </c>
      <c r="X27" s="357"/>
      <c r="Y27" s="357">
        <f>$E$27</f>
        <v>60000</v>
      </c>
      <c r="Z27" s="357"/>
      <c r="AA27" s="357">
        <f>$E$27</f>
        <v>60000</v>
      </c>
      <c r="AB27" s="357"/>
      <c r="AC27" s="357">
        <f>$E$27</f>
        <v>60000</v>
      </c>
      <c r="AD27" s="357"/>
      <c r="AE27" s="357">
        <f>$E$27</f>
        <v>60000</v>
      </c>
      <c r="AF27" s="357"/>
      <c r="AG27" s="357">
        <f>$E$27</f>
        <v>60000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2156</v>
      </c>
      <c r="C30" s="374">
        <v>1.02</v>
      </c>
      <c r="E30" s="357">
        <f>Application!AC890</f>
        <v>43000</v>
      </c>
      <c r="F30" s="357"/>
      <c r="G30" s="357">
        <f>E30*$C$30</f>
        <v>43860</v>
      </c>
      <c r="H30" s="357"/>
      <c r="I30" s="357">
        <f>G30*$C$30</f>
        <v>44737.200000000004</v>
      </c>
      <c r="J30" s="357"/>
      <c r="K30" s="357">
        <f>I30*$C$30</f>
        <v>45631.944000000003</v>
      </c>
      <c r="L30" s="357"/>
      <c r="M30" s="357">
        <f>K30*$C$30</f>
        <v>46544.582880000002</v>
      </c>
      <c r="N30" s="357"/>
      <c r="O30" s="357">
        <f>M30*$C$30</f>
        <v>47475.474537599999</v>
      </c>
      <c r="P30" s="357"/>
      <c r="Q30" s="357">
        <f>O30*$C$30</f>
        <v>48424.984028352002</v>
      </c>
      <c r="R30" s="357"/>
      <c r="S30" s="357">
        <f>Q30*$C$30</f>
        <v>49393.483708919041</v>
      </c>
      <c r="T30" s="357"/>
      <c r="U30" s="357">
        <f>S30*$C$30</f>
        <v>50381.353383097419</v>
      </c>
      <c r="V30" s="357"/>
      <c r="W30" s="357">
        <f>U30*$C$30</f>
        <v>51388.980450759365</v>
      </c>
      <c r="X30" s="357"/>
      <c r="Y30" s="357">
        <f>W30*$C$30</f>
        <v>52416.760059774555</v>
      </c>
      <c r="Z30" s="357"/>
      <c r="AA30" s="357">
        <f>Y30*$C$30</f>
        <v>53465.095260970047</v>
      </c>
      <c r="AB30" s="357"/>
      <c r="AC30" s="357">
        <f>AA30*$C$30</f>
        <v>54534.397166189447</v>
      </c>
      <c r="AD30" s="357"/>
      <c r="AE30" s="357">
        <f>AC30*$C$30</f>
        <v>55625.085109513238</v>
      </c>
      <c r="AF30" s="357"/>
      <c r="AG30" s="357">
        <f>AE30*$C$30</f>
        <v>56737.586811703506</v>
      </c>
    </row>
    <row r="31" spans="1:33" s="339" customFormat="1" ht="14.25">
      <c r="A31" s="361" t="str">
        <f>Application!C891</f>
        <v>Other (Specify):</v>
      </c>
      <c r="B31" s="361"/>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988570</v>
      </c>
      <c r="G34" s="358">
        <f>SUM(G21:G32)</f>
        <v>1020424.9499999998</v>
      </c>
      <c r="I34" s="358">
        <f>SUM(I21:I32)</f>
        <v>1053381.92325</v>
      </c>
      <c r="K34" s="358">
        <f>SUM(K21:K32)</f>
        <v>1087479.2325637497</v>
      </c>
      <c r="M34" s="358">
        <f>SUM(M21:M32)</f>
        <v>1122756.5265434808</v>
      </c>
      <c r="O34" s="358">
        <f>SUM(O21:O32)</f>
        <v>1159254.8362293027</v>
      </c>
      <c r="Q34" s="358">
        <f>SUM(Q21:Q32)</f>
        <v>1197016.6233792643</v>
      </c>
      <c r="S34" s="358">
        <f>SUM(S21:S32)</f>
        <v>1236085.8304371131</v>
      </c>
      <c r="U34" s="358">
        <f>SUM(U21:U32)</f>
        <v>1276507.9322467779</v>
      </c>
      <c r="W34" s="358">
        <f>SUM(W21:W32)</f>
        <v>1318329.9895746687</v>
      </c>
      <c r="Y34" s="358">
        <f>SUM(Y21:Y32)</f>
        <v>1361600.704503021</v>
      </c>
      <c r="AA34" s="358">
        <f>SUM(AA21:AA32)</f>
        <v>1406370.4777597294</v>
      </c>
      <c r="AC34" s="358">
        <f>SUM(AC21:AC32)</f>
        <v>1452691.4680524056</v>
      </c>
      <c r="AE34" s="358">
        <f>SUM(AE21:AE32)</f>
        <v>1500617.6534767468</v>
      </c>
      <c r="AG34" s="358">
        <f>SUM(AG21:AG32)</f>
        <v>1550204.8950717901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383458</v>
      </c>
      <c r="G36" s="358">
        <f>G10-G34</f>
        <v>385903.74999999988</v>
      </c>
      <c r="I36" s="358">
        <f>I10-I34</f>
        <v>388104.99424999976</v>
      </c>
      <c r="K36" s="358">
        <f>K10-K34</f>
        <v>390044.85787374992</v>
      </c>
      <c r="M36" s="358">
        <f>M10-M34</f>
        <v>391705.66615495621</v>
      </c>
      <c r="O36" s="358">
        <f>O10-O34</f>
        <v>393068.91128659504</v>
      </c>
      <c r="Q36" s="358">
        <f>Q10-Q34</f>
        <v>394115.21782453102</v>
      </c>
      <c r="S36" s="358">
        <f>S10-S34</f>
        <v>394824.30679677683</v>
      </c>
      <c r="U36" s="358">
        <f>U10-U34</f>
        <v>395174.95841795928</v>
      </c>
      <c r="W36" s="358">
        <f>W10-W34</f>
        <v>395144.9733566863</v>
      </c>
      <c r="Y36" s="358">
        <f>Y10-Y34</f>
        <v>394711.13250161801</v>
      </c>
      <c r="AA36" s="358">
        <f>AA10-AA34</f>
        <v>393849.15517002554</v>
      </c>
      <c r="AC36" s="358">
        <f>AC10-AC34</f>
        <v>392533.65570059279</v>
      </c>
      <c r="AE36" s="358">
        <f>AE10-AE34</f>
        <v>390738.09837007662</v>
      </c>
      <c r="AG36" s="358">
        <f>AG10-AG34</f>
        <v>388434.75057120342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Tax-Exempt Permanent Loan</v>
      </c>
      <c r="B39" s="361"/>
      <c r="C39" s="355"/>
      <c r="E39" s="357">
        <f>Application!AF637</f>
        <v>308419.0796187729</v>
      </c>
      <c r="F39" s="357"/>
      <c r="G39" s="357">
        <f>$E$39</f>
        <v>308419.0796187729</v>
      </c>
      <c r="H39" s="357"/>
      <c r="I39" s="357">
        <f>$E$39</f>
        <v>308419.0796187729</v>
      </c>
      <c r="J39" s="357"/>
      <c r="K39" s="357">
        <f>$E$39</f>
        <v>308419.0796187729</v>
      </c>
      <c r="L39" s="357"/>
      <c r="M39" s="357">
        <f>$E$39</f>
        <v>308419.0796187729</v>
      </c>
      <c r="N39" s="357"/>
      <c r="O39" s="357">
        <f>$E$39</f>
        <v>308419.0796187729</v>
      </c>
      <c r="P39" s="357"/>
      <c r="Q39" s="357">
        <f>$E$39</f>
        <v>308419.0796187729</v>
      </c>
      <c r="R39" s="357"/>
      <c r="S39" s="357">
        <f>$E$39</f>
        <v>308419.0796187729</v>
      </c>
      <c r="T39" s="357"/>
      <c r="U39" s="357">
        <f>$E$39</f>
        <v>308419.0796187729</v>
      </c>
      <c r="V39" s="357"/>
      <c r="W39" s="357">
        <f>$E$39</f>
        <v>308419.0796187729</v>
      </c>
      <c r="X39" s="357"/>
      <c r="Y39" s="357">
        <f>$E$39</f>
        <v>308419.0796187729</v>
      </c>
      <c r="Z39" s="357"/>
      <c r="AA39" s="357">
        <f>$E$39</f>
        <v>308419.0796187729</v>
      </c>
      <c r="AB39" s="357"/>
      <c r="AC39" s="357">
        <f>$E$39</f>
        <v>308419.0796187729</v>
      </c>
      <c r="AD39" s="357"/>
      <c r="AE39" s="357">
        <f>$E$39</f>
        <v>308419.0796187729</v>
      </c>
      <c r="AF39" s="357"/>
      <c r="AG39" s="357">
        <f>$E$39</f>
        <v>308419.0796187729</v>
      </c>
    </row>
    <row r="40" spans="1:33" s="339" customFormat="1" ht="14.25">
      <c r="A40" s="360" t="s">
        <v>2637</v>
      </c>
      <c r="B40" s="361"/>
      <c r="C40" s="374">
        <v>1</v>
      </c>
      <c r="E40" s="357">
        <v>25000</v>
      </c>
      <c r="F40" s="357"/>
      <c r="G40" s="357">
        <f>$E$40</f>
        <v>25000</v>
      </c>
      <c r="H40" s="357"/>
      <c r="I40" s="357">
        <f>$E$40</f>
        <v>25000</v>
      </c>
      <c r="J40" s="357"/>
      <c r="K40" s="357">
        <f>$E$40</f>
        <v>25000</v>
      </c>
      <c r="L40" s="357"/>
      <c r="M40" s="357">
        <f>$E$40</f>
        <v>25000</v>
      </c>
      <c r="N40" s="357"/>
      <c r="O40" s="357">
        <f>$E$40</f>
        <v>25000</v>
      </c>
      <c r="P40" s="357"/>
      <c r="Q40" s="357">
        <f>$E$40</f>
        <v>25000</v>
      </c>
      <c r="R40" s="357"/>
      <c r="S40" s="357">
        <f>$E$40</f>
        <v>25000</v>
      </c>
      <c r="T40" s="357"/>
      <c r="U40" s="357">
        <f>$E$40</f>
        <v>25000</v>
      </c>
      <c r="V40" s="357"/>
      <c r="W40" s="357">
        <f>$E$40</f>
        <v>25000</v>
      </c>
      <c r="X40" s="357"/>
      <c r="Y40" s="357">
        <f>$E$40</f>
        <v>25000</v>
      </c>
      <c r="Z40" s="357"/>
      <c r="AA40" s="357">
        <f>$E$40</f>
        <v>25000</v>
      </c>
      <c r="AB40" s="357"/>
      <c r="AC40" s="357">
        <f>$E$40</f>
        <v>25000</v>
      </c>
      <c r="AD40" s="357"/>
      <c r="AE40" s="357">
        <f>$E$40</f>
        <v>25000</v>
      </c>
      <c r="AF40" s="357"/>
      <c r="AG40" s="357">
        <f>$E$40</f>
        <v>25000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333419.0796187729</v>
      </c>
      <c r="G42" s="358">
        <f>SUM(G39:G41)</f>
        <v>333419.0796187729</v>
      </c>
      <c r="I42" s="358">
        <f>SUM(I39:I41)</f>
        <v>333419.0796187729</v>
      </c>
      <c r="K42" s="358">
        <f>SUM(K39:K41)</f>
        <v>333419.0796187729</v>
      </c>
      <c r="M42" s="358">
        <f>SUM(M39:M41)</f>
        <v>333419.0796187729</v>
      </c>
      <c r="O42" s="358">
        <f>SUM(O39:O41)</f>
        <v>333419.0796187729</v>
      </c>
      <c r="Q42" s="358">
        <f>SUM(Q39:Q41)</f>
        <v>333419.0796187729</v>
      </c>
      <c r="S42" s="358">
        <f>SUM(S39:S41)</f>
        <v>333419.0796187729</v>
      </c>
      <c r="U42" s="358">
        <f>SUM(U39:U41)</f>
        <v>333419.0796187729</v>
      </c>
      <c r="W42" s="358">
        <f>SUM(W39:W41)</f>
        <v>333419.0796187729</v>
      </c>
      <c r="Y42" s="358">
        <f>SUM(Y39:Y41)</f>
        <v>333419.0796187729</v>
      </c>
      <c r="AA42" s="358">
        <f>SUM(AA39:AA41)</f>
        <v>333419.0796187729</v>
      </c>
      <c r="AC42" s="358">
        <f>SUM(AC39:AC41)</f>
        <v>333419.0796187729</v>
      </c>
      <c r="AE42" s="358">
        <f>SUM(AE39:AE41)</f>
        <v>333419.0796187729</v>
      </c>
      <c r="AG42" s="358">
        <f>SUM(AG39:AG41)</f>
        <v>333419.0796187729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50038.920381227101</v>
      </c>
      <c r="G44" s="358">
        <f>G36-G42</f>
        <v>52484.670381226984</v>
      </c>
      <c r="I44" s="358">
        <f>I36-I42</f>
        <v>54685.914631226857</v>
      </c>
      <c r="K44" s="358">
        <f>K36-K42</f>
        <v>56625.77825497702</v>
      </c>
      <c r="M44" s="358">
        <f>M36-M42</f>
        <v>58286.586536183313</v>
      </c>
      <c r="O44" s="358">
        <f>O36-O42</f>
        <v>59649.831667822145</v>
      </c>
      <c r="Q44" s="358">
        <f>Q36-Q42</f>
        <v>60696.138205758121</v>
      </c>
      <c r="S44" s="358">
        <f>S36-S42</f>
        <v>61405.22717800393</v>
      </c>
      <c r="U44" s="358">
        <f>U36-U42</f>
        <v>61755.878799186379</v>
      </c>
      <c r="W44" s="358">
        <f>W36-W42</f>
        <v>61725.8937379134</v>
      </c>
      <c r="Y44" s="358">
        <f>Y36-Y42</f>
        <v>61292.052882845106</v>
      </c>
      <c r="AA44" s="358">
        <f>AA36-AA42</f>
        <v>60430.075551252638</v>
      </c>
      <c r="AC44" s="358">
        <f>AC36-AC42</f>
        <v>59114.576081819891</v>
      </c>
      <c r="AE44" s="358">
        <f>AE36-AE42</f>
        <v>57319.018751303724</v>
      </c>
      <c r="AG44" s="358">
        <f>AG36-AG42</f>
        <v>55015.670952430519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3.4647233410809213E-2</v>
      </c>
      <c r="G46" s="362">
        <f>G44/(G4+G6+G8)</f>
        <v>3.5454326475855641E-2</v>
      </c>
      <c r="I46" s="362">
        <f>I44/(I4+I6+I8)</f>
        <v>3.6040298575700062E-2</v>
      </c>
      <c r="K46" s="362">
        <f>K44/(K4+K6+K8)</f>
        <v>3.6408536206201179E-2</v>
      </c>
      <c r="M46" s="362">
        <f>M44/(M4+M6+M8)</f>
        <v>3.656232389051127E-2</v>
      </c>
      <c r="O46" s="362">
        <f>O44/(O4+O6+O8)</f>
        <v>3.6504846476202411E-2</v>
      </c>
      <c r="Q46" s="362">
        <f>Q44/(Q4+Q6+Q8)</f>
        <v>3.6239191374515922E-2</v>
      </c>
      <c r="S46" s="362">
        <f>S44/(S4+S6+S8)</f>
        <v>3.5768350743127349E-2</v>
      </c>
      <c r="U46" s="362">
        <f>U44/(U4+U6+U8)</f>
        <v>3.5095223613790749E-2</v>
      </c>
      <c r="W46" s="362">
        <f>W44/(W4+W6+W8)</f>
        <v>3.4222617966182062E-2</v>
      </c>
      <c r="Y46" s="362">
        <f>Y44/(Y4+Y6+Y8)</f>
        <v>3.3153252749243446E-2</v>
      </c>
      <c r="AA46" s="362">
        <f>AA44/(AA4+AA6+AA8)</f>
        <v>3.1889759851280383E-2</v>
      </c>
      <c r="AC46" s="362">
        <f>AC44/(AC4+AC6+AC8)</f>
        <v>3.0434686020049177E-2</v>
      </c>
      <c r="AE46" s="362">
        <f>AE44/(AE4+AE6+AE8)</f>
        <v>2.8790494734038049E-2</v>
      </c>
      <c r="AG46" s="362">
        <f>AG44/(AG4+AG6+AG8)</f>
        <v>2.6959568026101194E-2</v>
      </c>
    </row>
    <row r="47" spans="1:33" s="362" customFormat="1" ht="14.25">
      <c r="A47" s="362" t="s">
        <v>915</v>
      </c>
      <c r="C47" s="355"/>
      <c r="E47" s="362">
        <f>E44/E42</f>
        <v>0.15007815521067649</v>
      </c>
      <c r="G47" s="362">
        <f>G44/G42</f>
        <v>0.157413518270272</v>
      </c>
      <c r="I47" s="362">
        <f>I44/I42</f>
        <v>0.16401555272048027</v>
      </c>
      <c r="K47" s="362">
        <f>K44/K42</f>
        <v>0.16983364695182473</v>
      </c>
      <c r="M47" s="362">
        <f>M44/M42</f>
        <v>0.17481479045178652</v>
      </c>
      <c r="O47" s="362">
        <f>O44/O42</f>
        <v>0.17890347407840307</v>
      </c>
      <c r="Q47" s="362">
        <f>Q44/Q42</f>
        <v>0.1820415864477741</v>
      </c>
      <c r="S47" s="362">
        <f>S44/S42</f>
        <v>0.18416830628953171</v>
      </c>
      <c r="U47" s="362">
        <f>U44/U42</f>
        <v>0.18521999061900493</v>
      </c>
      <c r="W47" s="362">
        <f>W44/W42</f>
        <v>0.18513005856920364</v>
      </c>
      <c r="Y47" s="362">
        <f>Y44/Y42</f>
        <v>0.18382887072007292</v>
      </c>
      <c r="AA47" s="362">
        <f>AA44/AA42</f>
        <v>0.18124360375641255</v>
      </c>
      <c r="AC47" s="362">
        <f>AC44/AC42</f>
        <v>0.17729812027977146</v>
      </c>
      <c r="AE47" s="362">
        <f>AE44/AE42</f>
        <v>0.17191283359321113</v>
      </c>
      <c r="AG47" s="362">
        <f>AG44/AG42</f>
        <v>0.16500456727111937</v>
      </c>
    </row>
    <row r="48" spans="1:33" s="363" customFormat="1" ht="14.25">
      <c r="A48" s="363" t="s">
        <v>913</v>
      </c>
      <c r="C48" s="364"/>
      <c r="E48" s="363">
        <f>E36/E42</f>
        <v>1.1500781552106765</v>
      </c>
      <c r="G48" s="363">
        <f>G36/G42</f>
        <v>1.1574135182702721</v>
      </c>
      <c r="I48" s="363">
        <f>I36/I42</f>
        <v>1.1640155527204803</v>
      </c>
      <c r="K48" s="363">
        <f>K36/K42</f>
        <v>1.1698336469518247</v>
      </c>
      <c r="M48" s="363">
        <f>M36/M42</f>
        <v>1.1748147904517865</v>
      </c>
      <c r="O48" s="363">
        <f>O36/O42</f>
        <v>1.178903474078403</v>
      </c>
      <c r="Q48" s="363">
        <f>Q36/Q42</f>
        <v>1.182041586447774</v>
      </c>
      <c r="S48" s="363">
        <f>S36/S42</f>
        <v>1.1841683062895316</v>
      </c>
      <c r="U48" s="363">
        <f>U36/U42</f>
        <v>1.1852199906190048</v>
      </c>
      <c r="W48" s="363">
        <f>W36/W42</f>
        <v>1.1851300585692037</v>
      </c>
      <c r="Y48" s="363">
        <f>Y36/Y42</f>
        <v>1.183828870720073</v>
      </c>
      <c r="AA48" s="363">
        <f>AA36/AA42</f>
        <v>1.1812436037564125</v>
      </c>
      <c r="AC48" s="363">
        <f>AC36/AC42</f>
        <v>1.1772981202797714</v>
      </c>
      <c r="AE48" s="363">
        <f>AE36/AE42</f>
        <v>1.1719128335932112</v>
      </c>
      <c r="AG48" s="363">
        <f>AG36/AG42</f>
        <v>1.1650045672711193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2" t="s">
        <v>1383</v>
      </c>
      <c r="B51" s="3372"/>
      <c r="C51" s="337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50038.920381227101</v>
      </c>
      <c r="G59" s="1675">
        <f>G44-G57</f>
        <v>52484.670381226984</v>
      </c>
      <c r="I59" s="1675">
        <f>I44-I57</f>
        <v>54685.914631226857</v>
      </c>
      <c r="K59" s="1675">
        <f>K44-K57</f>
        <v>56625.77825497702</v>
      </c>
      <c r="M59" s="1675">
        <f>M44-M57</f>
        <v>58286.586536183313</v>
      </c>
      <c r="O59" s="1675">
        <f>O44-O57</f>
        <v>59649.831667822145</v>
      </c>
      <c r="Q59" s="1675">
        <f>Q44-Q57</f>
        <v>60696.138205758121</v>
      </c>
      <c r="S59" s="1675">
        <f>S44-S57</f>
        <v>61405.22717800393</v>
      </c>
      <c r="U59" s="1675">
        <f>U44-U57</f>
        <v>61755.878799186379</v>
      </c>
      <c r="W59" s="1675">
        <f>W44-W57</f>
        <v>61725.8937379134</v>
      </c>
      <c r="Y59" s="1675">
        <f>Y44-Y57</f>
        <v>61292.052882845106</v>
      </c>
      <c r="AA59" s="1675">
        <f>AA44-AA57</f>
        <v>60430.075551252638</v>
      </c>
      <c r="AC59" s="1675">
        <f>AC44-AC57</f>
        <v>59114.576081819891</v>
      </c>
      <c r="AE59" s="1675">
        <f>AE44-AE57</f>
        <v>57319.018751303724</v>
      </c>
      <c r="AG59" s="1675">
        <f>AG44-AG57</f>
        <v>55015.670952430519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0.5</v>
      </c>
      <c r="E61" s="1677">
        <f>E59*$C$61</f>
        <v>25019.46019061355</v>
      </c>
      <c r="G61" s="1683">
        <f>G59*$C$61</f>
        <v>26242.335190613492</v>
      </c>
      <c r="H61" s="1683"/>
      <c r="I61" s="1683">
        <f>I59*$C$61</f>
        <v>27342.957315613428</v>
      </c>
      <c r="J61" s="1683"/>
      <c r="K61" s="1683">
        <f>K59*$C$61</f>
        <v>28312.88912748851</v>
      </c>
      <c r="L61" s="1683"/>
      <c r="M61" s="1683">
        <f>M59*$C$61</f>
        <v>29143.293268091657</v>
      </c>
      <c r="N61" s="1683"/>
      <c r="O61" s="1683">
        <f>O59*$C$61</f>
        <v>29824.915833911073</v>
      </c>
      <c r="P61" s="1683"/>
      <c r="Q61" s="1683">
        <f>Q59*$C$61</f>
        <v>30348.069102879061</v>
      </c>
      <c r="R61" s="1683"/>
      <c r="S61" s="1683">
        <f>S59*$C$61</f>
        <v>30702.613589001965</v>
      </c>
      <c r="T61" s="1683"/>
      <c r="U61" s="1683">
        <f>U59*$C$61</f>
        <v>30877.93939959319</v>
      </c>
      <c r="V61" s="1683"/>
      <c r="W61" s="1683">
        <f>W59*$C$61</f>
        <v>30862.9468689567</v>
      </c>
      <c r="Y61" s="1683">
        <f>Y59*$C$61</f>
        <v>30646.026441422553</v>
      </c>
      <c r="AA61" s="1683">
        <f>AA59*$C$61</f>
        <v>30215.037775626319</v>
      </c>
      <c r="AC61" s="1683">
        <f>AC59*$C$61</f>
        <v>29557.288040909945</v>
      </c>
      <c r="AE61" s="1683">
        <f>AE59*$C$61</f>
        <v>28659.509375651862</v>
      </c>
      <c r="AG61" s="1683">
        <f>AG59*$C$61</f>
        <v>27507.835476215259</v>
      </c>
    </row>
    <row r="62" spans="1:35" s="1683" customFormat="1">
      <c r="A62" s="3372" t="s">
        <v>1383</v>
      </c>
      <c r="B62" s="3372"/>
      <c r="C62" s="337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12509.730095306775</v>
      </c>
      <c r="G65" s="1673">
        <f>G59*$C$64</f>
        <v>13121.167595306746</v>
      </c>
      <c r="I65" s="1673">
        <f>I59*$C$64</f>
        <v>13671.478657806714</v>
      </c>
      <c r="K65" s="1673">
        <f>K59*$C$64</f>
        <v>14156.444563744255</v>
      </c>
      <c r="M65" s="1673">
        <f>M59*$C$64</f>
        <v>14571.646634045828</v>
      </c>
      <c r="O65" s="1673">
        <f>O59*$C$64</f>
        <v>14912.457916955536</v>
      </c>
      <c r="Q65" s="1673">
        <f>Q59*$C$64</f>
        <v>15174.03455143953</v>
      </c>
      <c r="S65" s="1673">
        <f>S59*$C$64</f>
        <v>15351.306794500983</v>
      </c>
      <c r="U65" s="1673">
        <f>U59*$C$64</f>
        <v>15438.969699796595</v>
      </c>
      <c r="W65" s="1673">
        <f>W59*$C$64</f>
        <v>15431.47343447835</v>
      </c>
      <c r="Y65" s="1673">
        <f>Y59*$C$64</f>
        <v>15323.013220711277</v>
      </c>
      <c r="AA65" s="1673">
        <f>AA59*$C$64</f>
        <v>15107.518887813159</v>
      </c>
      <c r="AC65" s="1673">
        <f>AC59*$C$64</f>
        <v>14778.644020454973</v>
      </c>
      <c r="AE65" s="1673">
        <f>AE59*$C$64</f>
        <v>14329.754687825931</v>
      </c>
      <c r="AG65" s="1673">
        <f>AG59*$C$64</f>
        <v>13753.91773810763</v>
      </c>
    </row>
    <row r="66" spans="1:33" s="1673" customFormat="1">
      <c r="A66" s="1678"/>
      <c r="B66" s="1678"/>
      <c r="C66" s="1684"/>
      <c r="E66" s="1677">
        <f>$E59*$C$64</f>
        <v>12509.730095306775</v>
      </c>
      <c r="G66" s="1673">
        <f>G59*$C$64</f>
        <v>13121.167595306746</v>
      </c>
      <c r="I66" s="1673">
        <f>I59*$C$64</f>
        <v>13671.478657806714</v>
      </c>
      <c r="K66" s="1673">
        <f>K59*$C$64</f>
        <v>14156.444563744255</v>
      </c>
      <c r="M66" s="1673">
        <f>M59*$C$64</f>
        <v>14571.646634045828</v>
      </c>
      <c r="O66" s="1673">
        <f>O59*$C$64</f>
        <v>14912.457916955536</v>
      </c>
      <c r="Q66" s="1673">
        <f>Q59*$C$64</f>
        <v>15174.03455143953</v>
      </c>
      <c r="S66" s="1673">
        <f>S59*$C$64</f>
        <v>15351.306794500983</v>
      </c>
      <c r="U66" s="1673">
        <f>U59*$C$64</f>
        <v>15438.969699796595</v>
      </c>
      <c r="W66" s="1673">
        <f>W59*$C$64</f>
        <v>15431.47343447835</v>
      </c>
      <c r="Y66" s="1673">
        <f>Y59*$C$64</f>
        <v>15323.013220711277</v>
      </c>
      <c r="AA66" s="1673">
        <f>AA59*$C$64</f>
        <v>15107.518887813159</v>
      </c>
      <c r="AC66" s="1673">
        <f>AC59*$C$64</f>
        <v>14778.644020454973</v>
      </c>
      <c r="AE66" s="1673">
        <f>AE59*$C$64</f>
        <v>14329.754687825931</v>
      </c>
      <c r="AG66" s="1673">
        <f>AG59*$C$64</f>
        <v>13753.91773810763</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25019.46019061355</v>
      </c>
      <c r="G69" s="1685">
        <f>SUM(G65:G68)</f>
        <v>26242.335190613492</v>
      </c>
      <c r="I69" s="1685">
        <f>SUM(I65:I68)</f>
        <v>27342.957315613428</v>
      </c>
      <c r="K69" s="1685">
        <f>SUM(K65:K68)</f>
        <v>28312.88912748851</v>
      </c>
      <c r="M69" s="1685">
        <f>SUM(M65:M68)</f>
        <v>29143.293268091657</v>
      </c>
      <c r="O69" s="1685">
        <f>SUM(O65:O68)</f>
        <v>29824.915833911073</v>
      </c>
      <c r="Q69" s="1685">
        <f>SUM(Q65:Q68)</f>
        <v>30348.069102879061</v>
      </c>
      <c r="S69" s="1685">
        <f>SUM(S65:S68)</f>
        <v>30702.613589001965</v>
      </c>
      <c r="U69" s="1685">
        <f>SUM(U65:U68)</f>
        <v>30877.93939959319</v>
      </c>
      <c r="W69" s="1685">
        <f>SUM(W65:W68)</f>
        <v>30862.9468689567</v>
      </c>
      <c r="Y69" s="1685">
        <f>SUM(Y65:Y68)</f>
        <v>30646.026441422553</v>
      </c>
      <c r="AA69" s="1685">
        <f>SUM(AA65:AA68)</f>
        <v>30215.037775626319</v>
      </c>
      <c r="AC69" s="1685">
        <f>SUM(AC65:AC68)</f>
        <v>29557.288040909945</v>
      </c>
      <c r="AE69" s="1685">
        <f>SUM(AE65:AE68)</f>
        <v>28659.509375651862</v>
      </c>
      <c r="AG69" s="1685">
        <f>SUM(AG65:AG68)</f>
        <v>27507.835476215259</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2218</v>
      </c>
      <c r="C74" s="352"/>
    </row>
    <row r="75" spans="1:33" s="351" customFormat="1">
      <c r="C75" s="352"/>
    </row>
    <row r="76" spans="1:33" s="370" customFormat="1" ht="30" customHeight="1">
      <c r="A76" s="3370" t="s">
        <v>2217</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H10" sqref="H1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3" t="s">
        <v>979</v>
      </c>
      <c r="B1" s="3373"/>
      <c r="C1" s="3373"/>
      <c r="D1" s="3373"/>
      <c r="E1" s="3373"/>
      <c r="F1" s="3373"/>
      <c r="G1" s="3373"/>
      <c r="H1" s="3373"/>
      <c r="I1" s="337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27</v>
      </c>
      <c r="C4" s="658">
        <f>Application!O728</f>
        <v>616</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3</v>
      </c>
      <c r="C5" s="658">
        <f>Application!O729</f>
        <v>736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81</v>
      </c>
      <c r="C6" s="658">
        <f>Application!O730</f>
        <v>786</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8</v>
      </c>
      <c r="C7" s="658">
        <f>Application!O731</f>
        <v>940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27</v>
      </c>
      <c r="C8" s="658">
        <f>Application!O732</f>
        <v>956</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1144</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119270</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2800000</v>
      </c>
      <c r="C5" s="421">
        <f>'Sources and Uses Budget'!$C4</f>
        <v>2800000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2800000</v>
      </c>
      <c r="C9" s="425">
        <f>SUM(C5:C8)</f>
        <v>2800000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108250</v>
      </c>
      <c r="C11" s="421">
        <f>'Sources and Uses Budget'!$C10</f>
        <v>108250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108250</v>
      </c>
      <c r="C12" s="425">
        <f>SUM(C10:C11)</f>
        <v>108250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2908250</v>
      </c>
      <c r="C13" s="425">
        <f>SUM(C9+C12)</f>
        <v>2908250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3375000</v>
      </c>
      <c r="C30" s="421">
        <f>'Sources and Uses Budget'!$C29</f>
        <v>3375000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27480153</v>
      </c>
      <c r="C31" s="421">
        <f>'Sources and Uses Budget'!$C30</f>
        <v>27480153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1560000</v>
      </c>
      <c r="C32" s="421">
        <f>'Sources and Uses Budget'!$C31</f>
        <v>1560000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793500</v>
      </c>
      <c r="C33" s="421">
        <f>'Sources and Uses Budget'!$C32</f>
        <v>793500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793500</v>
      </c>
      <c r="C34" s="421">
        <f>'Sources and Uses Budget'!$C33</f>
        <v>793500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500000</v>
      </c>
      <c r="C36" s="421">
        <f>'Sources and Uses Budget'!$C35</f>
        <v>500000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Security in construction contract</v>
      </c>
      <c r="B38" s="421">
        <f>'Sources and Uses Budget'!$C37</f>
        <v>113200</v>
      </c>
      <c r="C38" s="421">
        <f>'Sources and Uses Budget'!$C37</f>
        <v>113200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34615353</v>
      </c>
      <c r="C39" s="425">
        <f>SUM(C30:C38)</f>
        <v>34615353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1289244</v>
      </c>
      <c r="C41" s="421">
        <f>'Sources and Uses Budget'!$C40</f>
        <v>1289244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1289244</v>
      </c>
      <c r="C43" s="425">
        <f>SUM(C41:C42)</f>
        <v>1289244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1249356</v>
      </c>
      <c r="C46" s="421">
        <f>'Sources and Uses Budget'!$C45</f>
        <v>1249356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199790</v>
      </c>
      <c r="C47" s="421">
        <f>'Sources and Uses Budget'!$C46</f>
        <v>199790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214698</v>
      </c>
      <c r="C50" s="421">
        <f>'Sources and Uses Budget'!$C49</f>
        <v>214698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65000</v>
      </c>
      <c r="C51" s="421">
        <f>'Sources and Uses Budget'!$C50</f>
        <v>65000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90000</v>
      </c>
      <c r="C52" s="421">
        <f>'Sources and Uses Budget'!$C51</f>
        <v>90000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407000</v>
      </c>
      <c r="C53" s="421">
        <f>'Sources and Uses Budget'!$C52</f>
        <v>407000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Lender Expenses</v>
      </c>
      <c r="B54" s="421">
        <f>'Sources and Uses Budget'!$C53</f>
        <v>40000</v>
      </c>
      <c r="C54" s="421">
        <f>'Sources and Uses Budget'!$C53</f>
        <v>40000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2265844</v>
      </c>
      <c r="C55" s="428">
        <f>SUM(C46:C54)</f>
        <v>2265844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42098</v>
      </c>
      <c r="C57" s="421">
        <f>'Sources and Uses Budget'!$C56</f>
        <v>42098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82098</v>
      </c>
      <c r="C63" s="425">
        <f>SUM(C57:C62)</f>
        <v>82098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41160789</v>
      </c>
      <c r="C64" s="425">
        <f>SUM(C9+C12+C14+C15+C17+C26+C28+C39+C43+C44+C55+C63)</f>
        <v>41160789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21987</v>
      </c>
      <c r="C68" s="421">
        <f>'Sources and Uses Budget'!$C67</f>
        <v>21987</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65000</v>
      </c>
      <c r="C70" s="421">
        <f>'Sources and Uses Budget'!$C69</f>
        <v>65000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161987</v>
      </c>
      <c r="C71" s="425">
        <f>SUM(C66:C70)</f>
        <v>161987</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662770</v>
      </c>
      <c r="C76" s="421">
        <f>'Sources and Uses Budget'!$C75</f>
        <v>662770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662770</v>
      </c>
      <c r="C78" s="425">
        <f>SUM(C73:C77)</f>
        <v>662770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1730520</v>
      </c>
      <c r="C80" s="421">
        <f>'Sources and Uses Budget'!$C79</f>
        <v>1730520</v>
      </c>
      <c r="D80" s="425">
        <f t="shared" si="1"/>
        <v>0</v>
      </c>
      <c r="E80" s="423"/>
      <c r="F80" s="422"/>
      <c r="G80" s="553"/>
    </row>
    <row r="81" spans="1:7" s="547" customFormat="1">
      <c r="A81" s="861" t="s">
        <v>61</v>
      </c>
      <c r="B81" s="421">
        <f>'Sources and Uses Budget'!$C80</f>
        <v>239535</v>
      </c>
      <c r="C81" s="421">
        <f>'Sources and Uses Budget'!$C80</f>
        <v>239535</v>
      </c>
      <c r="D81" s="425">
        <f>C81-B81</f>
        <v>0</v>
      </c>
      <c r="E81" s="423"/>
      <c r="F81" s="422"/>
      <c r="G81" s="553"/>
    </row>
    <row r="82" spans="1:7" s="547" customFormat="1">
      <c r="A82" s="426" t="s">
        <v>1418</v>
      </c>
      <c r="B82" s="425">
        <f>SUM(B80:B81)</f>
        <v>1970055</v>
      </c>
      <c r="C82" s="425">
        <f>SUM(C80:C81)</f>
        <v>1970055</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88896</v>
      </c>
      <c r="C84" s="421">
        <f>'Sources and Uses Budget'!$C83</f>
        <v>88896</v>
      </c>
      <c r="D84" s="425">
        <f t="shared" si="1"/>
        <v>0</v>
      </c>
      <c r="E84" s="423"/>
      <c r="F84" s="422"/>
      <c r="G84" s="553"/>
    </row>
    <row r="85" spans="1:7" s="547" customFormat="1">
      <c r="A85" s="424" t="s">
        <v>825</v>
      </c>
      <c r="B85" s="421">
        <f>'Sources and Uses Budget'!$C84</f>
        <v>4000</v>
      </c>
      <c r="C85" s="421">
        <f>'Sources and Uses Budget'!$C84</f>
        <v>4000</v>
      </c>
      <c r="D85" s="425">
        <f t="shared" si="1"/>
        <v>0</v>
      </c>
      <c r="E85" s="423"/>
      <c r="F85" s="422"/>
      <c r="G85" s="553"/>
    </row>
    <row r="86" spans="1:7" s="547" customFormat="1">
      <c r="A86" s="424" t="s">
        <v>826</v>
      </c>
      <c r="B86" s="421">
        <f>'Sources and Uses Budget'!$C85</f>
        <v>2201859</v>
      </c>
      <c r="C86" s="421">
        <f>'Sources and Uses Budget'!$C85</f>
        <v>2201859</v>
      </c>
      <c r="D86" s="425">
        <f t="shared" si="1"/>
        <v>0</v>
      </c>
      <c r="E86" s="423"/>
      <c r="F86" s="422"/>
      <c r="G86" s="553"/>
    </row>
    <row r="87" spans="1:7" s="547" customFormat="1">
      <c r="A87" s="424" t="s">
        <v>827</v>
      </c>
      <c r="B87" s="421">
        <f>'Sources and Uses Budget'!$C86</f>
        <v>539810</v>
      </c>
      <c r="C87" s="421">
        <f>'Sources and Uses Budget'!$C86</f>
        <v>539810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173000</v>
      </c>
      <c r="C89" s="421">
        <f>'Sources and Uses Budget'!$C88</f>
        <v>173000</v>
      </c>
      <c r="D89" s="425">
        <f t="shared" si="1"/>
        <v>0</v>
      </c>
      <c r="E89" s="423"/>
      <c r="F89" s="422"/>
      <c r="G89" s="553"/>
    </row>
    <row r="90" spans="1:7" s="547" customFormat="1">
      <c r="A90" s="424" t="s">
        <v>830</v>
      </c>
      <c r="B90" s="421">
        <f>'Sources and Uses Budget'!$C89</f>
        <v>20000</v>
      </c>
      <c r="C90" s="421">
        <f>'Sources and Uses Budget'!$C89</f>
        <v>20000</v>
      </c>
      <c r="D90" s="425">
        <f t="shared" si="1"/>
        <v>0</v>
      </c>
      <c r="E90" s="423"/>
      <c r="F90" s="422"/>
      <c r="G90" s="553"/>
    </row>
    <row r="91" spans="1:7" s="547" customFormat="1">
      <c r="A91" s="424" t="s">
        <v>831</v>
      </c>
      <c r="B91" s="421">
        <f>'Sources and Uses Budget'!$C90</f>
        <v>10500</v>
      </c>
      <c r="C91" s="421">
        <f>'Sources and Uses Budget'!$C90</f>
        <v>10500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3500</v>
      </c>
      <c r="C93" s="421">
        <f>'Sources and Uses Budget'!$C92</f>
        <v>3500</v>
      </c>
      <c r="D93" s="425">
        <f t="shared" si="1"/>
        <v>0</v>
      </c>
      <c r="E93" s="423"/>
      <c r="F93" s="422"/>
      <c r="G93" s="553"/>
    </row>
    <row r="94" spans="1:7" s="547" customFormat="1">
      <c r="A94" s="427" t="s">
        <v>35</v>
      </c>
      <c r="B94" s="421">
        <f>'Sources and Uses Budget'!$C93</f>
        <v>6000</v>
      </c>
      <c r="C94" s="421">
        <f>'Sources and Uses Budget'!$C93</f>
        <v>6000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3047565</v>
      </c>
      <c r="C97" s="425">
        <f>SUM(C84:C96)</f>
        <v>3047565</v>
      </c>
      <c r="D97" s="425">
        <f t="shared" si="1"/>
        <v>0</v>
      </c>
      <c r="E97" s="423"/>
      <c r="F97" s="422"/>
      <c r="G97" s="553"/>
    </row>
    <row r="98" spans="1:7" s="547" customFormat="1">
      <c r="A98" s="426" t="s">
        <v>833</v>
      </c>
      <c r="B98" s="425">
        <f>SUM(B64+B71+B78+B82+B97)</f>
        <v>47003166</v>
      </c>
      <c r="C98" s="425">
        <f>SUM(C64+C71+C78+C82+C97)</f>
        <v>47003166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6069258</v>
      </c>
      <c r="C100" s="421">
        <f>'Sources and Uses Budget'!$C99</f>
        <v>6069258</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6069258</v>
      </c>
      <c r="C105" s="425">
        <f>SUM(C100:C104)</f>
        <v>6069258</v>
      </c>
      <c r="D105" s="425">
        <f t="shared" si="1"/>
        <v>0</v>
      </c>
      <c r="E105" s="423"/>
      <c r="F105" s="422"/>
      <c r="G105" s="551"/>
    </row>
    <row r="106" spans="1:7" s="546" customFormat="1">
      <c r="A106" s="426" t="s">
        <v>838</v>
      </c>
      <c r="B106" s="428">
        <f>SUM(B98+B105)</f>
        <v>53072424</v>
      </c>
      <c r="C106" s="428">
        <f>SUM(C98+C105)</f>
        <v>53072424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1" t="s">
        <v>1157</v>
      </c>
      <c r="B2" s="1921"/>
      <c r="C2" s="1922"/>
      <c r="D2" s="1922"/>
      <c r="E2" s="1922"/>
      <c r="F2" s="1922"/>
      <c r="G2" s="1922"/>
    </row>
    <row r="3" spans="1:9" s="256" customFormat="1">
      <c r="A3" s="1921" t="s">
        <v>1087</v>
      </c>
      <c r="B3" s="1921"/>
      <c r="C3" s="1922"/>
      <c r="D3" s="1922"/>
      <c r="E3" s="1922"/>
      <c r="F3" s="1922"/>
      <c r="G3" s="1922"/>
      <c r="I3" s="677" t="s">
        <v>316</v>
      </c>
    </row>
    <row r="4" spans="1:9">
      <c r="I4" s="678" t="s">
        <v>1158</v>
      </c>
    </row>
    <row r="5" spans="1:9" s="39" customFormat="1">
      <c r="A5" s="1925" t="s">
        <v>1088</v>
      </c>
      <c r="B5" s="1925"/>
      <c r="C5" s="1926"/>
      <c r="D5" s="1926"/>
      <c r="E5" s="1926"/>
      <c r="F5" s="1926"/>
      <c r="G5" s="1926"/>
      <c r="I5" s="678" t="s">
        <v>1159</v>
      </c>
    </row>
    <row r="6" spans="1:9" s="39" customFormat="1">
      <c r="A6" s="1925" t="s">
        <v>880</v>
      </c>
      <c r="B6" s="1925"/>
      <c r="C6" s="1926"/>
      <c r="D6" s="1926"/>
      <c r="E6" s="1926"/>
      <c r="F6" s="1926"/>
      <c r="G6" s="1926"/>
      <c r="I6" s="677" t="s">
        <v>626</v>
      </c>
    </row>
    <row r="7" spans="1:9" ht="11.85" customHeight="1"/>
    <row r="8" spans="1:9" s="39" customFormat="1">
      <c r="A8" s="1923" t="s">
        <v>1254</v>
      </c>
      <c r="B8" s="1923"/>
      <c r="C8" s="1924"/>
      <c r="D8" s="1924"/>
      <c r="E8" s="1924"/>
      <c r="F8" s="1924"/>
      <c r="G8" s="1924"/>
    </row>
    <row r="9" spans="1:9" s="39" customFormat="1">
      <c r="A9" s="1923" t="s">
        <v>1255</v>
      </c>
      <c r="B9" s="1923"/>
      <c r="C9" s="1924"/>
      <c r="D9" s="1924"/>
      <c r="E9" s="1924"/>
      <c r="F9" s="1924"/>
      <c r="G9" s="1924"/>
    </row>
    <row r="10" spans="1:9">
      <c r="A10" s="258"/>
      <c r="B10" s="258"/>
      <c r="C10" s="255"/>
      <c r="D10" s="255"/>
      <c r="E10" s="255"/>
      <c r="F10" s="255"/>
    </row>
    <row r="11" spans="1:9">
      <c r="A11" s="1927" t="s">
        <v>1257</v>
      </c>
      <c r="B11" s="1927"/>
      <c r="C11" s="1927"/>
      <c r="D11" s="1927"/>
      <c r="E11" s="1927"/>
      <c r="F11" s="1927"/>
      <c r="G11" s="1927"/>
    </row>
    <row r="12" spans="1:9">
      <c r="A12" s="255"/>
      <c r="B12" s="673"/>
      <c r="E12" s="50"/>
    </row>
    <row r="13" spans="1:9" ht="13.35" customHeight="1">
      <c r="C13" s="255"/>
      <c r="D13" s="1899" t="s">
        <v>1256</v>
      </c>
      <c r="E13" s="1899"/>
      <c r="F13" s="1899"/>
    </row>
    <row r="14" spans="1:9">
      <c r="C14" s="255"/>
      <c r="D14" s="1899"/>
      <c r="E14" s="1899"/>
      <c r="F14" s="1899"/>
    </row>
    <row r="15" spans="1:9">
      <c r="A15" s="260"/>
      <c r="B15" s="260"/>
      <c r="C15" s="260"/>
      <c r="D15" s="1896" t="s">
        <v>1239</v>
      </c>
      <c r="E15" s="1896"/>
      <c r="F15" s="1896"/>
    </row>
    <row r="16" spans="1:9">
      <c r="A16" s="260"/>
      <c r="B16" s="260"/>
      <c r="C16" s="260"/>
      <c r="D16" s="327"/>
    </row>
    <row r="17" spans="1:7" ht="14.25">
      <c r="A17" s="261"/>
      <c r="B17" s="679" t="s">
        <v>316</v>
      </c>
      <c r="C17" s="313"/>
      <c r="D17" s="1871" t="s">
        <v>1240</v>
      </c>
      <c r="E17" s="1871"/>
      <c r="F17" s="1871"/>
    </row>
    <row r="18" spans="1:7">
      <c r="A18" s="260"/>
      <c r="B18" s="260"/>
      <c r="C18" s="313"/>
      <c r="D18" s="1871"/>
      <c r="E18" s="1871"/>
      <c r="F18" s="1871"/>
    </row>
    <row r="19" spans="1:7">
      <c r="A19" s="260"/>
      <c r="B19" s="260"/>
      <c r="C19" s="313"/>
      <c r="D19" s="1871"/>
      <c r="E19" s="1871"/>
      <c r="F19" s="1871"/>
    </row>
    <row r="20" spans="1:7">
      <c r="A20" s="260"/>
      <c r="B20" s="260"/>
      <c r="C20" s="260"/>
    </row>
    <row r="21" spans="1:7" ht="14.25">
      <c r="A21" s="261"/>
      <c r="B21" s="679" t="s">
        <v>316</v>
      </c>
      <c r="D21" s="1900" t="s">
        <v>1241</v>
      </c>
      <c r="E21" s="1900"/>
      <c r="F21" s="1900"/>
    </row>
    <row r="22" spans="1:7" ht="14.25">
      <c r="A22" s="261"/>
      <c r="B22" s="261"/>
      <c r="D22" s="135"/>
    </row>
    <row r="23" spans="1:7" ht="14.25">
      <c r="A23" s="261"/>
      <c r="B23" s="679" t="s">
        <v>316</v>
      </c>
      <c r="D23" s="1871" t="s">
        <v>1242</v>
      </c>
      <c r="E23" s="1871"/>
      <c r="F23" s="1871"/>
    </row>
    <row r="24" spans="1:7" ht="14.25">
      <c r="A24" s="261"/>
      <c r="B24" s="261"/>
      <c r="D24" s="1871"/>
      <c r="E24" s="1871"/>
      <c r="F24" s="1871"/>
    </row>
    <row r="25" spans="1:7"/>
    <row r="26" spans="1:7" ht="14.25">
      <c r="A26" s="261"/>
      <c r="B26" s="679" t="s">
        <v>316</v>
      </c>
      <c r="D26" s="1894" t="s">
        <v>1243</v>
      </c>
      <c r="E26" s="1894"/>
      <c r="F26" s="1894"/>
    </row>
    <row r="27" spans="1:7">
      <c r="D27" s="1894"/>
      <c r="E27" s="1894"/>
      <c r="F27" s="1894"/>
    </row>
    <row r="28" spans="1:7">
      <c r="D28" s="1894"/>
      <c r="E28" s="1894"/>
      <c r="F28" s="1894"/>
    </row>
    <row r="29" spans="1:7">
      <c r="A29" s="558"/>
      <c r="C29" s="558"/>
      <c r="D29" s="1894"/>
      <c r="E29" s="1894"/>
      <c r="F29" s="1894"/>
    </row>
    <row r="30" spans="1:7">
      <c r="A30" s="558"/>
      <c r="C30" s="558"/>
      <c r="D30" s="1894"/>
      <c r="E30" s="1894"/>
      <c r="F30" s="1894"/>
    </row>
    <row r="31" spans="1:7" s="39" customFormat="1">
      <c r="A31" s="273"/>
      <c r="B31" s="273"/>
      <c r="C31" s="273"/>
      <c r="D31" s="443"/>
      <c r="E31" s="130"/>
      <c r="F31" s="130"/>
      <c r="G31" s="130"/>
    </row>
    <row r="32" spans="1:7" s="39" customFormat="1">
      <c r="A32" s="273"/>
      <c r="B32" s="679" t="s">
        <v>316</v>
      </c>
      <c r="C32" s="273"/>
      <c r="D32" s="1873" t="s">
        <v>1244</v>
      </c>
      <c r="E32" s="1873"/>
      <c r="F32" s="1873"/>
      <c r="G32" s="130"/>
    </row>
    <row r="33" spans="1:7" s="39" customFormat="1">
      <c r="A33" s="273"/>
      <c r="B33" s="273"/>
      <c r="C33" s="273"/>
      <c r="D33" s="1873"/>
      <c r="E33" s="1873"/>
      <c r="F33" s="1873"/>
      <c r="G33" s="130"/>
    </row>
    <row r="34" spans="1:7" ht="14.25">
      <c r="A34" s="261"/>
      <c r="B34" s="261"/>
      <c r="D34" s="404"/>
    </row>
    <row r="35" spans="1:7" ht="14.45" customHeight="1">
      <c r="A35" s="261"/>
      <c r="B35" s="679" t="s">
        <v>316</v>
      </c>
      <c r="C35" s="554"/>
      <c r="D35" s="1873" t="s">
        <v>1245</v>
      </c>
      <c r="E35" s="1873"/>
      <c r="F35" s="1873"/>
    </row>
    <row r="36" spans="1:7" ht="14.25">
      <c r="A36" s="261"/>
      <c r="B36" s="261"/>
      <c r="C36" s="554"/>
      <c r="D36" s="1873"/>
      <c r="E36" s="1873"/>
      <c r="F36" s="1873"/>
    </row>
    <row r="37" spans="1:7" ht="14.25">
      <c r="A37" s="261"/>
      <c r="B37" s="261"/>
      <c r="C37" s="554"/>
      <c r="D37" s="1873"/>
      <c r="E37" s="1873"/>
      <c r="F37" s="1873"/>
    </row>
    <row r="38" spans="1:7" ht="14.25">
      <c r="A38" s="261"/>
      <c r="B38" s="261"/>
      <c r="C38" s="554"/>
      <c r="D38" s="12"/>
    </row>
    <row r="39" spans="1:7" s="682" customFormat="1" ht="14.25">
      <c r="A39" s="261"/>
      <c r="B39" s="679" t="s">
        <v>316</v>
      </c>
      <c r="C39" s="699"/>
      <c r="D39" s="1873" t="s">
        <v>1246</v>
      </c>
      <c r="E39" s="1873"/>
      <c r="F39" s="1873"/>
      <c r="G39" s="7"/>
    </row>
    <row r="40" spans="1:7" s="682" customFormat="1" ht="14.25">
      <c r="A40" s="261"/>
      <c r="B40" s="261"/>
      <c r="C40" s="699"/>
      <c r="D40" s="1873"/>
      <c r="E40" s="1873"/>
      <c r="F40" s="1873"/>
      <c r="G40" s="7"/>
    </row>
    <row r="41" spans="1:7" s="682" customFormat="1" ht="14.25">
      <c r="A41" s="261"/>
      <c r="B41" s="261"/>
      <c r="C41" s="699"/>
      <c r="D41" s="1873"/>
      <c r="E41" s="1873"/>
      <c r="F41" s="1873"/>
      <c r="G41" s="7"/>
    </row>
    <row r="42" spans="1:7" s="682" customFormat="1" ht="14.25">
      <c r="A42" s="261"/>
      <c r="B42" s="261"/>
      <c r="C42" s="699"/>
      <c r="D42" s="1873"/>
      <c r="E42" s="1873"/>
      <c r="F42" s="1873"/>
      <c r="G42" s="7"/>
    </row>
    <row r="43" spans="1:7" s="682" customFormat="1" ht="14.25">
      <c r="A43" s="261"/>
      <c r="B43" s="261"/>
      <c r="C43" s="699"/>
      <c r="D43" s="1873"/>
      <c r="E43" s="1873"/>
      <c r="F43" s="1873"/>
      <c r="G43" s="7"/>
    </row>
    <row r="44" spans="1:7" s="682" customFormat="1" ht="14.25">
      <c r="A44" s="261"/>
      <c r="B44" s="261"/>
      <c r="C44" s="699"/>
      <c r="D44" s="698"/>
      <c r="E44" s="698"/>
      <c r="F44" s="698"/>
      <c r="G44" s="7"/>
    </row>
    <row r="45" spans="1:7" ht="14.25">
      <c r="A45" s="261"/>
      <c r="B45" s="679" t="s">
        <v>316</v>
      </c>
      <c r="C45" s="554"/>
      <c r="D45" s="1873" t="s">
        <v>1247</v>
      </c>
      <c r="E45" s="1873"/>
      <c r="F45" s="1873"/>
    </row>
    <row r="46" spans="1:7" ht="14.25">
      <c r="A46" s="261"/>
      <c r="B46" s="261"/>
      <c r="C46" s="554"/>
      <c r="D46" s="1873"/>
      <c r="E46" s="1873"/>
      <c r="F46" s="1873"/>
    </row>
    <row r="47" spans="1:7" ht="14.25">
      <c r="A47" s="261"/>
      <c r="B47" s="261"/>
      <c r="C47" s="554"/>
      <c r="D47" s="1873"/>
      <c r="E47" s="1873"/>
      <c r="F47" s="1873"/>
    </row>
    <row r="48" spans="1:7" ht="23.25" customHeight="1">
      <c r="A48" s="261"/>
      <c r="B48" s="261"/>
      <c r="C48" s="554"/>
      <c r="D48" s="1873"/>
      <c r="E48" s="1873"/>
      <c r="F48" s="1873"/>
    </row>
    <row r="49" spans="1:7" ht="14.25">
      <c r="A49" s="261"/>
      <c r="B49" s="261"/>
      <c r="D49" s="151"/>
    </row>
    <row r="50" spans="1:7" ht="14.45" customHeight="1">
      <c r="A50" s="261"/>
      <c r="B50" s="679" t="s">
        <v>316</v>
      </c>
      <c r="D50" s="1873" t="s">
        <v>1248</v>
      </c>
      <c r="E50" s="1873"/>
      <c r="F50" s="1873"/>
    </row>
    <row r="51" spans="1:7" ht="14.25">
      <c r="A51" s="261"/>
      <c r="B51" s="261"/>
      <c r="D51" s="1873"/>
      <c r="E51" s="1873"/>
      <c r="F51" s="1873"/>
    </row>
    <row r="52" spans="1:7" ht="14.25">
      <c r="A52" s="261"/>
      <c r="B52" s="261"/>
      <c r="D52" s="1873"/>
      <c r="E52" s="1873"/>
      <c r="F52" s="1873"/>
    </row>
    <row r="53" spans="1:7" s="2" customFormat="1" ht="14.25">
      <c r="A53" s="261"/>
      <c r="B53" s="261"/>
      <c r="C53" s="556"/>
      <c r="D53" s="239"/>
      <c r="E53" s="22"/>
      <c r="F53" s="22"/>
      <c r="G53" s="22"/>
    </row>
    <row r="54" spans="1:7" s="2" customFormat="1" ht="14.25">
      <c r="A54" s="403"/>
      <c r="B54" s="679" t="s">
        <v>316</v>
      </c>
      <c r="C54" s="557"/>
      <c r="D54" s="1873" t="s">
        <v>1249</v>
      </c>
      <c r="E54" s="1873"/>
      <c r="F54" s="1873"/>
      <c r="G54" s="22"/>
    </row>
    <row r="55" spans="1:7" s="2" customFormat="1" ht="14.25">
      <c r="A55" s="403"/>
      <c r="B55" s="403"/>
      <c r="C55" s="557"/>
      <c r="D55" s="1873"/>
      <c r="E55" s="1873"/>
      <c r="F55" s="1873"/>
      <c r="G55" s="22"/>
    </row>
    <row r="56" spans="1:7" s="39" customFormat="1">
      <c r="A56" s="273"/>
      <c r="B56" s="273"/>
      <c r="C56" s="273"/>
      <c r="D56" s="443"/>
      <c r="E56" s="130"/>
      <c r="F56" s="130"/>
      <c r="G56" s="130"/>
    </row>
    <row r="57" spans="1:7" ht="14.25">
      <c r="A57" s="261"/>
      <c r="B57" s="679" t="s">
        <v>316</v>
      </c>
      <c r="D57" s="1873" t="s">
        <v>1250</v>
      </c>
      <c r="E57" s="1873"/>
      <c r="F57" s="1873"/>
    </row>
    <row r="58" spans="1:7">
      <c r="D58" s="1873"/>
      <c r="E58" s="1873"/>
      <c r="F58" s="1873"/>
    </row>
    <row r="59" spans="1:7">
      <c r="D59" s="1873"/>
      <c r="E59" s="1873"/>
      <c r="F59" s="1873"/>
    </row>
    <row r="60" spans="1:7" s="682" customFormat="1">
      <c r="A60" s="699"/>
      <c r="B60" s="699"/>
      <c r="C60" s="699"/>
      <c r="D60" s="678"/>
      <c r="E60" s="7"/>
      <c r="F60" s="7"/>
      <c r="G60" s="7"/>
    </row>
    <row r="61" spans="1:7" ht="14.25">
      <c r="A61" s="261"/>
      <c r="B61" s="679" t="s">
        <v>316</v>
      </c>
      <c r="D61" s="1873" t="s">
        <v>1251</v>
      </c>
      <c r="E61" s="1873"/>
      <c r="F61" s="1873"/>
    </row>
    <row r="62" spans="1:7">
      <c r="D62" s="1873"/>
      <c r="E62" s="1873"/>
      <c r="F62" s="1873"/>
    </row>
    <row r="63" spans="1:7"/>
    <row r="64" spans="1:7" ht="14.25">
      <c r="A64" s="261"/>
      <c r="B64" s="679" t="s">
        <v>316</v>
      </c>
      <c r="D64" s="1873" t="s">
        <v>1252</v>
      </c>
      <c r="E64" s="1873"/>
      <c r="F64" s="1873"/>
    </row>
    <row r="65" spans="1:7">
      <c r="D65" s="1873"/>
      <c r="E65" s="1873"/>
      <c r="F65" s="1873"/>
    </row>
    <row r="66" spans="1:7">
      <c r="A66" s="555"/>
      <c r="C66" s="555"/>
      <c r="D66" s="1873"/>
      <c r="E66" s="1873"/>
      <c r="F66" s="1873"/>
    </row>
    <row r="67" spans="1:7">
      <c r="D67" s="12"/>
    </row>
    <row r="68" spans="1:7" ht="14.25">
      <c r="A68" s="261"/>
      <c r="B68" s="679" t="s">
        <v>316</v>
      </c>
      <c r="D68" s="1871" t="s">
        <v>1253</v>
      </c>
      <c r="E68" s="1871"/>
      <c r="F68" s="1871"/>
    </row>
    <row r="69" spans="1:7">
      <c r="D69" s="1871"/>
      <c r="E69" s="1871"/>
      <c r="F69" s="1871"/>
    </row>
    <row r="70" spans="1:7" ht="14.25">
      <c r="A70" s="261"/>
      <c r="B70" s="261"/>
      <c r="D70" s="135"/>
    </row>
    <row r="71" spans="1:7">
      <c r="A71" s="1897" t="s">
        <v>1160</v>
      </c>
      <c r="B71" s="1897"/>
      <c r="C71" s="1897"/>
      <c r="D71" s="1897"/>
      <c r="E71" s="1897"/>
      <c r="F71" s="1897"/>
      <c r="G71" s="1897"/>
    </row>
    <row r="72" spans="1:7"/>
    <row r="73" spans="1:7">
      <c r="C73" s="262"/>
      <c r="D73" s="1913" t="s">
        <v>1258</v>
      </c>
      <c r="E73" s="1913"/>
      <c r="F73" s="1913"/>
    </row>
    <row r="74" spans="1:7">
      <c r="A74" s="135"/>
      <c r="B74" s="135"/>
      <c r="D74" s="1871" t="s">
        <v>1285</v>
      </c>
      <c r="E74" s="1871"/>
      <c r="F74" s="1871"/>
    </row>
    <row r="75" spans="1:7">
      <c r="A75" s="135"/>
      <c r="B75" s="135"/>
    </row>
    <row r="76" spans="1:7" ht="14.25">
      <c r="A76" s="261"/>
      <c r="B76" s="679" t="s">
        <v>316</v>
      </c>
      <c r="D76" s="1871" t="s">
        <v>1259</v>
      </c>
      <c r="E76" s="1871"/>
      <c r="F76" s="1871"/>
    </row>
    <row r="77" spans="1:7" ht="14.25">
      <c r="A77" s="261"/>
      <c r="B77" s="261"/>
      <c r="D77" s="1871"/>
      <c r="E77" s="1871"/>
      <c r="F77" s="1871"/>
    </row>
    <row r="78" spans="1:7" ht="14.25">
      <c r="A78" s="261"/>
      <c r="B78" s="261"/>
      <c r="D78" s="1871"/>
      <c r="E78" s="1871"/>
      <c r="F78" s="1871"/>
    </row>
    <row r="79" spans="1:7" ht="14.25">
      <c r="A79" s="261"/>
      <c r="B79" s="261"/>
      <c r="D79" s="1871"/>
      <c r="E79" s="1871"/>
      <c r="F79" s="1871"/>
    </row>
    <row r="80" spans="1:7" ht="14.25">
      <c r="A80" s="261"/>
      <c r="B80" s="261"/>
      <c r="D80" s="1871"/>
      <c r="E80" s="1871"/>
      <c r="F80" s="1871"/>
    </row>
    <row r="81" spans="1:7" ht="14.25">
      <c r="A81" s="261"/>
      <c r="B81" s="261"/>
      <c r="D81" s="1871"/>
      <c r="E81" s="1871"/>
      <c r="F81" s="1871"/>
    </row>
    <row r="82" spans="1:7" s="706" customFormat="1" ht="14.25">
      <c r="A82" s="707"/>
      <c r="B82" s="707"/>
      <c r="C82" s="705"/>
      <c r="D82" s="709"/>
      <c r="E82" s="709"/>
      <c r="F82" s="709"/>
      <c r="G82" s="7"/>
    </row>
    <row r="83" spans="1:7" s="706" customFormat="1" ht="14.45" customHeight="1">
      <c r="A83" s="707"/>
      <c r="B83" s="712" t="s">
        <v>316</v>
      </c>
      <c r="C83" s="705"/>
      <c r="D83" s="1928" t="s">
        <v>1358</v>
      </c>
      <c r="E83" s="1928"/>
      <c r="F83" s="1928"/>
      <c r="G83" s="7"/>
    </row>
    <row r="84" spans="1:7" s="706" customFormat="1" ht="14.25">
      <c r="A84" s="707"/>
      <c r="B84" s="707"/>
      <c r="C84" s="705"/>
      <c r="D84" s="1928"/>
      <c r="E84" s="1928"/>
      <c r="F84" s="1928"/>
      <c r="G84" s="7"/>
    </row>
    <row r="85" spans="1:7" s="706" customFormat="1" ht="14.25">
      <c r="A85" s="707"/>
      <c r="B85" s="707"/>
      <c r="C85" s="705"/>
      <c r="D85" s="1928"/>
      <c r="E85" s="1928"/>
      <c r="F85" s="1928"/>
      <c r="G85" s="7"/>
    </row>
    <row r="86" spans="1:7" s="706" customFormat="1" ht="14.25">
      <c r="A86" s="707"/>
      <c r="B86" s="707"/>
      <c r="C86" s="705"/>
      <c r="D86" s="1928"/>
      <c r="E86" s="1928"/>
      <c r="F86" s="1928"/>
      <c r="G86" s="7"/>
    </row>
    <row r="87" spans="1:7" s="706" customFormat="1" ht="14.25">
      <c r="A87" s="707"/>
      <c r="B87" s="707"/>
      <c r="C87" s="705"/>
      <c r="D87" s="1928"/>
      <c r="E87" s="1928"/>
      <c r="F87" s="1928"/>
      <c r="G87" s="7"/>
    </row>
    <row r="88" spans="1:7" s="719" customFormat="1" ht="14.25">
      <c r="A88" s="714"/>
      <c r="B88" s="714"/>
      <c r="C88" s="745"/>
      <c r="D88" s="1928"/>
      <c r="E88" s="1928"/>
      <c r="F88" s="1928"/>
      <c r="G88" s="7"/>
    </row>
    <row r="89" spans="1:7" s="719" customFormat="1" ht="14.25">
      <c r="A89" s="714"/>
      <c r="B89" s="714"/>
      <c r="C89" s="745"/>
      <c r="D89" s="1928"/>
      <c r="E89" s="1928"/>
      <c r="F89" s="1928"/>
      <c r="G89" s="7"/>
    </row>
    <row r="90" spans="1:7" s="719" customFormat="1" ht="14.25">
      <c r="A90" s="714"/>
      <c r="B90" s="714"/>
      <c r="C90" s="745"/>
      <c r="D90" s="1928"/>
      <c r="E90" s="1928"/>
      <c r="F90" s="1928"/>
      <c r="G90" s="7"/>
    </row>
    <row r="91" spans="1:7" ht="14.25">
      <c r="A91" s="261"/>
      <c r="B91" s="261"/>
      <c r="D91" s="1928"/>
      <c r="E91" s="1928"/>
      <c r="F91" s="1928"/>
    </row>
    <row r="92" spans="1:7" ht="14.25">
      <c r="A92" s="261"/>
      <c r="B92" s="261"/>
      <c r="D92" s="1928"/>
      <c r="E92" s="1928"/>
      <c r="F92" s="1928"/>
    </row>
    <row r="93" spans="1:7" ht="14.25">
      <c r="A93" s="261"/>
      <c r="B93" s="261"/>
      <c r="D93" s="1928"/>
      <c r="E93" s="1928"/>
      <c r="F93" s="1928"/>
    </row>
    <row r="94" spans="1:7" ht="14.25">
      <c r="A94" s="261"/>
      <c r="B94" s="261"/>
      <c r="D94" s="1928"/>
      <c r="E94" s="1928"/>
      <c r="F94" s="1928"/>
    </row>
    <row r="95" spans="1:7" ht="14.25">
      <c r="A95" s="261"/>
      <c r="B95" s="261"/>
      <c r="D95" s="1928"/>
      <c r="E95" s="1928"/>
      <c r="F95" s="1928"/>
    </row>
    <row r="96" spans="1:7" ht="14.25">
      <c r="A96" s="261"/>
      <c r="B96" s="261"/>
      <c r="D96" s="1928"/>
      <c r="E96" s="1928"/>
      <c r="F96" s="1928"/>
    </row>
    <row r="97" spans="1:11" s="710" customFormat="1" ht="14.25">
      <c r="A97" s="711"/>
      <c r="B97" s="715" t="s">
        <v>316</v>
      </c>
      <c r="C97" s="705"/>
      <c r="D97" s="1871" t="s">
        <v>1260</v>
      </c>
      <c r="E97" s="1871"/>
      <c r="F97" s="1871"/>
      <c r="G97" s="7"/>
    </row>
    <row r="98" spans="1:11" s="710" customFormat="1" ht="14.25">
      <c r="A98" s="711"/>
      <c r="B98" s="711"/>
      <c r="C98" s="705"/>
      <c r="D98" s="1871"/>
      <c r="E98" s="1871"/>
      <c r="F98" s="1871"/>
      <c r="G98" s="7"/>
    </row>
    <row r="99" spans="1:11" s="710" customFormat="1" ht="14.25">
      <c r="A99" s="711"/>
      <c r="B99" s="711"/>
      <c r="C99" s="705"/>
      <c r="D99" s="1871"/>
      <c r="E99" s="1871"/>
      <c r="F99" s="1871"/>
      <c r="G99" s="7"/>
    </row>
    <row r="100" spans="1:11" s="710" customFormat="1" ht="14.25">
      <c r="A100" s="711"/>
      <c r="B100" s="711"/>
      <c r="C100" s="705"/>
      <c r="D100" s="1871"/>
      <c r="E100" s="1871"/>
      <c r="F100" s="1871"/>
      <c r="G100" s="7"/>
    </row>
    <row r="101" spans="1:11" s="710" customFormat="1" ht="14.25">
      <c r="A101" s="711"/>
      <c r="B101" s="711"/>
      <c r="C101" s="705"/>
      <c r="D101" s="1871"/>
      <c r="E101" s="1871"/>
      <c r="F101" s="1871"/>
      <c r="G101" s="7"/>
    </row>
    <row r="102" spans="1:11" s="710" customFormat="1" ht="14.25">
      <c r="A102" s="711"/>
      <c r="B102" s="711"/>
      <c r="C102" s="705"/>
      <c r="D102" s="1871"/>
      <c r="E102" s="1871"/>
      <c r="F102" s="1871"/>
      <c r="G102" s="7"/>
    </row>
    <row r="103" spans="1:11" s="710" customFormat="1" ht="14.25">
      <c r="A103" s="711"/>
      <c r="B103" s="711"/>
      <c r="C103" s="705"/>
      <c r="D103" s="1871"/>
      <c r="E103" s="1871"/>
      <c r="F103" s="1871"/>
      <c r="G103" s="7"/>
    </row>
    <row r="104" spans="1:11" s="710" customFormat="1" ht="14.25">
      <c r="A104" s="711"/>
      <c r="B104" s="711"/>
      <c r="C104" s="705"/>
      <c r="D104" s="1871"/>
      <c r="E104" s="1871"/>
      <c r="F104" s="1871"/>
      <c r="G104" s="7"/>
    </row>
    <row r="105" spans="1:11" s="713" customFormat="1" ht="14.25">
      <c r="A105" s="714"/>
      <c r="B105" s="714"/>
      <c r="C105" s="705"/>
      <c r="D105" s="716"/>
      <c r="E105" s="716"/>
      <c r="F105" s="716"/>
      <c r="G105" s="7"/>
    </row>
    <row r="106" spans="1:11" ht="14.25">
      <c r="A106" s="403"/>
      <c r="B106" s="708" t="s">
        <v>316</v>
      </c>
      <c r="C106" s="469"/>
      <c r="D106" s="1929" t="s">
        <v>1261</v>
      </c>
      <c r="E106" s="1929"/>
      <c r="F106" s="1929"/>
      <c r="G106" s="470"/>
      <c r="H106" s="468"/>
      <c r="I106" s="468"/>
      <c r="J106" s="468"/>
      <c r="K106" s="468"/>
    </row>
    <row r="107" spans="1:11" ht="14.25">
      <c r="A107" s="261"/>
      <c r="B107" s="261"/>
      <c r="C107" s="315"/>
      <c r="D107" s="1929"/>
      <c r="E107" s="1929"/>
      <c r="F107" s="1929"/>
      <c r="G107" s="470"/>
      <c r="H107" s="468"/>
      <c r="I107" s="468"/>
      <c r="J107" s="468"/>
      <c r="K107" s="468"/>
    </row>
    <row r="108" spans="1:11" ht="14.25">
      <c r="A108" s="261"/>
      <c r="B108" s="261"/>
      <c r="C108" s="315"/>
      <c r="D108" s="1929"/>
      <c r="E108" s="1929"/>
      <c r="F108" s="1929"/>
      <c r="G108" s="470"/>
      <c r="H108" s="468"/>
      <c r="I108" s="468"/>
      <c r="J108" s="468"/>
      <c r="K108" s="468"/>
    </row>
    <row r="109" spans="1:11" ht="14.25">
      <c r="A109" s="261"/>
      <c r="B109" s="261"/>
      <c r="C109" s="315"/>
      <c r="D109" s="1929"/>
      <c r="E109" s="1929"/>
      <c r="F109" s="1929"/>
      <c r="G109" s="470"/>
      <c r="H109" s="468"/>
      <c r="I109" s="468"/>
      <c r="J109" s="468"/>
      <c r="K109" s="468"/>
    </row>
    <row r="110" spans="1:11" ht="14.25">
      <c r="A110" s="261"/>
      <c r="B110" s="261"/>
      <c r="C110" s="315"/>
      <c r="D110" s="1929"/>
      <c r="E110" s="1929"/>
      <c r="F110" s="1929"/>
      <c r="G110" s="470"/>
      <c r="H110" s="468"/>
      <c r="I110" s="468"/>
      <c r="J110" s="468"/>
      <c r="K110" s="468"/>
    </row>
    <row r="111" spans="1:11">
      <c r="C111"/>
      <c r="D111" s="1929"/>
      <c r="E111" s="1929"/>
      <c r="F111" s="1929"/>
      <c r="G111"/>
      <c r="H111"/>
      <c r="I111"/>
      <c r="J111"/>
      <c r="K111"/>
    </row>
    <row r="112" spans="1:11">
      <c r="C112"/>
      <c r="D112" s="1929"/>
      <c r="E112" s="1929"/>
      <c r="F112" s="1929"/>
      <c r="G112"/>
      <c r="H112"/>
      <c r="I112"/>
      <c r="J112"/>
      <c r="K112"/>
    </row>
    <row r="113" spans="1:11">
      <c r="C113"/>
      <c r="D113" s="477"/>
      <c r="E113"/>
      <c r="F113"/>
      <c r="G113"/>
      <c r="H113"/>
      <c r="I113"/>
      <c r="J113"/>
      <c r="K113"/>
    </row>
    <row r="114" spans="1:11" ht="14.25">
      <c r="A114" s="261"/>
      <c r="B114" s="679" t="s">
        <v>316</v>
      </c>
      <c r="C114"/>
      <c r="D114" s="1930" t="s">
        <v>1262</v>
      </c>
      <c r="E114" s="1930"/>
      <c r="F114" s="1930"/>
      <c r="G114"/>
      <c r="H114"/>
      <c r="I114"/>
      <c r="J114"/>
      <c r="K114"/>
    </row>
    <row r="115" spans="1:11" ht="14.25">
      <c r="A115" s="261"/>
      <c r="B115" s="261"/>
      <c r="C115"/>
      <c r="D115" s="1930"/>
      <c r="E115" s="1930"/>
      <c r="F115" s="1930"/>
      <c r="G115"/>
      <c r="H115"/>
      <c r="I115"/>
      <c r="J115"/>
      <c r="K115"/>
    </row>
    <row r="116" spans="1:11"/>
    <row r="117" spans="1:11" ht="14.25">
      <c r="A117" s="261"/>
      <c r="B117" s="679" t="s">
        <v>316</v>
      </c>
      <c r="C117" s="10"/>
      <c r="D117" s="1871" t="s">
        <v>1263</v>
      </c>
      <c r="E117" s="1871"/>
      <c r="F117" s="1871"/>
    </row>
    <row r="118" spans="1:11">
      <c r="C118" s="10"/>
      <c r="D118" s="1871"/>
      <c r="E118" s="1871"/>
      <c r="F118" s="1871"/>
    </row>
    <row r="119" spans="1:11">
      <c r="C119" s="10"/>
      <c r="D119" s="1871"/>
      <c r="E119" s="1871"/>
      <c r="F119" s="1871"/>
    </row>
    <row r="120" spans="1:11">
      <c r="C120" s="10"/>
      <c r="D120" s="1871"/>
      <c r="E120" s="1871"/>
      <c r="F120" s="1871"/>
    </row>
    <row r="121" spans="1:11">
      <c r="C121" s="10"/>
      <c r="D121" s="1871"/>
      <c r="E121" s="1871"/>
      <c r="F121" s="1871"/>
    </row>
    <row r="122" spans="1:11">
      <c r="C122" s="10"/>
      <c r="D122" s="149"/>
      <c r="E122" s="149"/>
      <c r="F122" s="149"/>
    </row>
    <row r="123" spans="1:11" customFormat="1" ht="14.25">
      <c r="A123" s="261"/>
      <c r="B123" s="679" t="s">
        <v>316</v>
      </c>
      <c r="C123" s="10"/>
      <c r="D123" s="1873" t="s">
        <v>1264</v>
      </c>
      <c r="E123" s="1873"/>
      <c r="F123" s="1873"/>
      <c r="G123" s="149"/>
    </row>
    <row r="124" spans="1:11" s="296" customFormat="1" ht="13.7" customHeight="1">
      <c r="A124" s="293"/>
      <c r="B124" s="293"/>
      <c r="C124" s="294"/>
      <c r="D124" s="1873"/>
      <c r="E124" s="1873"/>
      <c r="F124" s="1873"/>
      <c r="G124" s="295"/>
    </row>
    <row r="125" spans="1:11" customFormat="1" ht="13.7" customHeight="1">
      <c r="A125" s="132"/>
      <c r="B125" s="676"/>
      <c r="C125" s="10"/>
      <c r="D125" s="1873"/>
      <c r="E125" s="1873"/>
      <c r="F125" s="1873"/>
      <c r="G125" s="149"/>
    </row>
    <row r="126" spans="1:11" customFormat="1" ht="13.7" customHeight="1">
      <c r="A126" s="132"/>
      <c r="B126" s="676"/>
      <c r="C126" s="10"/>
      <c r="D126" s="1873"/>
      <c r="E126" s="1873"/>
      <c r="F126" s="1873"/>
      <c r="G126" s="149"/>
    </row>
    <row r="127" spans="1:11" customFormat="1" ht="13.7" customHeight="1">
      <c r="A127" s="132"/>
      <c r="B127" s="676"/>
      <c r="C127" s="10"/>
      <c r="D127" s="1873"/>
      <c r="E127" s="1873"/>
      <c r="F127" s="1873"/>
      <c r="G127" s="149"/>
    </row>
    <row r="128" spans="1:11" customFormat="1" ht="13.7" customHeight="1">
      <c r="A128" s="378"/>
      <c r="B128" s="378"/>
      <c r="C128" s="10"/>
      <c r="D128" s="1873"/>
      <c r="E128" s="1873"/>
      <c r="F128" s="1873"/>
      <c r="G128" s="149"/>
    </row>
    <row r="129" spans="1:7" s="2" customFormat="1" ht="13.7" customHeight="1">
      <c r="A129" s="273"/>
      <c r="B129" s="273"/>
      <c r="C129" s="442"/>
      <c r="D129" s="1873"/>
      <c r="E129" s="1873"/>
      <c r="F129" s="1873"/>
      <c r="G129" s="182"/>
    </row>
    <row r="130" spans="1:7" s="2" customFormat="1" ht="13.7" customHeight="1">
      <c r="A130" s="273"/>
      <c r="B130" s="273"/>
      <c r="C130" s="442"/>
      <c r="D130" s="1873"/>
      <c r="E130" s="1873"/>
      <c r="F130" s="1873"/>
      <c r="G130" s="182"/>
    </row>
    <row r="131" spans="1:7" customFormat="1" ht="13.7" customHeight="1">
      <c r="A131" s="132"/>
      <c r="B131" s="676"/>
      <c r="C131" s="10"/>
      <c r="D131" s="1873"/>
      <c r="E131" s="1873"/>
      <c r="F131" s="1873"/>
      <c r="G131" s="149"/>
    </row>
    <row r="132" spans="1:7" customFormat="1" ht="13.7" customHeight="1">
      <c r="A132" s="132"/>
      <c r="B132" s="676"/>
      <c r="C132" s="10"/>
      <c r="D132" s="1873"/>
      <c r="E132" s="1873"/>
      <c r="F132" s="1873"/>
      <c r="G132" s="149"/>
    </row>
    <row r="133" spans="1:7" customFormat="1" ht="13.7" customHeight="1">
      <c r="A133" s="132"/>
      <c r="B133" s="676"/>
      <c r="C133" s="10"/>
      <c r="D133" s="1873"/>
      <c r="E133" s="1873"/>
      <c r="F133" s="1873"/>
      <c r="G133" s="149"/>
    </row>
    <row r="134" spans="1:7" customFormat="1" ht="13.7" customHeight="1">
      <c r="A134" s="132"/>
      <c r="B134" s="676"/>
      <c r="C134" s="10"/>
      <c r="D134" s="1873"/>
      <c r="E134" s="1873"/>
      <c r="F134" s="187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71" t="s">
        <v>1372</v>
      </c>
      <c r="E136" s="1871"/>
      <c r="F136" s="1871"/>
      <c r="G136" s="149"/>
    </row>
    <row r="137" spans="1:7" s="717" customFormat="1" ht="13.7" customHeight="1">
      <c r="A137" s="705"/>
      <c r="B137" s="705"/>
      <c r="C137" s="10"/>
      <c r="D137" s="1871"/>
      <c r="E137" s="1871"/>
      <c r="F137" s="1871"/>
      <c r="G137" s="149"/>
    </row>
    <row r="138" spans="1:7" s="717" customFormat="1" ht="13.7" customHeight="1">
      <c r="A138" s="705"/>
      <c r="B138" s="705"/>
      <c r="C138" s="10"/>
      <c r="D138" s="1871"/>
      <c r="E138" s="1871"/>
      <c r="F138" s="1871"/>
      <c r="G138" s="149"/>
    </row>
    <row r="139" spans="1:7" s="717" customFormat="1" ht="13.7" customHeight="1">
      <c r="A139" s="705"/>
      <c r="B139" s="705"/>
      <c r="C139" s="10"/>
      <c r="D139" s="1871"/>
      <c r="E139" s="1871"/>
      <c r="F139" s="1871"/>
      <c r="G139" s="149"/>
    </row>
    <row r="140" spans="1:7" s="717" customFormat="1" ht="13.7" customHeight="1">
      <c r="A140" s="705"/>
      <c r="B140" s="705"/>
      <c r="C140" s="10"/>
      <c r="D140" s="1871"/>
      <c r="E140" s="1871"/>
      <c r="F140" s="1871"/>
      <c r="G140" s="149"/>
    </row>
    <row r="141" spans="1:7" s="717" customFormat="1" ht="13.7" customHeight="1">
      <c r="A141" s="705"/>
      <c r="B141" s="705"/>
      <c r="C141" s="10"/>
      <c r="D141" s="1871"/>
      <c r="E141" s="1871"/>
      <c r="F141" s="1871"/>
      <c r="G141" s="149"/>
    </row>
    <row r="142" spans="1:7" s="717" customFormat="1" ht="13.7" customHeight="1">
      <c r="A142" s="705"/>
      <c r="B142" s="705"/>
      <c r="C142" s="10"/>
      <c r="D142" s="1871"/>
      <c r="E142" s="1871"/>
      <c r="F142" s="1871"/>
      <c r="G142" s="149"/>
    </row>
    <row r="143" spans="1:7" s="717" customFormat="1" ht="13.7" customHeight="1">
      <c r="A143" s="705"/>
      <c r="B143" s="705"/>
      <c r="C143" s="10"/>
      <c r="D143" s="1871"/>
      <c r="E143" s="1871"/>
      <c r="F143" s="1871"/>
      <c r="G143" s="149"/>
    </row>
    <row r="144" spans="1:7" s="717" customFormat="1" ht="13.7" customHeight="1">
      <c r="A144" s="705"/>
      <c r="B144" s="705"/>
      <c r="C144" s="10"/>
      <c r="D144" s="1871"/>
      <c r="E144" s="1871"/>
      <c r="F144" s="1871"/>
      <c r="G144" s="149"/>
    </row>
    <row r="145" spans="1:7" s="717" customFormat="1" ht="13.7" customHeight="1">
      <c r="A145" s="705"/>
      <c r="B145" s="705"/>
      <c r="C145" s="10"/>
      <c r="D145" s="1871"/>
      <c r="E145" s="1871"/>
      <c r="F145" s="1871"/>
      <c r="G145" s="149"/>
    </row>
    <row r="146" spans="1:7" s="717" customFormat="1" ht="13.7" customHeight="1">
      <c r="A146" s="747"/>
      <c r="B146" s="747"/>
      <c r="C146" s="10"/>
      <c r="D146" s="1871"/>
      <c r="E146" s="1871"/>
      <c r="F146" s="1871"/>
      <c r="G146" s="149"/>
    </row>
    <row r="147" spans="1:7" s="717" customFormat="1" ht="13.7" customHeight="1">
      <c r="A147" s="747"/>
      <c r="B147" s="747"/>
      <c r="C147" s="10"/>
      <c r="D147" s="1871"/>
      <c r="E147" s="1871"/>
      <c r="F147" s="1871"/>
      <c r="G147" s="149"/>
    </row>
    <row r="148" spans="1:7" s="717" customFormat="1" ht="13.7" customHeight="1">
      <c r="A148" s="705"/>
      <c r="B148" s="705"/>
      <c r="C148" s="10"/>
      <c r="D148" s="1871"/>
      <c r="E148" s="1871"/>
      <c r="F148" s="1871"/>
      <c r="G148" s="149"/>
    </row>
    <row r="149" spans="1:7" s="717" customFormat="1" ht="13.7" customHeight="1">
      <c r="A149" s="705"/>
      <c r="B149" s="705"/>
      <c r="C149" s="10"/>
      <c r="D149" s="1871"/>
      <c r="E149" s="1871"/>
      <c r="F149" s="1871"/>
      <c r="G149" s="149"/>
    </row>
    <row r="150" spans="1:7" s="717" customFormat="1" ht="13.7" customHeight="1">
      <c r="A150" s="705"/>
      <c r="B150" s="705"/>
      <c r="C150" s="10"/>
      <c r="D150" s="1871"/>
      <c r="E150" s="1871"/>
      <c r="F150" s="1871"/>
      <c r="G150" s="149"/>
    </row>
    <row r="151" spans="1:7" s="717" customFormat="1" ht="13.7" customHeight="1">
      <c r="A151" s="705"/>
      <c r="B151" s="705"/>
      <c r="C151" s="10"/>
      <c r="D151" s="1871"/>
      <c r="E151" s="1871"/>
      <c r="F151" s="1871"/>
      <c r="G151" s="149"/>
    </row>
    <row r="152" spans="1:7" s="717" customFormat="1" ht="13.7" customHeight="1">
      <c r="A152" s="705"/>
      <c r="B152" s="705"/>
      <c r="C152" s="10"/>
      <c r="D152" s="1871"/>
      <c r="E152" s="1871"/>
      <c r="F152" s="1871"/>
      <c r="G152" s="149"/>
    </row>
    <row r="153" spans="1:7" s="717" customFormat="1" ht="13.7" customHeight="1">
      <c r="A153" s="705"/>
      <c r="B153" s="705"/>
      <c r="C153" s="10"/>
      <c r="D153" s="1871"/>
      <c r="E153" s="1871"/>
      <c r="F153" s="1871"/>
      <c r="G153" s="149"/>
    </row>
    <row r="154" spans="1:7" s="717" customFormat="1" ht="13.7" customHeight="1">
      <c r="A154" s="705"/>
      <c r="B154" s="705"/>
      <c r="C154" s="10"/>
      <c r="D154" s="1871"/>
      <c r="E154" s="1871"/>
      <c r="F154" s="187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31" t="s">
        <v>1265</v>
      </c>
      <c r="E156" s="1931"/>
      <c r="F156" s="1931"/>
      <c r="G156" s="444"/>
    </row>
    <row r="157" spans="1:7" customFormat="1" ht="13.7" customHeight="1">
      <c r="A157" s="378"/>
      <c r="B157" s="378"/>
      <c r="C157" s="325"/>
      <c r="D157" s="1931"/>
      <c r="E157" s="1931"/>
      <c r="F157" s="1931"/>
      <c r="G157" s="444"/>
    </row>
    <row r="158" spans="1:7" customFormat="1" ht="13.7" customHeight="1">
      <c r="A158" s="378"/>
      <c r="B158" s="378"/>
      <c r="C158" s="325"/>
      <c r="D158" s="327"/>
      <c r="E158" s="325"/>
      <c r="F158" s="325"/>
      <c r="G158" s="444"/>
    </row>
    <row r="159" spans="1:7" customFormat="1" ht="13.7" customHeight="1">
      <c r="A159" s="378"/>
      <c r="B159" s="679" t="s">
        <v>316</v>
      </c>
      <c r="C159" s="325"/>
      <c r="D159" s="1874" t="s">
        <v>1266</v>
      </c>
      <c r="E159" s="1874"/>
      <c r="F159" s="1874"/>
      <c r="G159" s="444"/>
    </row>
    <row r="160" spans="1:7" customFormat="1" ht="13.7" customHeight="1">
      <c r="A160" s="378"/>
      <c r="B160" s="378"/>
      <c r="C160" s="325"/>
      <c r="D160" s="1874"/>
      <c r="E160" s="1874"/>
      <c r="F160" s="1874"/>
      <c r="G160" s="444"/>
    </row>
    <row r="161" spans="1:7" customFormat="1" ht="13.7" customHeight="1">
      <c r="A161" s="378"/>
      <c r="B161" s="378"/>
      <c r="C161" s="325"/>
      <c r="D161" s="1874"/>
      <c r="E161" s="1874"/>
      <c r="F161" s="1874"/>
      <c r="G161" s="444"/>
    </row>
    <row r="162" spans="1:7" customFormat="1" ht="13.7" customHeight="1">
      <c r="A162" s="378"/>
      <c r="B162" s="378"/>
      <c r="C162" s="325"/>
      <c r="D162" s="1874"/>
      <c r="E162" s="1874"/>
      <c r="F162" s="1874"/>
      <c r="G162" s="444"/>
    </row>
    <row r="163" spans="1:7" customFormat="1" ht="13.7" customHeight="1">
      <c r="A163" s="132"/>
      <c r="B163" s="676"/>
      <c r="C163" s="10"/>
      <c r="D163" s="151"/>
      <c r="E163" s="151"/>
      <c r="F163" s="151"/>
      <c r="G163" s="149"/>
    </row>
    <row r="164" spans="1:7" customFormat="1" ht="13.7" customHeight="1">
      <c r="A164" s="132"/>
      <c r="B164" s="679" t="s">
        <v>316</v>
      </c>
      <c r="C164" s="10"/>
      <c r="D164" s="1919" t="s">
        <v>1267</v>
      </c>
      <c r="E164" s="1919"/>
      <c r="F164" s="1919"/>
      <c r="G164" s="149"/>
    </row>
    <row r="165" spans="1:7" customFormat="1" ht="13.7" customHeight="1">
      <c r="A165" s="132"/>
      <c r="B165" s="676"/>
      <c r="C165" s="10"/>
      <c r="D165" s="1919"/>
      <c r="E165" s="1919"/>
      <c r="F165" s="1919"/>
      <c r="G165" s="149"/>
    </row>
    <row r="166" spans="1:7" customFormat="1" ht="13.7" customHeight="1">
      <c r="A166" s="132"/>
      <c r="B166" s="676"/>
      <c r="C166" s="10"/>
      <c r="D166" s="1919"/>
      <c r="E166" s="1919"/>
      <c r="F166" s="1919"/>
      <c r="G166" s="149"/>
    </row>
    <row r="167" spans="1:7" customFormat="1" ht="13.7" customHeight="1">
      <c r="A167" s="23"/>
      <c r="B167" s="675"/>
      <c r="C167" s="10"/>
      <c r="D167" s="7"/>
      <c r="E167" s="151"/>
      <c r="F167" s="151"/>
      <c r="G167" s="149"/>
    </row>
    <row r="168" spans="1:7">
      <c r="A168" s="1897" t="s">
        <v>1161</v>
      </c>
      <c r="B168" s="1897"/>
      <c r="C168" s="1897"/>
      <c r="D168" s="1897"/>
      <c r="E168" s="1897"/>
      <c r="F168" s="1897"/>
      <c r="G168" s="1897"/>
    </row>
    <row r="169" spans="1:7" ht="12" customHeight="1">
      <c r="D169" s="135"/>
      <c r="E169" s="135"/>
      <c r="F169" s="135"/>
    </row>
    <row r="170" spans="1:7">
      <c r="B170" s="1893" t="s">
        <v>470</v>
      </c>
      <c r="C170" s="1893"/>
      <c r="D170" s="1893"/>
      <c r="E170" s="1893"/>
      <c r="F170" s="1893"/>
    </row>
    <row r="171" spans="1:7" ht="12" customHeight="1">
      <c r="A171" s="255"/>
      <c r="B171" s="673"/>
      <c r="C171" s="255"/>
    </row>
    <row r="172" spans="1:7">
      <c r="A172" s="1897" t="s">
        <v>1162</v>
      </c>
      <c r="B172" s="1897"/>
      <c r="C172" s="1897"/>
      <c r="D172" s="1897"/>
      <c r="E172" s="1897"/>
      <c r="F172" s="1897"/>
      <c r="G172" s="1897"/>
    </row>
    <row r="173" spans="1:7" ht="12" customHeight="1">
      <c r="A173" s="264"/>
      <c r="B173" s="264"/>
      <c r="C173" s="265"/>
      <c r="D173" s="57"/>
      <c r="E173" s="49"/>
      <c r="F173" s="57"/>
      <c r="G173" s="57"/>
    </row>
    <row r="174" spans="1:7" ht="13.35" customHeight="1">
      <c r="A174" s="264"/>
      <c r="B174" s="264"/>
      <c r="C174" s="265"/>
      <c r="D174" s="1933" t="s">
        <v>1270</v>
      </c>
      <c r="E174" s="1933"/>
      <c r="F174" s="1933"/>
      <c r="G174" s="57"/>
    </row>
    <row r="175" spans="1:7">
      <c r="A175" s="264"/>
      <c r="B175" s="264"/>
      <c r="C175" s="265"/>
      <c r="D175" s="1933"/>
      <c r="E175" s="1933"/>
      <c r="F175" s="1933"/>
      <c r="G175" s="57"/>
    </row>
    <row r="176" spans="1:7" s="719" customFormat="1">
      <c r="A176" s="721"/>
      <c r="B176" s="721"/>
      <c r="C176" s="265"/>
      <c r="D176" s="1934" t="s">
        <v>1271</v>
      </c>
      <c r="E176" s="1934"/>
      <c r="F176" s="1934"/>
      <c r="G176" s="57"/>
    </row>
    <row r="177" spans="1:7" ht="12" customHeight="1">
      <c r="A177" s="264"/>
      <c r="B177" s="264"/>
      <c r="C177" s="265"/>
      <c r="D177" s="57"/>
      <c r="E177" s="49"/>
      <c r="F177" s="57"/>
      <c r="G177" s="57"/>
    </row>
    <row r="178" spans="1:7" ht="14.25">
      <c r="A178" s="261"/>
      <c r="B178" s="679" t="s">
        <v>316</v>
      </c>
      <c r="C178" s="265"/>
      <c r="D178" s="1932" t="s">
        <v>1269</v>
      </c>
      <c r="E178" s="1932"/>
      <c r="F178" s="1932"/>
      <c r="G178" s="57"/>
    </row>
    <row r="179" spans="1:7" ht="14.25">
      <c r="A179" s="261"/>
      <c r="B179" s="261"/>
      <c r="C179" s="265"/>
      <c r="D179" s="1932"/>
      <c r="E179" s="1932"/>
      <c r="F179" s="1932"/>
      <c r="G179" s="57"/>
    </row>
    <row r="180" spans="1:7" ht="14.25">
      <c r="A180" s="261"/>
      <c r="B180" s="261"/>
      <c r="C180" s="265"/>
      <c r="D180" s="1932"/>
      <c r="E180" s="1932"/>
      <c r="F180" s="1932"/>
      <c r="G180" s="57"/>
    </row>
    <row r="181" spans="1:7">
      <c r="A181" s="265"/>
      <c r="B181" s="265"/>
      <c r="C181" s="265"/>
      <c r="D181" s="1932"/>
      <c r="E181" s="1932"/>
      <c r="F181" s="1932"/>
    </row>
    <row r="182" spans="1:7">
      <c r="A182" s="265"/>
      <c r="B182" s="265"/>
      <c r="C182" s="265"/>
      <c r="D182" s="404"/>
      <c r="E182" s="57"/>
      <c r="F182" s="57"/>
    </row>
    <row r="183" spans="1:7">
      <c r="A183" s="265"/>
      <c r="B183" s="265"/>
      <c r="C183" s="265"/>
      <c r="D183" s="1936" t="s">
        <v>1178</v>
      </c>
      <c r="E183" s="1936"/>
      <c r="F183" s="1936"/>
    </row>
    <row r="184" spans="1:7">
      <c r="A184" s="265"/>
      <c r="B184" s="265"/>
      <c r="C184" s="265"/>
      <c r="D184" s="1936"/>
      <c r="E184" s="1936"/>
      <c r="F184" s="1936"/>
    </row>
    <row r="185" spans="1:7" s="682" customFormat="1">
      <c r="A185" s="265"/>
      <c r="B185" s="265"/>
      <c r="C185" s="265"/>
      <c r="D185" s="696"/>
      <c r="E185" s="696"/>
      <c r="F185" s="696"/>
      <c r="G185" s="7"/>
    </row>
    <row r="186" spans="1:7" s="677" customFormat="1" ht="14.25">
      <c r="A186" s="261"/>
      <c r="B186" s="679" t="s">
        <v>316</v>
      </c>
      <c r="C186" s="557"/>
      <c r="D186" s="1871" t="s">
        <v>1268</v>
      </c>
      <c r="E186" s="1871"/>
      <c r="F186" s="1871"/>
      <c r="G186" s="678"/>
    </row>
    <row r="187" spans="1:7" s="677" customFormat="1" ht="14.45" customHeight="1">
      <c r="A187" s="261"/>
      <c r="C187" s="557"/>
      <c r="D187" s="1871"/>
      <c r="E187" s="1871"/>
      <c r="F187" s="1871"/>
      <c r="G187" s="678"/>
    </row>
    <row r="188" spans="1:7" s="677" customFormat="1" ht="14.25">
      <c r="A188" s="261"/>
      <c r="B188" s="697"/>
      <c r="C188" s="557"/>
      <c r="D188" s="1871"/>
      <c r="E188" s="1871"/>
      <c r="F188" s="1871"/>
      <c r="G188" s="678"/>
    </row>
    <row r="189" spans="1:7" s="677" customFormat="1" ht="14.25">
      <c r="A189" s="261"/>
      <c r="B189" s="697"/>
      <c r="C189" s="557"/>
      <c r="D189" s="1871"/>
      <c r="E189" s="1871"/>
      <c r="F189" s="1871"/>
      <c r="G189" s="678"/>
    </row>
    <row r="190" spans="1:7" s="682" customFormat="1">
      <c r="A190" s="265"/>
      <c r="B190" s="265"/>
      <c r="C190" s="265"/>
      <c r="D190" s="696"/>
      <c r="E190" s="696"/>
      <c r="F190" s="696"/>
      <c r="G190" s="7"/>
    </row>
    <row r="191" spans="1:7">
      <c r="A191" s="1897" t="s">
        <v>1163</v>
      </c>
      <c r="B191" s="1897"/>
      <c r="C191" s="1897"/>
      <c r="D191" s="1897"/>
      <c r="E191" s="1897"/>
      <c r="F191" s="1897"/>
      <c r="G191" s="1897"/>
    </row>
    <row r="192" spans="1:7" ht="12" customHeight="1">
      <c r="D192" s="135"/>
      <c r="E192" s="135"/>
      <c r="F192" s="135"/>
    </row>
    <row r="193" spans="1:6">
      <c r="C193" s="262"/>
      <c r="D193" s="1935" t="s">
        <v>214</v>
      </c>
      <c r="E193" s="1935"/>
      <c r="F193" s="1935"/>
    </row>
    <row r="194" spans="1:6">
      <c r="A194" s="255"/>
      <c r="B194" s="673"/>
      <c r="C194" s="255"/>
      <c r="D194" s="1903" t="s">
        <v>1292</v>
      </c>
      <c r="E194" s="1904"/>
      <c r="F194" s="1904"/>
    </row>
    <row r="195" spans="1:6" ht="12" customHeight="1">
      <c r="A195" s="23"/>
      <c r="B195" s="675"/>
      <c r="C195" s="23"/>
    </row>
    <row r="196" spans="1:6" ht="13.35" customHeight="1">
      <c r="A196" s="23"/>
      <c r="C196" s="23"/>
      <c r="D196" s="1895" t="s">
        <v>579</v>
      </c>
      <c r="E196" s="1895"/>
      <c r="F196" s="1895"/>
    </row>
    <row r="197" spans="1:6" ht="14.25">
      <c r="A197" s="261"/>
      <c r="B197" s="679" t="s">
        <v>316</v>
      </c>
      <c r="D197" s="1871" t="s">
        <v>1286</v>
      </c>
      <c r="E197" s="1871"/>
      <c r="F197" s="1871"/>
    </row>
    <row r="198" spans="1:6" ht="14.25">
      <c r="A198" s="261"/>
      <c r="B198" s="261"/>
      <c r="D198" s="1871"/>
      <c r="E198" s="1871"/>
      <c r="F198" s="1871"/>
    </row>
    <row r="199" spans="1:6"/>
    <row r="200" spans="1:6" ht="14.25">
      <c r="A200" s="261"/>
      <c r="B200" s="679" t="s">
        <v>316</v>
      </c>
      <c r="D200" s="1871" t="s">
        <v>1287</v>
      </c>
      <c r="E200" s="1871"/>
      <c r="F200" s="1871"/>
    </row>
    <row r="201" spans="1:6" ht="14.25">
      <c r="A201" s="261"/>
      <c r="B201" s="261"/>
      <c r="D201" s="1871"/>
      <c r="E201" s="1871"/>
      <c r="F201" s="1871"/>
    </row>
    <row r="202" spans="1:6" ht="14.25">
      <c r="A202" s="261"/>
      <c r="B202" s="261"/>
      <c r="D202" s="1871"/>
      <c r="E202" s="1871"/>
      <c r="F202" s="1871"/>
    </row>
    <row r="203" spans="1:6" ht="5.0999999999999996" customHeight="1">
      <c r="A203" s="261"/>
      <c r="B203" s="261"/>
      <c r="D203" s="151"/>
      <c r="E203" s="135"/>
      <c r="F203" s="135"/>
    </row>
    <row r="204" spans="1:6" ht="14.25">
      <c r="A204" s="261"/>
      <c r="B204" s="261"/>
      <c r="D204" s="1871" t="s">
        <v>1288</v>
      </c>
      <c r="E204" s="1871"/>
      <c r="F204" s="1871"/>
    </row>
    <row r="205" spans="1:6" ht="14.25">
      <c r="A205" s="261"/>
      <c r="B205" s="261"/>
      <c r="D205" s="1871"/>
      <c r="E205" s="1871"/>
      <c r="F205" s="1871"/>
    </row>
    <row r="206" spans="1:6" ht="14.25">
      <c r="A206" s="261"/>
      <c r="B206" s="261"/>
      <c r="D206" s="1871"/>
      <c r="E206" s="1871"/>
      <c r="F206" s="1871"/>
    </row>
    <row r="207" spans="1:6" ht="14.25">
      <c r="A207" s="261"/>
      <c r="B207" s="261"/>
      <c r="D207" s="1871"/>
      <c r="E207" s="1871"/>
      <c r="F207" s="1871"/>
    </row>
    <row r="208" spans="1:6" ht="14.25">
      <c r="A208" s="261"/>
      <c r="B208" s="261"/>
      <c r="D208" s="1871"/>
      <c r="E208" s="1871"/>
      <c r="F208" s="1871"/>
    </row>
    <row r="209" spans="1:7" ht="14.25">
      <c r="A209" s="261"/>
      <c r="B209" s="261"/>
      <c r="D209" s="135"/>
      <c r="E209" s="135"/>
      <c r="F209" s="135"/>
    </row>
    <row r="210" spans="1:7" ht="14.25">
      <c r="A210" s="261"/>
      <c r="B210" s="679" t="s">
        <v>316</v>
      </c>
      <c r="D210" s="1892" t="s">
        <v>1289</v>
      </c>
      <c r="E210" s="1892"/>
      <c r="F210" s="1892"/>
    </row>
    <row r="211" spans="1:7" ht="14.25">
      <c r="A211" s="261"/>
      <c r="B211" s="261"/>
      <c r="D211" s="1892"/>
      <c r="E211" s="1892"/>
      <c r="F211" s="1892"/>
    </row>
    <row r="212" spans="1:7" ht="14.25">
      <c r="A212" s="261"/>
      <c r="B212" s="261"/>
      <c r="D212" s="1893" t="s">
        <v>963</v>
      </c>
      <c r="E212" s="1893"/>
      <c r="F212" s="1893"/>
    </row>
    <row r="213" spans="1:7" ht="14.25">
      <c r="A213" s="261"/>
      <c r="B213" s="261"/>
      <c r="D213" s="135"/>
      <c r="E213" s="135"/>
      <c r="F213" s="135"/>
    </row>
    <row r="214" spans="1:7" ht="14.45" customHeight="1">
      <c r="A214" s="261"/>
      <c r="B214" s="679" t="s">
        <v>316</v>
      </c>
      <c r="D214" s="1892" t="s">
        <v>1291</v>
      </c>
      <c r="E214" s="1892"/>
      <c r="F214" s="1892"/>
    </row>
    <row r="215" spans="1:7" ht="14.25">
      <c r="A215" s="261"/>
      <c r="B215" s="261"/>
      <c r="D215" s="1892"/>
      <c r="E215" s="1892"/>
      <c r="F215" s="1892"/>
    </row>
    <row r="216" spans="1:7" ht="14.25">
      <c r="A216" s="261"/>
      <c r="B216" s="261"/>
      <c r="D216" s="1892"/>
      <c r="E216" s="1892"/>
      <c r="F216" s="1892"/>
    </row>
    <row r="217" spans="1:7" ht="14.25">
      <c r="A217" s="261"/>
      <c r="B217" s="261"/>
      <c r="D217" s="1892"/>
      <c r="E217" s="1892"/>
      <c r="F217" s="1892"/>
    </row>
    <row r="218" spans="1:7" ht="14.25">
      <c r="A218" s="261"/>
      <c r="B218" s="261"/>
      <c r="D218" s="1892"/>
      <c r="E218" s="1892"/>
      <c r="F218" s="1892"/>
    </row>
    <row r="219" spans="1:7">
      <c r="D219" s="135"/>
      <c r="E219" s="135"/>
      <c r="F219" s="135"/>
    </row>
    <row r="220" spans="1:7" ht="14.25">
      <c r="A220" s="261"/>
      <c r="B220" s="679" t="s">
        <v>316</v>
      </c>
      <c r="D220" s="1871" t="s">
        <v>1290</v>
      </c>
      <c r="E220" s="1871"/>
      <c r="F220" s="1871"/>
    </row>
    <row r="221" spans="1:7" ht="14.25">
      <c r="A221" s="261"/>
      <c r="B221" s="261"/>
      <c r="D221" s="1871"/>
      <c r="E221" s="1871"/>
      <c r="F221" s="1871"/>
    </row>
    <row r="222" spans="1:7">
      <c r="D222" s="29"/>
    </row>
    <row r="223" spans="1:7">
      <c r="A223" s="1897" t="s">
        <v>1164</v>
      </c>
      <c r="B223" s="1897"/>
      <c r="C223" s="1897"/>
      <c r="D223" s="1897"/>
      <c r="E223" s="1897"/>
      <c r="F223" s="1897"/>
      <c r="G223" s="1897"/>
    </row>
    <row r="224" spans="1:7">
      <c r="D224" s="29"/>
    </row>
    <row r="225" spans="1:6">
      <c r="C225" s="262"/>
      <c r="D225" s="1895" t="s">
        <v>1293</v>
      </c>
      <c r="E225" s="1895"/>
      <c r="F225" s="1895"/>
    </row>
    <row r="226" spans="1:6">
      <c r="A226" s="255"/>
      <c r="B226" s="673"/>
      <c r="C226" s="255"/>
      <c r="D226" s="135"/>
      <c r="E226" s="135"/>
      <c r="F226" s="135"/>
    </row>
    <row r="227" spans="1:6">
      <c r="A227" s="260"/>
      <c r="B227" s="260"/>
      <c r="C227" s="260"/>
      <c r="D227" s="1895" t="s">
        <v>275</v>
      </c>
      <c r="E227" s="1895"/>
      <c r="F227" s="1895"/>
    </row>
    <row r="228" spans="1:6" ht="14.25">
      <c r="A228" s="261"/>
      <c r="B228" s="679" t="s">
        <v>316</v>
      </c>
      <c r="D228" s="1945" t="s">
        <v>1294</v>
      </c>
      <c r="E228" s="1945"/>
      <c r="F228" s="1945"/>
    </row>
    <row r="229" spans="1:6" ht="14.25">
      <c r="A229" s="261"/>
      <c r="B229" s="261"/>
      <c r="D229" s="1945"/>
      <c r="E229" s="1945"/>
      <c r="F229" s="1945"/>
    </row>
    <row r="230" spans="1:6">
      <c r="D230" s="135"/>
      <c r="E230" s="135"/>
      <c r="F230" s="135"/>
    </row>
    <row r="231" spans="1:6" ht="14.45" customHeight="1">
      <c r="A231" s="261"/>
      <c r="B231" s="679" t="s">
        <v>316</v>
      </c>
      <c r="D231" s="1892" t="s">
        <v>1295</v>
      </c>
      <c r="E231" s="1892"/>
      <c r="F231" s="1892"/>
    </row>
    <row r="232" spans="1:6">
      <c r="D232" s="1892"/>
      <c r="E232" s="1892"/>
      <c r="F232" s="1892"/>
    </row>
    <row r="233" spans="1:6">
      <c r="D233" s="1904" t="s">
        <v>954</v>
      </c>
      <c r="E233" s="1904"/>
      <c r="F233" s="1904"/>
    </row>
    <row r="234" spans="1:6">
      <c r="D234" s="135"/>
      <c r="E234" s="135"/>
      <c r="F234" s="135"/>
    </row>
    <row r="235" spans="1:6" ht="14.45" customHeight="1">
      <c r="A235" s="261"/>
      <c r="B235" s="679" t="s">
        <v>316</v>
      </c>
      <c r="D235" s="1892" t="s">
        <v>1297</v>
      </c>
      <c r="E235" s="1892"/>
      <c r="F235" s="1892"/>
    </row>
    <row r="236" spans="1:6">
      <c r="D236" s="1892"/>
      <c r="E236" s="1892"/>
      <c r="F236" s="1892"/>
    </row>
    <row r="237" spans="1:6">
      <c r="D237" s="1892"/>
      <c r="E237" s="1892"/>
      <c r="F237" s="1892"/>
    </row>
    <row r="238" spans="1:6">
      <c r="D238" s="1892"/>
      <c r="E238" s="1892"/>
      <c r="F238" s="1892"/>
    </row>
    <row r="239" spans="1:6">
      <c r="D239" s="1892"/>
      <c r="E239" s="1892"/>
      <c r="F239" s="1892"/>
    </row>
    <row r="240" spans="1:6">
      <c r="D240" s="135"/>
      <c r="E240" s="135"/>
      <c r="F240" s="135"/>
    </row>
    <row r="241" spans="1:7" ht="14.25">
      <c r="A241" s="261"/>
      <c r="B241" s="679" t="s">
        <v>316</v>
      </c>
      <c r="D241" s="1871" t="s">
        <v>1296</v>
      </c>
      <c r="E241" s="1871"/>
      <c r="F241" s="1871"/>
    </row>
    <row r="242" spans="1:7">
      <c r="D242" s="1871"/>
      <c r="E242" s="1871"/>
      <c r="F242" s="1871"/>
    </row>
    <row r="243" spans="1:7">
      <c r="D243" s="1871"/>
      <c r="E243" s="1871"/>
      <c r="F243" s="1871"/>
    </row>
    <row r="244" spans="1:7">
      <c r="D244" s="263"/>
      <c r="E244" s="135"/>
      <c r="F244" s="135"/>
    </row>
    <row r="245" spans="1:7">
      <c r="A245" s="1897" t="s">
        <v>1165</v>
      </c>
      <c r="B245" s="1897"/>
      <c r="C245" s="1897"/>
      <c r="D245" s="1897"/>
      <c r="E245" s="1897"/>
      <c r="F245" s="1897"/>
      <c r="G245" s="1897"/>
    </row>
    <row r="246" spans="1:7">
      <c r="D246" s="263"/>
      <c r="E246" s="135"/>
      <c r="F246" s="135"/>
    </row>
    <row r="247" spans="1:7">
      <c r="C247" s="255"/>
      <c r="D247" s="1913" t="s">
        <v>1298</v>
      </c>
      <c r="E247" s="1913"/>
      <c r="F247" s="1913"/>
    </row>
    <row r="248" spans="1:7">
      <c r="C248" s="255"/>
      <c r="D248" s="1913"/>
      <c r="E248" s="1913"/>
      <c r="F248" s="1913"/>
    </row>
    <row r="249" spans="1:7">
      <c r="A249" s="260"/>
      <c r="B249" s="260"/>
      <c r="C249" s="260"/>
      <c r="D249" s="5"/>
      <c r="E249" s="6"/>
      <c r="F249" s="6"/>
    </row>
    <row r="250" spans="1:7">
      <c r="C250" s="260"/>
      <c r="D250" s="1895" t="s">
        <v>215</v>
      </c>
      <c r="E250" s="1895"/>
      <c r="F250" s="1895"/>
    </row>
    <row r="251" spans="1:7" ht="15.75" customHeight="1">
      <c r="A251" s="261"/>
      <c r="B251" s="261"/>
      <c r="D251" s="1901" t="s">
        <v>1299</v>
      </c>
      <c r="E251" s="1901"/>
      <c r="F251" s="1901"/>
    </row>
    <row r="252" spans="1:7">
      <c r="E252" s="135"/>
      <c r="F252" s="135"/>
    </row>
    <row r="253" spans="1:7" ht="14.25">
      <c r="A253" s="261"/>
      <c r="B253" s="679" t="s">
        <v>316</v>
      </c>
      <c r="D253" s="1871" t="s">
        <v>1300</v>
      </c>
      <c r="E253" s="1871"/>
      <c r="F253" s="1871"/>
    </row>
    <row r="254" spans="1:7" ht="14.25">
      <c r="A254" s="261"/>
      <c r="B254" s="261"/>
      <c r="D254" s="1871"/>
      <c r="E254" s="1871"/>
      <c r="F254" s="1871"/>
    </row>
    <row r="255" spans="1:7">
      <c r="D255" s="135"/>
      <c r="E255" s="135"/>
      <c r="F255" s="135"/>
    </row>
    <row r="256" spans="1:7" ht="14.25">
      <c r="A256" s="261"/>
      <c r="B256" s="679" t="s">
        <v>316</v>
      </c>
      <c r="D256" s="1892" t="s">
        <v>1301</v>
      </c>
      <c r="E256" s="1892"/>
      <c r="F256" s="1892"/>
    </row>
    <row r="257" spans="1:7" ht="14.25">
      <c r="A257" s="261"/>
      <c r="B257" s="261"/>
      <c r="D257" s="1892"/>
      <c r="E257" s="1892"/>
      <c r="F257" s="1892"/>
    </row>
    <row r="258" spans="1:7" ht="14.25">
      <c r="A258" s="261"/>
      <c r="B258" s="261"/>
      <c r="D258" s="1892"/>
      <c r="E258" s="1892"/>
      <c r="F258" s="1892"/>
    </row>
    <row r="259" spans="1:7">
      <c r="D259" s="135"/>
      <c r="E259" s="135"/>
      <c r="F259" s="135"/>
    </row>
    <row r="260" spans="1:7" ht="14.25">
      <c r="A260" s="261"/>
      <c r="B260" s="679" t="s">
        <v>316</v>
      </c>
      <c r="D260" s="1871" t="s">
        <v>1302</v>
      </c>
      <c r="E260" s="1871"/>
      <c r="F260" s="1871"/>
    </row>
    <row r="261" spans="1:7" ht="14.25">
      <c r="A261" s="261"/>
      <c r="B261" s="261"/>
      <c r="D261" s="1871"/>
      <c r="E261" s="1871"/>
      <c r="F261" s="1871"/>
    </row>
    <row r="262" spans="1:7">
      <c r="A262" s="23"/>
      <c r="B262" s="675"/>
      <c r="E262" s="135"/>
      <c r="F262" s="135"/>
    </row>
    <row r="263" spans="1:7">
      <c r="A263" s="1897" t="s">
        <v>1166</v>
      </c>
      <c r="B263" s="1897"/>
      <c r="C263" s="1897"/>
      <c r="D263" s="1897"/>
      <c r="E263" s="1897"/>
      <c r="F263" s="1897"/>
      <c r="G263" s="1897"/>
    </row>
    <row r="264" spans="1:7">
      <c r="A264" s="23"/>
      <c r="B264" s="675"/>
      <c r="D264" s="135"/>
      <c r="E264" s="135"/>
      <c r="F264" s="135"/>
    </row>
    <row r="265" spans="1:7">
      <c r="C265" s="23"/>
      <c r="D265" s="1895" t="s">
        <v>719</v>
      </c>
      <c r="E265" s="1895"/>
      <c r="F265" s="1895"/>
    </row>
    <row r="266" spans="1:7">
      <c r="C266" s="23"/>
      <c r="D266" s="1896" t="s">
        <v>1303</v>
      </c>
      <c r="E266" s="1896"/>
      <c r="F266" s="1896"/>
    </row>
    <row r="267" spans="1:7">
      <c r="C267" s="23"/>
      <c r="D267" s="259"/>
    </row>
    <row r="268" spans="1:7">
      <c r="A268" s="273"/>
      <c r="B268" s="679" t="s">
        <v>316</v>
      </c>
      <c r="D268" s="1896" t="s">
        <v>1304</v>
      </c>
      <c r="E268" s="1896"/>
      <c r="F268" s="1896"/>
    </row>
    <row r="269" spans="1:7" s="39" customFormat="1" ht="14.25">
      <c r="A269" s="403"/>
      <c r="B269" s="403"/>
      <c r="C269" s="273"/>
      <c r="D269" s="497"/>
      <c r="E269" s="498"/>
      <c r="F269" s="498"/>
      <c r="G269" s="130"/>
    </row>
    <row r="270" spans="1:7" s="39" customFormat="1" ht="13.35" customHeight="1">
      <c r="A270" s="273"/>
      <c r="B270" s="679" t="s">
        <v>316</v>
      </c>
      <c r="C270" s="273"/>
      <c r="D270" s="1946" t="s">
        <v>1305</v>
      </c>
      <c r="E270" s="1946"/>
      <c r="F270" s="1946"/>
      <c r="G270" s="130"/>
    </row>
    <row r="271" spans="1:7" s="39" customFormat="1" ht="14.25">
      <c r="A271" s="403"/>
      <c r="B271" s="403"/>
      <c r="C271" s="273"/>
      <c r="D271" s="1946"/>
      <c r="E271" s="1946"/>
      <c r="F271" s="1946"/>
      <c r="G271" s="130"/>
    </row>
    <row r="272" spans="1:7" s="39" customFormat="1" ht="14.25">
      <c r="A272" s="403"/>
      <c r="B272" s="403"/>
      <c r="C272" s="273"/>
      <c r="D272" s="1946"/>
      <c r="E272" s="1946"/>
      <c r="F272" s="1946"/>
      <c r="G272" s="130"/>
    </row>
    <row r="273" spans="1:7" s="39" customFormat="1" ht="14.25">
      <c r="A273" s="403"/>
      <c r="B273" s="403"/>
      <c r="C273" s="273"/>
      <c r="D273" s="1946"/>
      <c r="E273" s="1946"/>
      <c r="F273" s="1946"/>
      <c r="G273" s="130"/>
    </row>
    <row r="274" spans="1:7" s="39" customFormat="1" ht="14.25">
      <c r="A274" s="403"/>
      <c r="B274" s="403"/>
      <c r="C274" s="273"/>
      <c r="D274" s="1946"/>
      <c r="E274" s="1946"/>
      <c r="F274" s="1946"/>
      <c r="G274" s="130"/>
    </row>
    <row r="275" spans="1:7" s="39" customFormat="1" ht="14.25">
      <c r="A275" s="403"/>
      <c r="B275" s="403"/>
      <c r="C275" s="273"/>
      <c r="D275" s="497"/>
      <c r="E275" s="498"/>
      <c r="F275" s="498"/>
      <c r="G275" s="130"/>
    </row>
    <row r="276" spans="1:7" s="39" customFormat="1" ht="13.35" customHeight="1">
      <c r="A276" s="273"/>
      <c r="B276" s="679" t="s">
        <v>316</v>
      </c>
      <c r="C276" s="273"/>
      <c r="D276" s="1946" t="s">
        <v>1306</v>
      </c>
      <c r="E276" s="1946"/>
      <c r="F276" s="1946"/>
      <c r="G276" s="130"/>
    </row>
    <row r="277" spans="1:7" s="39" customFormat="1">
      <c r="A277" s="273"/>
      <c r="B277" s="273"/>
      <c r="C277" s="273"/>
      <c r="D277" s="1946"/>
      <c r="E277" s="1946"/>
      <c r="F277" s="1946"/>
      <c r="G277" s="130"/>
    </row>
    <row r="278" spans="1:7" s="39" customFormat="1" ht="14.25">
      <c r="A278" s="403"/>
      <c r="B278" s="403"/>
      <c r="C278" s="273"/>
      <c r="D278" s="497"/>
      <c r="E278" s="498"/>
      <c r="F278" s="498"/>
      <c r="G278" s="130"/>
    </row>
    <row r="279" spans="1:7">
      <c r="A279" s="273"/>
      <c r="B279" s="679" t="s">
        <v>316</v>
      </c>
      <c r="D279" s="1896" t="s">
        <v>1307</v>
      </c>
      <c r="E279" s="1896"/>
      <c r="F279" s="1896"/>
    </row>
    <row r="280" spans="1:7">
      <c r="E280" s="135"/>
      <c r="F280" s="135"/>
    </row>
    <row r="281" spans="1:7" ht="14.25">
      <c r="A281" s="261"/>
      <c r="B281" s="679" t="s">
        <v>316</v>
      </c>
      <c r="D281" s="1892" t="s">
        <v>1308</v>
      </c>
      <c r="E281" s="1892"/>
      <c r="F281" s="1892"/>
    </row>
    <row r="282" spans="1:7" ht="14.25">
      <c r="A282" s="261"/>
      <c r="B282" s="261"/>
      <c r="D282" s="1892"/>
      <c r="E282" s="1892"/>
      <c r="F282" s="1892"/>
    </row>
    <row r="283" spans="1:7" s="719" customFormat="1" ht="14.25">
      <c r="A283" s="714"/>
      <c r="B283" s="714"/>
      <c r="C283" s="731"/>
      <c r="D283" s="1892"/>
      <c r="E283" s="1892"/>
      <c r="F283" s="1892"/>
      <c r="G283" s="7"/>
    </row>
    <row r="284" spans="1:7" s="719" customFormat="1" ht="14.25">
      <c r="A284" s="714"/>
      <c r="B284" s="714"/>
      <c r="C284" s="731"/>
      <c r="D284" s="1892"/>
      <c r="E284" s="1892"/>
      <c r="F284" s="1892"/>
      <c r="G284" s="7"/>
    </row>
    <row r="285" spans="1:7" s="719" customFormat="1" ht="14.25">
      <c r="A285" s="714"/>
      <c r="B285" s="714"/>
      <c r="C285" s="731"/>
      <c r="D285" s="1892"/>
      <c r="E285" s="1892"/>
      <c r="F285" s="1892"/>
      <c r="G285" s="7"/>
    </row>
    <row r="286" spans="1:7" s="719" customFormat="1" ht="14.25">
      <c r="A286" s="714"/>
      <c r="B286" s="714"/>
      <c r="C286" s="731"/>
      <c r="D286" s="1892"/>
      <c r="E286" s="1892"/>
      <c r="F286" s="1892"/>
      <c r="G286" s="7"/>
    </row>
    <row r="287" spans="1:7" s="719" customFormat="1" ht="14.25">
      <c r="A287" s="714"/>
      <c r="B287" s="714"/>
      <c r="C287" s="731"/>
      <c r="D287" s="1892"/>
      <c r="E287" s="1892"/>
      <c r="F287" s="1892"/>
      <c r="G287" s="7"/>
    </row>
    <row r="288" spans="1:7" s="719" customFormat="1" ht="14.25">
      <c r="A288" s="714"/>
      <c r="B288" s="714"/>
      <c r="C288" s="731"/>
      <c r="D288" s="1892"/>
      <c r="E288" s="1892"/>
      <c r="F288" s="1892"/>
      <c r="G288" s="7"/>
    </row>
    <row r="289" spans="1:7" s="719" customFormat="1" ht="14.25">
      <c r="A289" s="714"/>
      <c r="B289" s="714"/>
      <c r="C289" s="731"/>
      <c r="D289" s="1892"/>
      <c r="E289" s="1892"/>
      <c r="F289" s="1892"/>
      <c r="G289" s="7"/>
    </row>
    <row r="290" spans="1:7" s="719" customFormat="1" ht="14.25">
      <c r="A290" s="714"/>
      <c r="B290" s="714"/>
      <c r="C290" s="731"/>
      <c r="D290" s="1892"/>
      <c r="E290" s="1892"/>
      <c r="F290" s="1892"/>
      <c r="G290" s="7"/>
    </row>
    <row r="291" spans="1:7" s="719" customFormat="1" ht="14.25">
      <c r="A291" s="714"/>
      <c r="B291" s="714"/>
      <c r="C291" s="731"/>
      <c r="D291" s="1892"/>
      <c r="E291" s="1892"/>
      <c r="F291" s="1892"/>
      <c r="G291" s="7"/>
    </row>
    <row r="292" spans="1:7" s="719" customFormat="1" ht="14.25">
      <c r="A292" s="714"/>
      <c r="B292" s="714"/>
      <c r="C292" s="731"/>
      <c r="D292" s="1892"/>
      <c r="E292" s="1892"/>
      <c r="F292" s="1892"/>
      <c r="G292" s="7"/>
    </row>
    <row r="293" spans="1:7" ht="14.25">
      <c r="A293" s="261"/>
      <c r="B293" s="261"/>
      <c r="D293" s="1892"/>
      <c r="E293" s="1892"/>
      <c r="F293" s="1892"/>
    </row>
    <row r="294" spans="1:7" ht="14.25">
      <c r="A294" s="261"/>
      <c r="B294" s="261"/>
      <c r="D294" s="1892"/>
      <c r="E294" s="1892"/>
      <c r="F294" s="1892"/>
    </row>
    <row r="295" spans="1:7" ht="14.25">
      <c r="A295" s="261"/>
      <c r="B295" s="261"/>
      <c r="D295" s="1892"/>
      <c r="E295" s="1892"/>
      <c r="F295" s="1892"/>
    </row>
    <row r="296" spans="1:7">
      <c r="D296" s="135"/>
      <c r="E296" s="135"/>
      <c r="F296" s="135"/>
    </row>
    <row r="297" spans="1:7" ht="14.25">
      <c r="A297" s="261"/>
      <c r="B297" s="679" t="s">
        <v>316</v>
      </c>
      <c r="D297" s="1892" t="s">
        <v>1309</v>
      </c>
      <c r="E297" s="1892"/>
      <c r="F297" s="1892"/>
    </row>
    <row r="298" spans="1:7">
      <c r="D298" s="1892"/>
      <c r="E298" s="1892"/>
      <c r="F298" s="1892"/>
    </row>
    <row r="299" spans="1:7">
      <c r="D299" s="1892"/>
      <c r="E299" s="1892"/>
      <c r="F299" s="1892"/>
    </row>
    <row r="300" spans="1:7">
      <c r="D300" s="1892"/>
      <c r="E300" s="1892"/>
      <c r="F300" s="1892"/>
    </row>
    <row r="301" spans="1:7">
      <c r="D301" s="1892"/>
      <c r="E301" s="1892"/>
      <c r="F301" s="1892"/>
    </row>
    <row r="302" spans="1:7">
      <c r="D302" s="1892"/>
      <c r="E302" s="1892"/>
      <c r="F302" s="1892"/>
    </row>
    <row r="303" spans="1:7">
      <c r="D303" s="1892"/>
      <c r="E303" s="1892"/>
      <c r="F303" s="1892"/>
    </row>
    <row r="304" spans="1:7">
      <c r="D304" s="1892"/>
      <c r="E304" s="1892"/>
      <c r="F304" s="1892"/>
    </row>
    <row r="305" spans="1:7">
      <c r="D305" s="1892"/>
      <c r="E305" s="1892"/>
      <c r="F305" s="1892"/>
    </row>
    <row r="306" spans="1:7">
      <c r="D306" s="135"/>
      <c r="E306" s="135"/>
      <c r="F306" s="135"/>
    </row>
    <row r="307" spans="1:7" ht="14.25">
      <c r="A307" s="261"/>
      <c r="B307" s="679" t="s">
        <v>316</v>
      </c>
      <c r="D307" s="1871" t="s">
        <v>1310</v>
      </c>
      <c r="E307" s="1871"/>
      <c r="F307" s="1871"/>
    </row>
    <row r="308" spans="1:7">
      <c r="D308" s="1871"/>
      <c r="E308" s="1871"/>
      <c r="F308" s="1871"/>
      <c r="G308" s="12"/>
    </row>
    <row r="309" spans="1:7">
      <c r="D309" s="1871"/>
      <c r="E309" s="1871"/>
      <c r="F309" s="1871"/>
      <c r="G309" s="12"/>
    </row>
    <row r="310" spans="1:7">
      <c r="D310" s="1871"/>
      <c r="E310" s="1871"/>
      <c r="F310" s="1871"/>
      <c r="G310" s="12"/>
    </row>
    <row r="311" spans="1:7">
      <c r="D311" s="1871"/>
      <c r="E311" s="1871"/>
      <c r="F311" s="1871"/>
      <c r="G311" s="12"/>
    </row>
    <row r="312" spans="1:7">
      <c r="D312" s="1871"/>
      <c r="E312" s="1871"/>
      <c r="F312" s="1871"/>
      <c r="G312" s="12"/>
    </row>
    <row r="313" spans="1:7" s="719" customFormat="1">
      <c r="A313" s="731"/>
      <c r="B313" s="731"/>
      <c r="C313" s="731"/>
      <c r="D313" s="728"/>
      <c r="E313" s="728"/>
      <c r="F313" s="728"/>
    </row>
    <row r="314" spans="1:7" ht="13.5" thickBot="1">
      <c r="D314" s="1942" t="s">
        <v>1059</v>
      </c>
      <c r="E314" s="1942"/>
      <c r="F314" s="1942"/>
      <c r="G314" s="12"/>
    </row>
    <row r="315" spans="1:7" s="719" customFormat="1" ht="13.5" thickTop="1">
      <c r="A315" s="731"/>
      <c r="B315" s="731"/>
      <c r="C315" s="731"/>
      <c r="D315" s="1943" t="s">
        <v>1311</v>
      </c>
      <c r="E315" s="1943"/>
      <c r="F315" s="1943"/>
    </row>
    <row r="316" spans="1:7">
      <c r="A316" s="325"/>
      <c r="B316" s="325"/>
      <c r="C316" s="325"/>
      <c r="D316" s="467"/>
      <c r="E316" s="467"/>
      <c r="F316" s="135"/>
      <c r="G316" s="12"/>
    </row>
    <row r="317" spans="1:7" ht="14.25">
      <c r="A317" s="261"/>
      <c r="B317" s="679" t="s">
        <v>316</v>
      </c>
      <c r="C317" s="325"/>
      <c r="D317" s="1944" t="s">
        <v>1312</v>
      </c>
      <c r="E317" s="1944"/>
      <c r="F317" s="1944"/>
      <c r="G317" s="12"/>
    </row>
    <row r="318" spans="1:7">
      <c r="A318" s="325"/>
      <c r="B318" s="325"/>
      <c r="C318" s="325"/>
      <c r="D318" s="467"/>
      <c r="E318" s="467"/>
      <c r="F318" s="135"/>
      <c r="G318" s="12"/>
    </row>
    <row r="319" spans="1:7">
      <c r="A319" s="325"/>
      <c r="B319" s="679" t="s">
        <v>316</v>
      </c>
      <c r="C319" s="325"/>
      <c r="D319" s="1928" t="s">
        <v>1313</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9" customFormat="1">
      <c r="A323" s="325"/>
      <c r="B323" s="325"/>
      <c r="C323" s="325"/>
      <c r="D323" s="1928"/>
      <c r="E323" s="1928"/>
      <c r="F323" s="1928"/>
    </row>
    <row r="324" spans="1:7" s="719" customFormat="1">
      <c r="A324" s="325"/>
      <c r="B324" s="325"/>
      <c r="C324" s="325"/>
      <c r="D324" s="1928"/>
      <c r="E324" s="1928"/>
      <c r="F324" s="1928"/>
    </row>
    <row r="325" spans="1:7" s="719" customFormat="1">
      <c r="A325" s="325"/>
      <c r="B325" s="325"/>
      <c r="C325" s="325"/>
      <c r="D325" s="1928"/>
      <c r="E325" s="1928"/>
      <c r="F325" s="1928"/>
    </row>
    <row r="326" spans="1:7" s="719"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7"/>
      <c r="F330" s="135"/>
      <c r="G330" s="12"/>
    </row>
    <row r="331" spans="1:7" ht="14.25">
      <c r="A331" s="261"/>
      <c r="B331" s="679" t="s">
        <v>316</v>
      </c>
      <c r="C331" s="325"/>
      <c r="D331" s="1947" t="s">
        <v>1314</v>
      </c>
      <c r="E331" s="1947"/>
      <c r="F331" s="1947"/>
      <c r="G331" s="12"/>
    </row>
    <row r="332" spans="1:7">
      <c r="A332" s="325"/>
      <c r="B332" s="325"/>
      <c r="C332" s="325"/>
      <c r="D332" s="1947"/>
      <c r="E332" s="1947"/>
      <c r="F332" s="1947"/>
      <c r="G332" s="12"/>
    </row>
    <row r="333" spans="1:7">
      <c r="A333" s="325"/>
      <c r="B333" s="325"/>
      <c r="C333" s="325"/>
      <c r="D333" s="1947"/>
      <c r="E333" s="1947"/>
      <c r="F333" s="1947"/>
      <c r="G333" s="12"/>
    </row>
    <row r="334" spans="1:7">
      <c r="A334" s="325"/>
      <c r="B334" s="325"/>
      <c r="C334" s="325"/>
      <c r="D334" s="1947"/>
      <c r="E334" s="1947"/>
      <c r="F334" s="1947"/>
      <c r="G334" s="12"/>
    </row>
    <row r="335" spans="1:7">
      <c r="A335" s="325"/>
      <c r="B335" s="325"/>
      <c r="C335" s="325"/>
      <c r="D335" s="505"/>
      <c r="E335" s="467"/>
      <c r="F335" s="135"/>
      <c r="G335" s="12"/>
    </row>
    <row r="336" spans="1:7">
      <c r="A336" s="325"/>
      <c r="B336" s="325"/>
      <c r="C336" s="325"/>
      <c r="D336" s="1947" t="s">
        <v>1315</v>
      </c>
      <c r="E336" s="1947"/>
      <c r="F336" s="1947"/>
      <c r="G336" s="12"/>
    </row>
    <row r="337" spans="1:7">
      <c r="A337" s="325"/>
      <c r="B337" s="325"/>
      <c r="C337" s="325"/>
      <c r="D337" s="1947"/>
      <c r="E337" s="1947"/>
      <c r="F337" s="1947"/>
      <c r="G337" s="12"/>
    </row>
    <row r="338" spans="1:7">
      <c r="A338" s="325"/>
      <c r="B338" s="325"/>
      <c r="C338" s="325"/>
      <c r="D338" s="1947"/>
      <c r="E338" s="1947"/>
      <c r="F338" s="1947"/>
      <c r="G338" s="12"/>
    </row>
    <row r="339" spans="1:7">
      <c r="A339" s="325"/>
      <c r="B339" s="325"/>
      <c r="C339" s="325"/>
      <c r="D339" s="1947"/>
      <c r="E339" s="1947"/>
      <c r="F339" s="1947"/>
      <c r="G339" s="12"/>
    </row>
    <row r="340" spans="1:7" ht="18" customHeight="1">
      <c r="A340" s="325"/>
      <c r="B340" s="325"/>
      <c r="C340" s="325"/>
      <c r="D340" s="1947"/>
      <c r="E340" s="1947"/>
      <c r="F340" s="1947"/>
      <c r="G340" s="12"/>
    </row>
    <row r="341" spans="1:7">
      <c r="A341" s="325"/>
      <c r="B341" s="325"/>
      <c r="C341" s="325"/>
      <c r="D341" s="1947"/>
      <c r="E341" s="1947"/>
      <c r="F341" s="1947"/>
      <c r="G341" s="12"/>
    </row>
    <row r="342" spans="1:7">
      <c r="A342" s="325"/>
      <c r="B342" s="325"/>
      <c r="C342" s="325"/>
      <c r="D342" s="1947"/>
      <c r="E342" s="1947"/>
      <c r="F342" s="1947"/>
      <c r="G342" s="12"/>
    </row>
    <row r="343" spans="1:7">
      <c r="A343" s="325"/>
      <c r="B343" s="325"/>
      <c r="C343" s="325"/>
      <c r="D343" s="1947"/>
      <c r="E343" s="1947"/>
      <c r="F343" s="1947"/>
      <c r="G343" s="12"/>
    </row>
    <row r="344" spans="1:7" ht="8.25" customHeight="1">
      <c r="A344" s="325"/>
      <c r="B344" s="325"/>
      <c r="C344" s="325"/>
      <c r="D344" s="1947"/>
      <c r="E344" s="1947"/>
      <c r="F344" s="1947"/>
      <c r="G344" s="12"/>
    </row>
    <row r="345" spans="1:7" ht="13.35" customHeight="1">
      <c r="A345" s="325"/>
      <c r="B345" s="325"/>
      <c r="C345" s="325"/>
      <c r="D345" s="1940" t="s">
        <v>1316</v>
      </c>
      <c r="E345" s="1940"/>
      <c r="F345" s="1940"/>
      <c r="G345" s="12"/>
    </row>
    <row r="346" spans="1:7">
      <c r="A346" s="325"/>
      <c r="B346" s="325"/>
      <c r="C346" s="325"/>
      <c r="D346" s="1940"/>
      <c r="E346" s="1940"/>
      <c r="F346" s="1940"/>
      <c r="G346" s="12"/>
    </row>
    <row r="347" spans="1:7">
      <c r="A347" s="325"/>
      <c r="B347" s="325"/>
      <c r="C347" s="325"/>
      <c r="D347" s="1940"/>
      <c r="E347" s="1940"/>
      <c r="F347" s="1940"/>
      <c r="G347" s="12"/>
    </row>
    <row r="348" spans="1:7" s="719" customFormat="1">
      <c r="A348" s="325"/>
      <c r="B348" s="325"/>
      <c r="C348" s="325"/>
      <c r="D348" s="1940"/>
      <c r="E348" s="1940"/>
      <c r="F348" s="1940"/>
    </row>
    <row r="349" spans="1:7" s="719" customFormat="1">
      <c r="A349" s="325"/>
      <c r="B349" s="325"/>
      <c r="C349" s="325"/>
      <c r="D349" s="1940"/>
      <c r="E349" s="1940"/>
      <c r="F349" s="1940"/>
    </row>
    <row r="350" spans="1:7" s="719" customFormat="1">
      <c r="A350" s="325"/>
      <c r="B350" s="325"/>
      <c r="C350" s="325"/>
      <c r="D350" s="1940"/>
      <c r="E350" s="1940"/>
      <c r="F350" s="1940"/>
    </row>
    <row r="351" spans="1:7" s="719" customFormat="1">
      <c r="A351" s="325"/>
      <c r="B351" s="325"/>
      <c r="C351" s="325"/>
      <c r="D351" s="1940"/>
      <c r="E351" s="1940"/>
      <c r="F351" s="1940"/>
    </row>
    <row r="352" spans="1:7" s="719" customFormat="1">
      <c r="A352" s="325"/>
      <c r="B352" s="325"/>
      <c r="C352" s="325"/>
      <c r="D352" s="1940"/>
      <c r="E352" s="1940"/>
      <c r="F352" s="1940"/>
    </row>
    <row r="353" spans="1:7">
      <c r="A353" s="325"/>
      <c r="B353" s="325"/>
      <c r="C353" s="325"/>
      <c r="D353" s="1940"/>
      <c r="E353" s="1940"/>
      <c r="F353" s="1940"/>
      <c r="G353" s="12"/>
    </row>
    <row r="354" spans="1:7">
      <c r="A354" s="325"/>
      <c r="B354" s="325"/>
      <c r="C354" s="325"/>
      <c r="D354" s="1940"/>
      <c r="E354" s="1940"/>
      <c r="F354" s="1940"/>
      <c r="G354" s="12"/>
    </row>
    <row r="355" spans="1:7">
      <c r="A355" s="325"/>
      <c r="B355" s="325"/>
      <c r="C355" s="325"/>
      <c r="D355" s="1940"/>
      <c r="E355" s="1940"/>
      <c r="F355" s="1940"/>
      <c r="G355" s="12"/>
    </row>
    <row r="356" spans="1:7">
      <c r="A356" s="325"/>
      <c r="B356" s="325"/>
      <c r="C356" s="325"/>
      <c r="D356" s="1940"/>
      <c r="E356" s="1940"/>
      <c r="F356" s="1940"/>
      <c r="G356" s="12"/>
    </row>
    <row r="357" spans="1:7">
      <c r="A357" s="325"/>
      <c r="B357" s="325"/>
      <c r="C357" s="507"/>
      <c r="D357" s="1940"/>
      <c r="E357" s="1940"/>
      <c r="F357" s="1940"/>
      <c r="G357" s="12"/>
    </row>
    <row r="358" spans="1:7">
      <c r="A358" s="325"/>
      <c r="B358" s="325"/>
      <c r="C358" s="507"/>
      <c r="D358" s="1940"/>
      <c r="E358" s="1940"/>
      <c r="F358" s="1940"/>
      <c r="G358" s="12"/>
    </row>
    <row r="359" spans="1:7">
      <c r="A359" s="325"/>
      <c r="B359" s="325"/>
      <c r="C359" s="325"/>
      <c r="D359" s="1940"/>
      <c r="E359" s="1940"/>
      <c r="F359" s="1940"/>
      <c r="G359" s="12"/>
    </row>
    <row r="360" spans="1:7">
      <c r="A360" s="325"/>
      <c r="B360" s="325"/>
      <c r="C360" s="507"/>
      <c r="D360" s="1940"/>
      <c r="E360" s="1940"/>
      <c r="F360" s="1940"/>
      <c r="G360" s="12"/>
    </row>
    <row r="361" spans="1:7">
      <c r="A361" s="325"/>
      <c r="B361" s="325"/>
      <c r="C361" s="507"/>
      <c r="D361" s="1940"/>
      <c r="E361" s="1940"/>
      <c r="F361" s="1940"/>
      <c r="G361" s="12"/>
    </row>
    <row r="362" spans="1:7">
      <c r="A362" s="325"/>
      <c r="B362" s="325"/>
      <c r="C362" s="507"/>
      <c r="D362" s="1940"/>
      <c r="E362" s="1940"/>
      <c r="F362" s="1940"/>
      <c r="G362" s="12"/>
    </row>
    <row r="363" spans="1:7">
      <c r="A363" s="325"/>
      <c r="B363" s="325"/>
      <c r="C363" s="325"/>
      <c r="D363" s="505"/>
      <c r="E363" s="467"/>
      <c r="F363" s="135"/>
      <c r="G363" s="12"/>
    </row>
    <row r="364" spans="1:7">
      <c r="A364" s="325"/>
      <c r="B364" s="679" t="s">
        <v>316</v>
      </c>
      <c r="C364" s="325"/>
      <c r="D364" s="1940" t="s">
        <v>1317</v>
      </c>
      <c r="E364" s="1940"/>
      <c r="F364" s="1940"/>
      <c r="G364" s="12"/>
    </row>
    <row r="365" spans="1:7">
      <c r="A365" s="325"/>
      <c r="B365" s="325"/>
      <c r="C365" s="325"/>
      <c r="D365" s="1940"/>
      <c r="E365" s="1940"/>
      <c r="F365" s="1940"/>
      <c r="G365" s="12"/>
    </row>
    <row r="366" spans="1:7">
      <c r="A366" s="325"/>
      <c r="B366" s="325"/>
      <c r="C366" s="325"/>
      <c r="D366" s="467"/>
      <c r="E366" s="467"/>
      <c r="F366" s="135"/>
      <c r="G366" s="12"/>
    </row>
    <row r="367" spans="1:7" ht="14.25">
      <c r="A367" s="261"/>
      <c r="B367" s="679" t="s">
        <v>316</v>
      </c>
      <c r="C367" s="325"/>
      <c r="D367" s="1928" t="s">
        <v>1318</v>
      </c>
      <c r="E367" s="1928"/>
      <c r="F367" s="1928"/>
      <c r="G367" s="12"/>
    </row>
    <row r="368" spans="1:7" ht="14.25">
      <c r="A368" s="506"/>
      <c r="B368" s="506"/>
      <c r="C368" s="325"/>
      <c r="D368" s="1928"/>
      <c r="E368" s="1928"/>
      <c r="F368" s="1928"/>
      <c r="G368" s="12"/>
    </row>
    <row r="369" spans="1:7" ht="14.25">
      <c r="A369" s="506"/>
      <c r="B369" s="506"/>
      <c r="C369" s="325"/>
      <c r="D369" s="1928"/>
      <c r="E369" s="1928"/>
      <c r="F369" s="1928"/>
      <c r="G369" s="12"/>
    </row>
    <row r="370" spans="1:7" ht="14.25">
      <c r="A370" s="506"/>
      <c r="B370" s="506"/>
      <c r="C370" s="325"/>
      <c r="D370" s="1928"/>
      <c r="E370" s="1928"/>
      <c r="F370" s="1928"/>
      <c r="G370" s="12"/>
    </row>
    <row r="371" spans="1:7" ht="14.25">
      <c r="A371" s="506"/>
      <c r="B371" s="506"/>
      <c r="C371" s="325"/>
      <c r="D371" s="1928"/>
      <c r="E371" s="1928"/>
      <c r="F371" s="1928"/>
      <c r="G371" s="12"/>
    </row>
    <row r="372" spans="1:7">
      <c r="D372" s="135"/>
      <c r="E372" s="135"/>
      <c r="F372" s="135"/>
      <c r="G372" s="12"/>
    </row>
    <row r="373" spans="1:7" ht="14.25">
      <c r="A373" s="261"/>
      <c r="B373" s="679" t="s">
        <v>316</v>
      </c>
      <c r="C373" s="266"/>
      <c r="D373" s="1871" t="s">
        <v>1319</v>
      </c>
      <c r="E373" s="1871"/>
      <c r="F373" s="1871"/>
      <c r="G373" s="12"/>
    </row>
    <row r="374" spans="1:7" ht="14.25">
      <c r="A374" s="261"/>
      <c r="B374" s="261"/>
      <c r="D374" s="1871"/>
      <c r="E374" s="1871"/>
      <c r="F374" s="1871"/>
      <c r="G374" s="12"/>
    </row>
    <row r="375" spans="1:7">
      <c r="D375" s="1871"/>
      <c r="E375" s="1871"/>
      <c r="F375" s="1871"/>
      <c r="G375" s="12"/>
    </row>
    <row r="376" spans="1:7">
      <c r="D376" s="1871"/>
      <c r="E376" s="1871"/>
      <c r="F376" s="1871"/>
      <c r="G376" s="12"/>
    </row>
    <row r="377" spans="1:7">
      <c r="D377" s="1871"/>
      <c r="E377" s="1871"/>
      <c r="F377" s="1871"/>
      <c r="G377" s="12"/>
    </row>
    <row r="378" spans="1:7">
      <c r="D378" s="1871"/>
      <c r="E378" s="1871"/>
      <c r="F378" s="1871"/>
      <c r="G378" s="12"/>
    </row>
    <row r="379" spans="1:7">
      <c r="D379" s="1871"/>
      <c r="E379" s="1871"/>
      <c r="F379" s="1871"/>
      <c r="G379" s="12"/>
    </row>
    <row r="380" spans="1:7">
      <c r="D380" s="1871"/>
      <c r="E380" s="1871"/>
      <c r="F380" s="1871"/>
      <c r="G380" s="12"/>
    </row>
    <row r="381" spans="1:7">
      <c r="D381" s="1871"/>
      <c r="E381" s="1871"/>
      <c r="F381" s="1871"/>
      <c r="G381" s="12"/>
    </row>
    <row r="382" spans="1:7">
      <c r="D382" s="1871"/>
      <c r="E382" s="1871"/>
      <c r="F382" s="1871"/>
      <c r="G382" s="12"/>
    </row>
    <row r="383" spans="1:7">
      <c r="D383" s="1871"/>
      <c r="E383" s="1871"/>
      <c r="F383" s="1871"/>
      <c r="G383" s="12"/>
    </row>
    <row r="384" spans="1:7">
      <c r="D384" s="1871"/>
      <c r="E384" s="1871"/>
      <c r="F384" s="1871"/>
      <c r="G384" s="12"/>
    </row>
    <row r="385" spans="1:7">
      <c r="D385" s="1871"/>
      <c r="E385" s="1871"/>
      <c r="F385" s="1871"/>
      <c r="G385" s="12"/>
    </row>
    <row r="386" spans="1:7">
      <c r="A386" s="12"/>
      <c r="B386" s="12"/>
      <c r="C386" s="12"/>
      <c r="D386" s="1871"/>
      <c r="E386" s="1871"/>
      <c r="F386" s="1871"/>
      <c r="G386" s="12"/>
    </row>
    <row r="387" spans="1:7">
      <c r="A387" s="12"/>
      <c r="B387" s="12"/>
      <c r="C387" s="12"/>
      <c r="D387" s="1871"/>
      <c r="E387" s="1871"/>
      <c r="F387" s="1871"/>
      <c r="G387" s="12"/>
    </row>
    <row r="388" spans="1:7">
      <c r="A388" s="12"/>
      <c r="B388" s="12"/>
      <c r="C388" s="12"/>
      <c r="D388" s="1871"/>
      <c r="E388" s="1871"/>
      <c r="F388" s="1871"/>
      <c r="G388" s="12"/>
    </row>
    <row r="389" spans="1:7">
      <c r="A389" s="12"/>
      <c r="B389" s="12"/>
      <c r="C389" s="12"/>
      <c r="D389" s="1871"/>
      <c r="E389" s="1871"/>
      <c r="F389" s="1871"/>
      <c r="G389" s="12"/>
    </row>
    <row r="390" spans="1:7">
      <c r="A390" s="12"/>
      <c r="B390" s="12"/>
      <c r="C390" s="12"/>
      <c r="D390" s="1871"/>
      <c r="E390" s="1871"/>
      <c r="F390" s="1871"/>
      <c r="G390" s="12"/>
    </row>
    <row r="391" spans="1:7">
      <c r="A391" s="12"/>
      <c r="B391" s="12"/>
      <c r="C391" s="12"/>
      <c r="D391" s="1871"/>
      <c r="E391" s="1871"/>
      <c r="F391" s="1871"/>
      <c r="G391" s="12"/>
    </row>
    <row r="392" spans="1:7">
      <c r="A392" s="12"/>
      <c r="B392" s="12"/>
      <c r="C392" s="12"/>
      <c r="D392" s="1871"/>
      <c r="E392" s="1871"/>
      <c r="F392" s="1871"/>
      <c r="G392" s="12"/>
    </row>
    <row r="393" spans="1:7">
      <c r="A393" s="12"/>
      <c r="B393" s="12"/>
      <c r="C393" s="12"/>
      <c r="D393" s="1871"/>
      <c r="E393" s="1871"/>
      <c r="F393" s="1871"/>
      <c r="G393" s="12"/>
    </row>
    <row r="394" spans="1:7">
      <c r="A394" s="12"/>
      <c r="B394" s="12"/>
      <c r="C394" s="12"/>
      <c r="D394" s="1871"/>
      <c r="E394" s="1871"/>
      <c r="F394" s="1871"/>
      <c r="G394" s="12"/>
    </row>
    <row r="395" spans="1:7">
      <c r="A395" s="12"/>
      <c r="B395" s="12"/>
      <c r="C395" s="12"/>
      <c r="D395" s="1871"/>
      <c r="E395" s="1871"/>
      <c r="F395" s="1871"/>
      <c r="G395" s="12"/>
    </row>
    <row r="396" spans="1:7">
      <c r="A396" s="12"/>
      <c r="B396" s="12"/>
      <c r="C396" s="12"/>
      <c r="D396" s="1871"/>
      <c r="E396" s="1871"/>
      <c r="F396" s="1871"/>
      <c r="G396" s="12"/>
    </row>
    <row r="397" spans="1:7">
      <c r="A397" s="12"/>
      <c r="B397" s="12"/>
      <c r="C397" s="12"/>
      <c r="D397" s="1871"/>
      <c r="E397" s="1871"/>
      <c r="F397" s="1871"/>
      <c r="G397" s="12"/>
    </row>
    <row r="398" spans="1:7">
      <c r="A398" s="12"/>
      <c r="B398" s="12"/>
      <c r="C398" s="12"/>
      <c r="D398" s="1871"/>
      <c r="E398" s="1871"/>
      <c r="F398" s="1871"/>
      <c r="G398" s="12"/>
    </row>
    <row r="399" spans="1:7">
      <c r="A399" s="12"/>
      <c r="B399" s="12"/>
      <c r="C399" s="12"/>
      <c r="D399" s="1871"/>
      <c r="E399" s="1871"/>
      <c r="F399" s="1871"/>
      <c r="G399" s="12"/>
    </row>
    <row r="400" spans="1:7">
      <c r="A400" s="12"/>
      <c r="B400" s="12"/>
      <c r="C400" s="12"/>
      <c r="D400" s="1871"/>
      <c r="E400" s="1871"/>
      <c r="F400" s="1871"/>
      <c r="G400" s="12"/>
    </row>
    <row r="401" spans="1:7">
      <c r="A401" s="12"/>
      <c r="B401" s="12"/>
      <c r="C401" s="12"/>
      <c r="D401" s="1871"/>
      <c r="E401" s="1871"/>
      <c r="F401" s="1871"/>
      <c r="G401" s="12"/>
    </row>
    <row r="402" spans="1:7" s="32" customFormat="1">
      <c r="A402" s="132"/>
      <c r="B402" s="676"/>
      <c r="C402" s="132"/>
      <c r="D402" s="1871"/>
      <c r="E402" s="1871"/>
      <c r="F402" s="1871"/>
      <c r="G402" s="30"/>
    </row>
    <row r="403" spans="1:7" s="32" customFormat="1" ht="40.700000000000003" customHeight="1">
      <c r="A403" s="132"/>
      <c r="B403" s="676"/>
      <c r="C403" s="132"/>
      <c r="D403" s="1871"/>
      <c r="E403" s="1871"/>
      <c r="F403" s="1871"/>
      <c r="G403" s="30"/>
    </row>
    <row r="404" spans="1:7" s="32" customFormat="1">
      <c r="A404" s="132"/>
      <c r="B404" s="676"/>
      <c r="C404" s="132"/>
      <c r="D404" s="135"/>
      <c r="E404" s="135"/>
      <c r="F404" s="135"/>
      <c r="G404" s="30"/>
    </row>
    <row r="405" spans="1:7" ht="14.25">
      <c r="A405" s="261"/>
      <c r="B405" s="679" t="s">
        <v>316</v>
      </c>
      <c r="C405" s="266"/>
      <c r="D405" s="1896" t="s">
        <v>1320</v>
      </c>
      <c r="E405" s="1896"/>
      <c r="F405" s="1896"/>
    </row>
    <row r="406" spans="1:7">
      <c r="D406" s="1941" t="s">
        <v>1084</v>
      </c>
      <c r="E406" s="1941"/>
      <c r="F406" s="1941"/>
    </row>
    <row r="407" spans="1:7">
      <c r="D407" s="1892" t="s">
        <v>1321</v>
      </c>
      <c r="E407" s="1892"/>
      <c r="F407" s="1892"/>
    </row>
    <row r="408" spans="1:7">
      <c r="D408" s="1892"/>
      <c r="E408" s="1892"/>
      <c r="F408" s="1892"/>
    </row>
    <row r="409" spans="1:7">
      <c r="D409" s="1892"/>
      <c r="E409" s="1892"/>
      <c r="F409" s="1892"/>
    </row>
    <row r="410" spans="1:7">
      <c r="D410" s="1892"/>
      <c r="E410" s="1892"/>
      <c r="F410" s="1892"/>
    </row>
    <row r="411" spans="1:7">
      <c r="D411" s="135"/>
      <c r="E411" s="135"/>
      <c r="F411" s="135"/>
      <c r="G411" s="12"/>
    </row>
    <row r="412" spans="1:7" ht="14.25">
      <c r="A412" s="261"/>
      <c r="B412" s="679" t="s">
        <v>316</v>
      </c>
      <c r="C412" s="266"/>
      <c r="D412" s="1871" t="s">
        <v>1322</v>
      </c>
      <c r="E412" s="1871"/>
      <c r="F412" s="1871"/>
      <c r="G412" s="12"/>
    </row>
    <row r="413" spans="1:7">
      <c r="D413" s="1871"/>
      <c r="E413" s="1871"/>
      <c r="F413" s="1871"/>
      <c r="G413" s="12"/>
    </row>
    <row r="414" spans="1:7">
      <c r="D414" s="1871"/>
      <c r="E414" s="1871"/>
      <c r="F414" s="1871"/>
      <c r="G414" s="12"/>
    </row>
    <row r="415" spans="1:7" s="719" customFormat="1">
      <c r="A415" s="731"/>
      <c r="B415" s="731"/>
      <c r="C415" s="731"/>
      <c r="D415" s="728"/>
      <c r="E415" s="728"/>
      <c r="F415" s="728"/>
    </row>
    <row r="416" spans="1:7" ht="14.25">
      <c r="B416" s="679" t="s">
        <v>316</v>
      </c>
      <c r="C416" s="261"/>
      <c r="D416" s="1892" t="s">
        <v>1323</v>
      </c>
      <c r="E416" s="1892"/>
      <c r="F416" s="1892"/>
      <c r="G416" s="12"/>
    </row>
    <row r="417" spans="1:7">
      <c r="D417" s="1892"/>
      <c r="E417" s="1892"/>
      <c r="F417" s="1892"/>
      <c r="G417" s="12"/>
    </row>
    <row r="418" spans="1:7">
      <c r="D418" s="135"/>
      <c r="E418" s="135"/>
      <c r="F418" s="135"/>
      <c r="G418" s="12"/>
    </row>
    <row r="419" spans="1:7" ht="14.25">
      <c r="B419" s="679" t="s">
        <v>316</v>
      </c>
      <c r="C419" s="261"/>
      <c r="D419" s="1892" t="s">
        <v>1324</v>
      </c>
      <c r="E419" s="1892"/>
      <c r="F419" s="1892"/>
      <c r="G419" s="12"/>
    </row>
    <row r="420" spans="1:7">
      <c r="D420" s="1892"/>
      <c r="E420" s="1892"/>
      <c r="F420" s="1892"/>
      <c r="G420" s="12"/>
    </row>
    <row r="421" spans="1:7">
      <c r="D421" s="1892"/>
      <c r="E421" s="1892"/>
      <c r="F421" s="1892"/>
      <c r="G421" s="12"/>
    </row>
    <row r="422" spans="1:7">
      <c r="D422" s="1892"/>
      <c r="E422" s="1892"/>
      <c r="F422" s="1892"/>
      <c r="G422" s="12"/>
    </row>
    <row r="423" spans="1:7">
      <c r="B423" s="679" t="s">
        <v>316</v>
      </c>
      <c r="D423" s="1892"/>
      <c r="E423" s="1892"/>
      <c r="F423" s="1892"/>
      <c r="G423" s="12"/>
    </row>
    <row r="424" spans="1:7">
      <c r="A424" s="12"/>
      <c r="B424" s="12"/>
      <c r="C424" s="12"/>
      <c r="D424" s="1892"/>
      <c r="E424" s="1892"/>
      <c r="F424" s="1892"/>
      <c r="G424" s="12"/>
    </row>
    <row r="425" spans="1:7">
      <c r="A425" s="12"/>
      <c r="C425" s="12"/>
      <c r="D425" s="1892"/>
      <c r="E425" s="1892"/>
      <c r="F425" s="1892"/>
      <c r="G425" s="12"/>
    </row>
    <row r="426" spans="1:7">
      <c r="A426" s="12"/>
      <c r="B426" s="679" t="s">
        <v>316</v>
      </c>
      <c r="C426" s="12"/>
      <c r="D426" s="1892"/>
      <c r="E426" s="1892"/>
      <c r="F426" s="1892"/>
      <c r="G426" s="12"/>
    </row>
    <row r="427" spans="1:7">
      <c r="A427" s="12"/>
      <c r="B427" s="12"/>
      <c r="C427" s="12"/>
      <c r="D427" s="1892"/>
      <c r="E427" s="1892"/>
      <c r="F427" s="1892"/>
      <c r="G427" s="12"/>
    </row>
    <row r="428" spans="1:7">
      <c r="A428" s="12"/>
      <c r="C428" s="12"/>
      <c r="D428" s="1892"/>
      <c r="E428" s="1892"/>
      <c r="F428" s="1892"/>
      <c r="G428" s="12"/>
    </row>
    <row r="429" spans="1:7">
      <c r="A429" s="12"/>
      <c r="C429" s="12"/>
      <c r="D429" s="1892"/>
      <c r="E429" s="1892"/>
      <c r="F429" s="1892"/>
      <c r="G429" s="12"/>
    </row>
    <row r="430" spans="1:7">
      <c r="A430" s="12"/>
      <c r="B430" s="679" t="s">
        <v>316</v>
      </c>
      <c r="C430" s="12"/>
      <c r="D430" s="1892"/>
      <c r="E430" s="1892"/>
      <c r="F430" s="1892"/>
      <c r="G430" s="12"/>
    </row>
    <row r="431" spans="1:7">
      <c r="A431" s="12"/>
      <c r="B431" s="12"/>
      <c r="C431" s="12"/>
      <c r="D431" s="1892"/>
      <c r="E431" s="1892"/>
      <c r="F431" s="1892"/>
      <c r="G431" s="12"/>
    </row>
    <row r="432" spans="1:7">
      <c r="A432" s="12"/>
      <c r="B432" s="679" t="s">
        <v>316</v>
      </c>
      <c r="C432" s="12"/>
      <c r="D432" s="1892"/>
      <c r="E432" s="1892"/>
      <c r="F432" s="1892"/>
      <c r="G432" s="12"/>
    </row>
    <row r="433" spans="1:7" s="719" customFormat="1">
      <c r="D433" s="729"/>
      <c r="E433" s="729"/>
      <c r="F433" s="729"/>
    </row>
    <row r="434" spans="1:7">
      <c r="A434" s="12"/>
      <c r="B434" s="718" t="s">
        <v>316</v>
      </c>
      <c r="C434" s="12"/>
      <c r="D434" s="1892" t="s">
        <v>1325</v>
      </c>
      <c r="E434" s="1892"/>
      <c r="F434" s="1892"/>
      <c r="G434" s="12"/>
    </row>
    <row r="435" spans="1:7">
      <c r="A435" s="12"/>
      <c r="B435" s="12"/>
      <c r="C435" s="12"/>
      <c r="D435" s="1892"/>
      <c r="E435" s="1892"/>
      <c r="F435" s="1892"/>
      <c r="G435" s="12"/>
    </row>
    <row r="436" spans="1:7">
      <c r="A436" s="12"/>
      <c r="B436" s="12"/>
      <c r="C436" s="12"/>
      <c r="D436" s="1892"/>
      <c r="E436" s="1892"/>
      <c r="F436" s="1892"/>
      <c r="G436" s="12"/>
    </row>
    <row r="437" spans="1:7">
      <c r="A437" s="12"/>
      <c r="B437" s="12"/>
      <c r="C437" s="12"/>
      <c r="D437" s="1892"/>
      <c r="E437" s="1892"/>
      <c r="F437" s="1892"/>
      <c r="G437" s="12"/>
    </row>
    <row r="438" spans="1:7">
      <c r="D438" s="1892"/>
      <c r="E438" s="1892"/>
      <c r="F438" s="1892"/>
    </row>
    <row r="439" spans="1:7">
      <c r="D439" s="135"/>
      <c r="E439" s="135"/>
      <c r="F439" s="135"/>
    </row>
    <row r="440" spans="1:7">
      <c r="B440" s="679" t="s">
        <v>316</v>
      </c>
      <c r="D440" s="1903" t="s">
        <v>1326</v>
      </c>
      <c r="E440" s="1903"/>
      <c r="F440" s="1903"/>
    </row>
    <row r="441" spans="1:7">
      <c r="A441" s="135"/>
      <c r="B441" s="135"/>
    </row>
    <row r="442" spans="1:7">
      <c r="A442" s="1897" t="s">
        <v>1167</v>
      </c>
      <c r="B442" s="1897"/>
      <c r="C442" s="1897"/>
      <c r="D442" s="1897"/>
      <c r="E442" s="1897"/>
      <c r="F442" s="1897"/>
      <c r="G442" s="1897"/>
    </row>
    <row r="443" spans="1:7">
      <c r="A443" s="135"/>
      <c r="B443" s="135"/>
    </row>
    <row r="444" spans="1:7">
      <c r="D444" s="1948" t="s">
        <v>948</v>
      </c>
      <c r="E444" s="1948"/>
      <c r="F444" s="1948"/>
    </row>
    <row r="445" spans="1:7" s="39" customFormat="1" ht="14.25">
      <c r="A445" s="403"/>
      <c r="B445" s="403"/>
      <c r="C445" s="273"/>
      <c r="D445" s="1949" t="s">
        <v>1327</v>
      </c>
      <c r="E445" s="1949"/>
      <c r="F445" s="1949"/>
      <c r="G445" s="130"/>
    </row>
    <row r="446" spans="1:7" s="39" customFormat="1" ht="14.25">
      <c r="A446" s="403"/>
      <c r="B446" s="403"/>
      <c r="C446" s="273"/>
      <c r="D446" s="732"/>
      <c r="E446" s="6"/>
      <c r="F446" s="6"/>
      <c r="G446" s="130"/>
    </row>
    <row r="447" spans="1:7" s="39" customFormat="1" ht="14.25">
      <c r="A447" s="261"/>
      <c r="B447" s="679" t="s">
        <v>316</v>
      </c>
      <c r="C447" s="273"/>
      <c r="D447" s="1950" t="s">
        <v>1328</v>
      </c>
      <c r="E447" s="1950"/>
      <c r="F447" s="1950"/>
      <c r="G447" s="130"/>
    </row>
    <row r="448" spans="1:7" s="39" customFormat="1" ht="14.25">
      <c r="A448" s="261"/>
      <c r="B448" s="261"/>
      <c r="C448" s="273"/>
      <c r="D448" s="1950"/>
      <c r="E448" s="1950"/>
      <c r="F448" s="1950"/>
      <c r="G448" s="130"/>
    </row>
    <row r="449" spans="1:7" s="39" customFormat="1" ht="14.25">
      <c r="A449" s="261"/>
      <c r="B449" s="261"/>
      <c r="C449" s="273"/>
      <c r="D449" s="730"/>
      <c r="E449" s="6"/>
      <c r="F449" s="6"/>
      <c r="G449" s="130"/>
    </row>
    <row r="450" spans="1:7">
      <c r="B450" s="679" t="s">
        <v>316</v>
      </c>
      <c r="D450" s="1920" t="s">
        <v>1329</v>
      </c>
      <c r="E450" s="1920"/>
      <c r="F450" s="1920"/>
    </row>
    <row r="451" spans="1:7" ht="14.25">
      <c r="A451" s="261"/>
      <c r="D451" s="1920"/>
      <c r="E451" s="1920"/>
      <c r="F451" s="1920"/>
    </row>
    <row r="452" spans="1:7" ht="14.25">
      <c r="A452" s="261"/>
      <c r="B452" s="261"/>
      <c r="D452" s="1920"/>
      <c r="E452" s="1920"/>
      <c r="F452" s="1920"/>
    </row>
    <row r="453" spans="1:7" ht="14.25">
      <c r="A453" s="261"/>
      <c r="B453" s="261"/>
      <c r="D453" s="1920"/>
      <c r="E453" s="1920"/>
      <c r="F453" s="1920"/>
    </row>
    <row r="454" spans="1:7">
      <c r="D454" s="678"/>
      <c r="E454" s="678"/>
      <c r="F454" s="678"/>
      <c r="G454" s="12"/>
    </row>
    <row r="455" spans="1:7" ht="14.25">
      <c r="A455" s="261"/>
      <c r="B455" s="679" t="s">
        <v>316</v>
      </c>
      <c r="D455" s="1873" t="s">
        <v>1330</v>
      </c>
      <c r="E455" s="1873"/>
      <c r="F455" s="1873"/>
      <c r="G455" s="12"/>
    </row>
    <row r="456" spans="1:7" ht="14.25">
      <c r="A456" s="261"/>
      <c r="B456" s="261"/>
      <c r="D456" s="1873"/>
      <c r="E456" s="1873"/>
      <c r="F456" s="1873"/>
      <c r="G456" s="12"/>
    </row>
    <row r="457" spans="1:7" ht="14.25">
      <c r="A457" s="261"/>
      <c r="D457" s="1873"/>
      <c r="E457" s="1873"/>
      <c r="F457" s="1873"/>
      <c r="G457" s="12"/>
    </row>
    <row r="458" spans="1:7" ht="14.25">
      <c r="A458" s="261"/>
      <c r="B458" s="261"/>
      <c r="D458" s="678"/>
      <c r="E458" s="678"/>
      <c r="F458" s="678"/>
      <c r="G458" s="12"/>
    </row>
    <row r="459" spans="1:7" ht="14.25">
      <c r="A459" s="261"/>
      <c r="B459" s="718" t="s">
        <v>316</v>
      </c>
      <c r="D459" s="1896" t="s">
        <v>1331</v>
      </c>
      <c r="E459" s="1896"/>
      <c r="F459" s="1896"/>
      <c r="G459" s="12"/>
    </row>
    <row r="460" spans="1:7" ht="14.25">
      <c r="A460" s="261"/>
      <c r="B460" s="261"/>
      <c r="D460" s="730"/>
      <c r="E460" s="6"/>
      <c r="F460" s="6"/>
      <c r="G460" s="12"/>
    </row>
    <row r="461" spans="1:7" ht="14.25">
      <c r="A461" s="261"/>
      <c r="B461" s="679" t="s">
        <v>316</v>
      </c>
      <c r="D461" s="1871" t="s">
        <v>1332</v>
      </c>
      <c r="E461" s="1871"/>
      <c r="F461" s="1871"/>
      <c r="G461" s="12"/>
    </row>
    <row r="462" spans="1:7" ht="14.25">
      <c r="A462" s="261"/>
      <c r="D462" s="1871"/>
      <c r="E462" s="1871"/>
      <c r="F462" s="1871"/>
      <c r="G462" s="12"/>
    </row>
    <row r="463" spans="1:7">
      <c r="A463" s="23"/>
      <c r="B463" s="675"/>
      <c r="D463" s="733"/>
      <c r="E463" s="6"/>
      <c r="F463" s="6"/>
      <c r="G463" s="12"/>
    </row>
    <row r="464" spans="1:7">
      <c r="A464" s="23"/>
      <c r="B464" s="718" t="s">
        <v>316</v>
      </c>
      <c r="D464" s="1896" t="s">
        <v>1333</v>
      </c>
      <c r="E464" s="1896"/>
      <c r="F464" s="1896"/>
      <c r="G464" s="12"/>
    </row>
    <row r="465" spans="1:7" ht="14.25">
      <c r="A465" s="261"/>
      <c r="B465" s="261"/>
      <c r="D465" s="135"/>
    </row>
    <row r="466" spans="1:7">
      <c r="A466" s="1897" t="s">
        <v>1168</v>
      </c>
      <c r="B466" s="1897"/>
      <c r="C466" s="1897"/>
      <c r="D466" s="1897"/>
      <c r="E466" s="1897"/>
      <c r="F466" s="1897"/>
      <c r="G466" s="1897"/>
    </row>
    <row r="467" spans="1:7" customFormat="1" ht="12" customHeight="1">
      <c r="A467" s="261"/>
      <c r="B467" s="261"/>
      <c r="C467" s="10"/>
      <c r="D467" s="151"/>
      <c r="E467" s="149"/>
      <c r="F467" s="149"/>
      <c r="G467" s="149"/>
    </row>
    <row r="468" spans="1:7" customFormat="1">
      <c r="A468" s="273"/>
      <c r="B468" s="273"/>
      <c r="C468" s="312"/>
      <c r="D468" s="1951" t="s">
        <v>851</v>
      </c>
      <c r="E468" s="1951"/>
      <c r="F468" s="1951"/>
      <c r="G468" s="182"/>
    </row>
    <row r="469" spans="1:7" customFormat="1" ht="13.35" customHeight="1">
      <c r="A469" s="260"/>
      <c r="B469" s="260"/>
      <c r="C469" s="313"/>
      <c r="D469" s="1952" t="s">
        <v>1211</v>
      </c>
      <c r="E469" s="1952"/>
      <c r="F469" s="1952"/>
      <c r="G469" s="149"/>
    </row>
    <row r="470" spans="1:7" customFormat="1">
      <c r="A470" s="260"/>
      <c r="B470" s="260"/>
      <c r="C470" s="313"/>
      <c r="D470" s="1952"/>
      <c r="E470" s="1952"/>
      <c r="F470" s="1952"/>
      <c r="G470" s="149"/>
    </row>
    <row r="471" spans="1:7" customFormat="1">
      <c r="A471" s="260"/>
      <c r="B471" s="260"/>
      <c r="C471" s="313"/>
      <c r="D471" s="1952"/>
      <c r="E471" s="1952"/>
      <c r="F471" s="1952"/>
      <c r="G471" s="149"/>
    </row>
    <row r="472" spans="1:7" customFormat="1">
      <c r="A472" s="260"/>
      <c r="B472" s="260"/>
      <c r="C472" s="313"/>
      <c r="D472" s="1952"/>
      <c r="E472" s="1952"/>
      <c r="F472" s="1952"/>
      <c r="G472" s="149"/>
    </row>
    <row r="473" spans="1:7" customFormat="1">
      <c r="A473" s="260"/>
      <c r="B473" s="260"/>
      <c r="C473" s="313"/>
      <c r="D473" s="1952"/>
      <c r="E473" s="1952"/>
      <c r="F473" s="1952"/>
      <c r="G473" s="149"/>
    </row>
    <row r="474" spans="1:7" customFormat="1">
      <c r="A474" s="260"/>
      <c r="B474" s="260"/>
      <c r="C474" s="313"/>
      <c r="D474" s="471"/>
      <c r="E474" s="149"/>
      <c r="F474" s="151"/>
      <c r="G474" s="149"/>
    </row>
    <row r="475" spans="1:7" customFormat="1" ht="14.45" customHeight="1">
      <c r="A475" s="261"/>
      <c r="B475" s="679" t="s">
        <v>316</v>
      </c>
      <c r="C475" s="313"/>
      <c r="D475" s="1918" t="s">
        <v>1202</v>
      </c>
      <c r="E475" s="1918"/>
      <c r="F475" s="1918"/>
      <c r="G475" s="149"/>
    </row>
    <row r="476" spans="1:7" customFormat="1">
      <c r="A476" s="260"/>
      <c r="B476" s="260"/>
      <c r="C476" s="313"/>
      <c r="D476" s="1918"/>
      <c r="E476" s="1918"/>
      <c r="F476" s="1918"/>
      <c r="G476" s="149"/>
    </row>
    <row r="477" spans="1:7" s="680" customFormat="1">
      <c r="A477" s="260"/>
      <c r="B477" s="260"/>
      <c r="C477" s="313"/>
      <c r="D477" s="1918"/>
      <c r="E477" s="1918"/>
      <c r="F477" s="1918"/>
      <c r="G477" s="149"/>
    </row>
    <row r="478" spans="1:7" s="680" customFormat="1">
      <c r="A478" s="260"/>
      <c r="B478" s="260"/>
      <c r="C478" s="313"/>
      <c r="D478" s="1918"/>
      <c r="E478" s="1918"/>
      <c r="F478" s="1918"/>
      <c r="G478" s="149"/>
    </row>
    <row r="479" spans="1:7" customFormat="1">
      <c r="A479" s="260"/>
      <c r="B479" s="260"/>
      <c r="C479" s="313"/>
      <c r="D479" s="1918"/>
      <c r="E479" s="1918"/>
      <c r="F479" s="1918"/>
      <c r="G479" s="149"/>
    </row>
    <row r="480" spans="1:7" customFormat="1">
      <c r="A480" s="260"/>
      <c r="B480" s="260"/>
      <c r="C480" s="313"/>
      <c r="D480" s="443"/>
      <c r="E480" s="149"/>
      <c r="F480" s="151"/>
      <c r="G480" s="149"/>
    </row>
    <row r="481" spans="1:7" customFormat="1" ht="14.45" customHeight="1">
      <c r="A481" s="261"/>
      <c r="B481" s="679" t="s">
        <v>316</v>
      </c>
      <c r="C481" s="313"/>
      <c r="D481" s="1918" t="s">
        <v>1205</v>
      </c>
      <c r="E481" s="1918"/>
      <c r="F481" s="1918"/>
      <c r="G481" s="149"/>
    </row>
    <row r="482" spans="1:7" customFormat="1">
      <c r="A482" s="260"/>
      <c r="B482" s="260"/>
      <c r="C482" s="313"/>
      <c r="D482" s="1918"/>
      <c r="E482" s="1918"/>
      <c r="F482" s="1918"/>
      <c r="G482" s="149"/>
    </row>
    <row r="483" spans="1:7" s="680" customFormat="1">
      <c r="A483" s="260"/>
      <c r="B483" s="260"/>
      <c r="C483" s="313"/>
      <c r="D483" s="1918"/>
      <c r="E483" s="1918"/>
      <c r="F483" s="1918"/>
      <c r="G483" s="149"/>
    </row>
    <row r="484" spans="1:7" customFormat="1">
      <c r="A484" s="260"/>
      <c r="B484" s="260"/>
      <c r="C484" s="313"/>
      <c r="D484" s="1918"/>
      <c r="E484" s="1918"/>
      <c r="F484" s="191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8" t="s">
        <v>1203</v>
      </c>
      <c r="E486" s="1918"/>
      <c r="F486" s="1918"/>
      <c r="G486" s="149"/>
    </row>
    <row r="487" spans="1:7" customFormat="1">
      <c r="A487" s="260"/>
      <c r="B487" s="260"/>
      <c r="C487" s="313"/>
      <c r="D487" s="1918"/>
      <c r="E487" s="1918"/>
      <c r="F487" s="1918"/>
      <c r="G487" s="149"/>
    </row>
    <row r="488" spans="1:7" customFormat="1">
      <c r="A488" s="260"/>
      <c r="B488" s="260"/>
      <c r="C488" s="313"/>
      <c r="D488" s="1918"/>
      <c r="E488" s="1918"/>
      <c r="F488" s="1918"/>
      <c r="G488" s="149"/>
    </row>
    <row r="489" spans="1:7" s="680" customFormat="1">
      <c r="A489" s="260"/>
      <c r="B489" s="260"/>
      <c r="C489" s="313"/>
      <c r="D489" s="700"/>
      <c r="E489" s="700"/>
      <c r="F489" s="700"/>
      <c r="G489" s="149"/>
    </row>
    <row r="490" spans="1:7" customFormat="1" ht="14.45" customHeight="1">
      <c r="A490" s="261"/>
      <c r="B490" s="679" t="s">
        <v>316</v>
      </c>
      <c r="C490" s="313"/>
      <c r="D490" s="1918" t="s">
        <v>1204</v>
      </c>
      <c r="E490" s="1918"/>
      <c r="F490" s="1918"/>
      <c r="G490" s="149"/>
    </row>
    <row r="491" spans="1:7" customFormat="1">
      <c r="A491" s="260"/>
      <c r="B491" s="260"/>
      <c r="C491" s="313"/>
      <c r="D491" s="1918"/>
      <c r="E491" s="1918"/>
      <c r="F491" s="1918"/>
      <c r="G491" s="149"/>
    </row>
    <row r="492" spans="1:7" customFormat="1">
      <c r="A492" s="260"/>
      <c r="B492" s="260"/>
      <c r="C492" s="313"/>
      <c r="D492" s="1918"/>
      <c r="E492" s="1918"/>
      <c r="F492" s="1918"/>
      <c r="G492" s="149"/>
    </row>
    <row r="493" spans="1:7" customFormat="1">
      <c r="A493" s="260"/>
      <c r="B493" s="260"/>
      <c r="C493" s="313"/>
      <c r="D493" s="1918"/>
      <c r="E493" s="1918"/>
      <c r="F493" s="1918"/>
      <c r="G493" s="149"/>
    </row>
    <row r="494" spans="1:7" customFormat="1">
      <c r="A494" s="260"/>
      <c r="B494" s="260"/>
      <c r="C494" s="313"/>
      <c r="D494" s="1918"/>
      <c r="E494" s="1918"/>
      <c r="F494" s="1918"/>
      <c r="G494" s="149"/>
    </row>
    <row r="495" spans="1:7" customFormat="1">
      <c r="A495" s="260"/>
      <c r="B495" s="260"/>
      <c r="C495" s="313"/>
      <c r="D495" s="1918"/>
      <c r="E495" s="1918"/>
      <c r="F495" s="1918"/>
      <c r="G495" s="149"/>
    </row>
    <row r="496" spans="1:7" customFormat="1">
      <c r="A496" s="260"/>
      <c r="B496" s="260"/>
      <c r="C496" s="313"/>
      <c r="D496" s="1918"/>
      <c r="E496" s="1918"/>
      <c r="F496" s="1918"/>
      <c r="G496" s="149"/>
    </row>
    <row r="497" spans="1:7" customFormat="1">
      <c r="A497" s="487"/>
      <c r="B497" s="487"/>
      <c r="C497" s="486"/>
      <c r="D497" s="1918"/>
      <c r="E497" s="1918"/>
      <c r="F497" s="1918"/>
      <c r="G497" s="149"/>
    </row>
    <row r="498" spans="1:7" customFormat="1">
      <c r="A498" s="487"/>
      <c r="B498" s="487"/>
      <c r="C498" s="486"/>
      <c r="D498" s="1918"/>
      <c r="E498" s="1918"/>
      <c r="F498" s="1918"/>
      <c r="G498" s="149"/>
    </row>
    <row r="499" spans="1:7" customFormat="1">
      <c r="A499" s="487"/>
      <c r="B499" s="487"/>
      <c r="C499" s="486"/>
      <c r="D499" s="443"/>
      <c r="E499" s="149"/>
      <c r="F499" s="151"/>
      <c r="G499" s="149"/>
    </row>
    <row r="500" spans="1:7" customFormat="1" ht="13.35" customHeight="1">
      <c r="A500" s="487"/>
      <c r="B500" s="679" t="s">
        <v>316</v>
      </c>
      <c r="C500" s="486"/>
      <c r="D500" s="1931" t="s">
        <v>1348</v>
      </c>
      <c r="E500" s="1931"/>
      <c r="F500" s="1931"/>
      <c r="G500" s="149"/>
    </row>
    <row r="501" spans="1:7" customFormat="1">
      <c r="A501" s="487"/>
      <c r="B501" s="487"/>
      <c r="C501" s="486"/>
      <c r="D501" s="1931"/>
      <c r="E501" s="1931"/>
      <c r="F501" s="1931"/>
      <c r="G501" s="149"/>
    </row>
    <row r="502" spans="1:7" customFormat="1">
      <c r="A502" s="487"/>
      <c r="B502" s="487"/>
      <c r="C502" s="486"/>
      <c r="D502" s="1931"/>
      <c r="E502" s="1931"/>
      <c r="F502" s="1931"/>
      <c r="G502" s="149"/>
    </row>
    <row r="503" spans="1:7" customFormat="1">
      <c r="A503" s="487"/>
      <c r="B503" s="487"/>
      <c r="C503" s="486"/>
      <c r="D503" s="1931"/>
      <c r="E503" s="1931"/>
      <c r="F503" s="1931"/>
      <c r="G503" s="149"/>
    </row>
    <row r="504" spans="1:7" customFormat="1">
      <c r="A504" s="260"/>
      <c r="B504" s="260"/>
      <c r="C504" s="313"/>
      <c r="D504" s="1931"/>
      <c r="E504" s="1931"/>
      <c r="F504" s="1931"/>
      <c r="G504" s="149"/>
    </row>
    <row r="505" spans="1:7" s="717" customFormat="1">
      <c r="A505" s="720"/>
      <c r="B505" s="720"/>
      <c r="C505" s="313"/>
      <c r="D505" s="741"/>
      <c r="E505" s="741"/>
      <c r="F505" s="741"/>
      <c r="G505" s="149"/>
    </row>
    <row r="506" spans="1:7" customFormat="1" ht="14.45" customHeight="1">
      <c r="A506" s="261"/>
      <c r="B506" s="679" t="s">
        <v>316</v>
      </c>
      <c r="C506" s="10"/>
      <c r="D506" s="1918" t="s">
        <v>1206</v>
      </c>
      <c r="E506" s="1918"/>
      <c r="F506" s="1918"/>
      <c r="G506" s="149"/>
    </row>
    <row r="507" spans="1:7" customFormat="1">
      <c r="A507" s="132"/>
      <c r="B507" s="676"/>
      <c r="C507" s="10"/>
      <c r="D507" s="1918"/>
      <c r="E507" s="1918"/>
      <c r="F507" s="1918"/>
      <c r="G507" s="149"/>
    </row>
    <row r="508" spans="1:7" customFormat="1">
      <c r="A508" s="132"/>
      <c r="B508" s="676"/>
      <c r="C508" s="10"/>
      <c r="D508" s="1918"/>
      <c r="E508" s="1918"/>
      <c r="F508" s="1918"/>
      <c r="G508" s="149"/>
    </row>
    <row r="509" spans="1:7" customFormat="1" ht="12" customHeight="1">
      <c r="A509" s="135"/>
      <c r="B509" s="135"/>
      <c r="C509" s="315"/>
      <c r="D509" s="135"/>
      <c r="E509" s="149"/>
      <c r="F509" s="314"/>
      <c r="G509" s="149"/>
    </row>
    <row r="510" spans="1:7">
      <c r="A510" s="1897" t="s">
        <v>1169</v>
      </c>
      <c r="B510" s="1897"/>
      <c r="C510" s="1897"/>
      <c r="D510" s="1897"/>
      <c r="E510" s="1897"/>
      <c r="F510" s="1897"/>
      <c r="G510" s="1897"/>
    </row>
    <row r="511" spans="1:7">
      <c r="A511" s="135"/>
      <c r="B511" s="135"/>
      <c r="C511" s="266"/>
      <c r="F511" s="134"/>
    </row>
    <row r="512" spans="1:7">
      <c r="B512" s="1893" t="s">
        <v>470</v>
      </c>
      <c r="C512" s="1893"/>
      <c r="D512" s="1893"/>
      <c r="E512" s="1893"/>
      <c r="F512" s="1893"/>
    </row>
    <row r="513" spans="1:7">
      <c r="A513" s="135"/>
      <c r="B513" s="135"/>
      <c r="C513" s="266"/>
      <c r="D513" s="135"/>
      <c r="F513" s="135"/>
    </row>
    <row r="514" spans="1:7">
      <c r="A514" s="1898" t="s">
        <v>1170</v>
      </c>
      <c r="B514" s="1898"/>
      <c r="C514" s="1898"/>
      <c r="D514" s="1898"/>
      <c r="E514" s="1898"/>
      <c r="F514" s="1898"/>
      <c r="G514" s="1898"/>
    </row>
    <row r="515" spans="1:7">
      <c r="A515" s="135"/>
      <c r="B515" s="135"/>
      <c r="C515" s="266"/>
      <c r="D515" s="135"/>
      <c r="F515" s="135"/>
    </row>
    <row r="516" spans="1:7">
      <c r="C516" s="266"/>
      <c r="D516" s="1895" t="s">
        <v>720</v>
      </c>
      <c r="E516" s="1895"/>
      <c r="F516" s="1895"/>
    </row>
    <row r="517" spans="1:7" s="682" customFormat="1">
      <c r="A517" s="699"/>
      <c r="B517" s="699"/>
      <c r="C517" s="266"/>
      <c r="D517" s="1896" t="s">
        <v>1227</v>
      </c>
      <c r="E517" s="1896"/>
      <c r="F517" s="1896"/>
      <c r="G517" s="7"/>
    </row>
    <row r="518" spans="1:7" s="682" customFormat="1">
      <c r="A518" s="699"/>
      <c r="B518" s="699"/>
      <c r="C518" s="266"/>
      <c r="D518" s="704"/>
      <c r="E518" s="704"/>
      <c r="F518" s="704"/>
      <c r="G518" s="7"/>
    </row>
    <row r="519" spans="1:7" ht="13.35" customHeight="1">
      <c r="A519" s="261"/>
      <c r="B519" s="679" t="s">
        <v>316</v>
      </c>
      <c r="C519" s="266"/>
      <c r="D519" s="1896" t="s">
        <v>949</v>
      </c>
      <c r="E519" s="1896"/>
      <c r="F519" s="1896"/>
      <c r="G519" s="12"/>
    </row>
    <row r="520" spans="1:7" ht="13.35" customHeight="1">
      <c r="A520" s="266"/>
      <c r="B520" s="266"/>
      <c r="C520" s="266"/>
      <c r="D520" s="704"/>
      <c r="E520" s="677"/>
      <c r="F520" s="677"/>
      <c r="G520" s="12"/>
    </row>
    <row r="521" spans="1:7" ht="14.25">
      <c r="A521" s="261"/>
      <c r="B521" s="679" t="s">
        <v>316</v>
      </c>
      <c r="C521" s="266"/>
      <c r="D521" s="1871" t="s">
        <v>1228</v>
      </c>
      <c r="E521" s="1871"/>
      <c r="F521" s="1871"/>
      <c r="G521" s="12"/>
    </row>
    <row r="522" spans="1:7">
      <c r="A522" s="266"/>
      <c r="B522" s="266"/>
      <c r="C522" s="266"/>
      <c r="D522" s="1871"/>
      <c r="E522" s="1871"/>
      <c r="F522" s="1871"/>
      <c r="G522" s="12"/>
    </row>
    <row r="523" spans="1:7">
      <c r="A523" s="266"/>
      <c r="B523" s="266"/>
      <c r="C523" s="266"/>
      <c r="D523" s="135"/>
      <c r="E523" s="135"/>
      <c r="F523" s="135"/>
      <c r="G523" s="12"/>
    </row>
    <row r="524" spans="1:7" ht="14.25">
      <c r="A524" s="261"/>
      <c r="B524" s="679" t="s">
        <v>316</v>
      </c>
      <c r="C524" s="266"/>
      <c r="D524" s="1871" t="s">
        <v>1229</v>
      </c>
      <c r="E524" s="1871"/>
      <c r="F524" s="1871"/>
      <c r="G524" s="12"/>
    </row>
    <row r="525" spans="1:7">
      <c r="A525" s="266"/>
      <c r="B525" s="266"/>
      <c r="C525" s="266"/>
      <c r="D525" s="1871"/>
      <c r="E525" s="1871"/>
      <c r="F525" s="1871"/>
      <c r="G525" s="12"/>
    </row>
    <row r="526" spans="1:7">
      <c r="A526" s="266"/>
      <c r="B526" s="266"/>
      <c r="C526" s="266"/>
      <c r="D526" s="135"/>
      <c r="E526" s="135"/>
      <c r="F526" s="135"/>
      <c r="G526" s="12"/>
    </row>
    <row r="527" spans="1:7" ht="14.25">
      <c r="A527" s="261"/>
      <c r="B527" s="679" t="s">
        <v>316</v>
      </c>
      <c r="C527" s="266"/>
      <c r="D527" s="1871" t="s">
        <v>1230</v>
      </c>
      <c r="E527" s="1871"/>
      <c r="F527" s="1871"/>
      <c r="G527" s="12"/>
    </row>
    <row r="528" spans="1:7">
      <c r="A528" s="266"/>
      <c r="B528" s="266"/>
      <c r="C528" s="266"/>
      <c r="D528" s="1871"/>
      <c r="E528" s="1871"/>
      <c r="F528" s="1871"/>
      <c r="G528" s="12"/>
    </row>
    <row r="529" spans="1:7">
      <c r="A529" s="266"/>
      <c r="B529" s="266"/>
      <c r="C529" s="266"/>
      <c r="D529" s="135"/>
      <c r="E529" s="135"/>
      <c r="F529" s="135"/>
      <c r="G529" s="12"/>
    </row>
    <row r="530" spans="1:7" ht="14.25">
      <c r="A530" s="261"/>
      <c r="B530" s="679" t="s">
        <v>316</v>
      </c>
      <c r="C530" s="266"/>
      <c r="D530" s="1871" t="s">
        <v>1231</v>
      </c>
      <c r="E530" s="1871"/>
      <c r="F530" s="1871"/>
      <c r="G530" s="12"/>
    </row>
    <row r="531" spans="1:7">
      <c r="A531" s="266"/>
      <c r="B531" s="266"/>
      <c r="C531" s="266"/>
      <c r="D531" s="1871"/>
      <c r="E531" s="1871"/>
      <c r="F531" s="1871"/>
      <c r="G531" s="12"/>
    </row>
    <row r="532" spans="1:7">
      <c r="A532" s="266"/>
      <c r="B532" s="266"/>
      <c r="C532" s="266"/>
      <c r="D532" s="1871"/>
      <c r="E532" s="1871"/>
      <c r="F532" s="1871"/>
      <c r="G532" s="12"/>
    </row>
    <row r="533" spans="1:7">
      <c r="A533" s="266"/>
      <c r="B533" s="266"/>
      <c r="C533" s="266"/>
      <c r="D533" s="135"/>
      <c r="E533" s="135"/>
      <c r="F533" s="135"/>
    </row>
    <row r="534" spans="1:7" ht="14.25">
      <c r="A534" s="261"/>
      <c r="B534" s="679" t="s">
        <v>316</v>
      </c>
      <c r="C534" s="266"/>
      <c r="D534" s="1894" t="s">
        <v>1349</v>
      </c>
      <c r="E534" s="1894"/>
      <c r="F534" s="1894"/>
    </row>
    <row r="535" spans="1:7">
      <c r="A535" s="266"/>
      <c r="B535" s="266"/>
      <c r="C535" s="266"/>
      <c r="D535" s="1894"/>
      <c r="E535" s="1894"/>
      <c r="F535" s="1894"/>
    </row>
    <row r="536" spans="1:7">
      <c r="A536" s="266"/>
      <c r="B536" s="266"/>
      <c r="C536" s="266"/>
      <c r="D536" s="135"/>
      <c r="E536" s="135"/>
      <c r="F536" s="135"/>
    </row>
    <row r="537" spans="1:7" ht="14.25">
      <c r="A537" s="261"/>
      <c r="B537" s="679" t="s">
        <v>316</v>
      </c>
      <c r="C537" s="266"/>
      <c r="D537" s="1894" t="s">
        <v>1232</v>
      </c>
      <c r="E537" s="1894"/>
      <c r="F537" s="1894"/>
    </row>
    <row r="538" spans="1:7">
      <c r="A538" s="266"/>
      <c r="B538" s="266"/>
      <c r="C538" s="266"/>
      <c r="D538" s="1894"/>
      <c r="E538" s="1894"/>
      <c r="F538" s="1894"/>
    </row>
    <row r="539" spans="1:7">
      <c r="A539" s="266"/>
      <c r="B539" s="266"/>
      <c r="C539" s="266"/>
      <c r="D539" s="135"/>
      <c r="E539" s="135"/>
      <c r="F539" s="135"/>
    </row>
    <row r="540" spans="1:7" ht="14.25">
      <c r="A540" s="261"/>
      <c r="B540" s="679" t="s">
        <v>316</v>
      </c>
      <c r="C540" s="266"/>
      <c r="D540" s="1871" t="s">
        <v>1233</v>
      </c>
      <c r="E540" s="1871"/>
      <c r="F540" s="1871"/>
    </row>
    <row r="541" spans="1:7">
      <c r="A541" s="266"/>
      <c r="B541" s="266"/>
      <c r="C541" s="266"/>
      <c r="D541" s="1871"/>
      <c r="E541" s="1871"/>
      <c r="F541" s="1871"/>
      <c r="G541" s="57"/>
    </row>
    <row r="542" spans="1:7">
      <c r="A542" s="266"/>
      <c r="B542" s="266"/>
      <c r="C542" s="266"/>
      <c r="D542" s="135"/>
      <c r="E542" s="135"/>
      <c r="F542" s="135"/>
      <c r="G542" s="57"/>
    </row>
    <row r="543" spans="1:7" ht="14.25">
      <c r="A543" s="261"/>
      <c r="B543" s="679" t="s">
        <v>316</v>
      </c>
      <c r="C543" s="266"/>
      <c r="D543" s="1896" t="s">
        <v>1234</v>
      </c>
      <c r="E543" s="1896"/>
      <c r="F543" s="1896"/>
      <c r="G543" s="57"/>
    </row>
    <row r="544" spans="1:7">
      <c r="A544" s="23"/>
      <c r="B544" s="675"/>
      <c r="C544" s="266"/>
      <c r="D544" s="1896" t="s">
        <v>881</v>
      </c>
      <c r="E544" s="1896"/>
      <c r="F544" s="1896"/>
      <c r="G544" s="57"/>
    </row>
    <row r="545" spans="1:7">
      <c r="A545" s="23"/>
      <c r="B545" s="675"/>
      <c r="C545" s="266"/>
      <c r="D545" s="6"/>
      <c r="E545" s="1901" t="s">
        <v>1235</v>
      </c>
      <c r="F545" s="1901"/>
      <c r="G545" s="57"/>
    </row>
    <row r="546" spans="1:7" ht="14.25">
      <c r="A546" s="261"/>
      <c r="B546" s="261"/>
      <c r="C546" s="266"/>
      <c r="E546" s="135"/>
      <c r="F546" s="135"/>
      <c r="G546" s="57"/>
    </row>
    <row r="547" spans="1:7" ht="14.25">
      <c r="A547" s="261"/>
      <c r="B547" s="679" t="s">
        <v>316</v>
      </c>
      <c r="C547" s="266"/>
      <c r="D547" s="1902" t="s">
        <v>1236</v>
      </c>
      <c r="E547" s="1902"/>
      <c r="F547" s="1902"/>
      <c r="G547" s="57"/>
    </row>
    <row r="548" spans="1:7">
      <c r="C548" s="266"/>
      <c r="D548" s="1871" t="s">
        <v>1237</v>
      </c>
      <c r="E548" s="1871"/>
      <c r="F548" s="1871"/>
      <c r="G548" s="57"/>
    </row>
    <row r="549" spans="1:7">
      <c r="A549" s="266"/>
      <c r="B549" s="266"/>
      <c r="C549" s="266"/>
      <c r="D549" s="1871"/>
      <c r="E549" s="1871"/>
      <c r="F549" s="1871"/>
      <c r="G549" s="57"/>
    </row>
    <row r="550" spans="1:7">
      <c r="A550" s="266"/>
      <c r="B550" s="266"/>
      <c r="C550" s="266"/>
      <c r="D550" s="1871"/>
      <c r="E550" s="1871"/>
      <c r="F550" s="1871"/>
      <c r="G550" s="57"/>
    </row>
    <row r="551" spans="1:7">
      <c r="A551" s="266"/>
      <c r="B551" s="266"/>
      <c r="C551" s="266"/>
      <c r="D551" s="135"/>
      <c r="E551" s="135"/>
      <c r="F551" s="135"/>
      <c r="G551" s="57"/>
    </row>
    <row r="552" spans="1:7" ht="14.25">
      <c r="A552" s="261"/>
      <c r="B552" s="679" t="s">
        <v>316</v>
      </c>
      <c r="C552" s="266"/>
      <c r="D552" s="1871" t="s">
        <v>1238</v>
      </c>
      <c r="E552" s="1871"/>
      <c r="F552" s="1871"/>
      <c r="G552" s="57"/>
    </row>
    <row r="553" spans="1:7" ht="14.25">
      <c r="A553" s="261"/>
      <c r="B553" s="261"/>
      <c r="C553" s="266"/>
      <c r="D553" s="1871"/>
      <c r="E553" s="1871"/>
      <c r="F553" s="1871"/>
      <c r="G553" s="57"/>
    </row>
    <row r="554" spans="1:7" ht="14.25">
      <c r="A554" s="261"/>
      <c r="B554" s="261"/>
      <c r="C554" s="266"/>
      <c r="D554" s="1871"/>
      <c r="E554" s="1871"/>
      <c r="F554" s="1871"/>
      <c r="G554" s="57"/>
    </row>
    <row r="555" spans="1:7" ht="14.25">
      <c r="A555" s="261"/>
      <c r="B555" s="261"/>
      <c r="C555" s="266"/>
      <c r="D555" s="1871"/>
      <c r="E555" s="1871"/>
      <c r="F555" s="1871"/>
      <c r="G555" s="57"/>
    </row>
    <row r="556" spans="1:7" ht="14.25">
      <c r="A556" s="261"/>
      <c r="B556" s="261"/>
      <c r="C556" s="266"/>
      <c r="D556" s="135"/>
      <c r="E556" s="135"/>
      <c r="F556" s="135"/>
      <c r="G556" s="57"/>
    </row>
    <row r="557" spans="1:7">
      <c r="A557" s="1897" t="s">
        <v>1171</v>
      </c>
      <c r="B557" s="1897"/>
      <c r="C557" s="1897"/>
      <c r="D557" s="1897"/>
      <c r="E557" s="1897"/>
      <c r="F557" s="1897"/>
      <c r="G557" s="1897"/>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19" t="s">
        <v>1187</v>
      </c>
      <c r="E560" s="1919"/>
      <c r="F560" s="1919"/>
      <c r="G560" s="57"/>
    </row>
    <row r="561" spans="1:7">
      <c r="A561" s="12"/>
      <c r="B561" s="12"/>
      <c r="C561" s="260"/>
      <c r="D561" s="377"/>
      <c r="G561" s="57"/>
    </row>
    <row r="562" spans="1:7">
      <c r="A562" s="260"/>
      <c r="B562" s="679" t="s">
        <v>316</v>
      </c>
      <c r="D562" s="1919" t="s">
        <v>955</v>
      </c>
      <c r="E562" s="1919"/>
      <c r="F562" s="1919"/>
      <c r="G562" s="57"/>
    </row>
    <row r="563" spans="1:7">
      <c r="A563" s="23"/>
      <c r="B563" s="675"/>
      <c r="D563" s="325"/>
    </row>
    <row r="564" spans="1:7">
      <c r="A564" s="23"/>
      <c r="B564" s="679" t="s">
        <v>316</v>
      </c>
      <c r="D564" s="1920" t="s">
        <v>1188</v>
      </c>
      <c r="E564" s="1920"/>
      <c r="F564" s="1920"/>
    </row>
    <row r="565" spans="1:7">
      <c r="A565" s="23"/>
      <c r="B565" s="675"/>
      <c r="D565" s="1920"/>
      <c r="E565" s="1920"/>
      <c r="F565" s="1920"/>
    </row>
    <row r="566" spans="1:7">
      <c r="A566" s="23"/>
      <c r="B566" s="688"/>
      <c r="D566" s="1920"/>
      <c r="E566" s="1920"/>
      <c r="F566" s="1920"/>
    </row>
    <row r="567" spans="1:7">
      <c r="A567" s="23"/>
      <c r="B567" s="675"/>
      <c r="D567" s="478"/>
    </row>
    <row r="568" spans="1:7" s="682" customFormat="1">
      <c r="A568" s="688"/>
      <c r="B568" s="679" t="s">
        <v>316</v>
      </c>
      <c r="C568" s="689"/>
      <c r="D568" s="1920" t="s">
        <v>1189</v>
      </c>
      <c r="E568" s="1920"/>
      <c r="F568" s="1920"/>
      <c r="G568" s="7"/>
    </row>
    <row r="569" spans="1:7" s="682" customFormat="1">
      <c r="A569" s="688"/>
      <c r="B569" s="688"/>
      <c r="C569" s="689"/>
      <c r="D569" s="1920"/>
      <c r="E569" s="1920"/>
      <c r="F569" s="1920"/>
      <c r="G569" s="7"/>
    </row>
    <row r="570" spans="1:7" s="682" customFormat="1">
      <c r="A570" s="688"/>
      <c r="B570" s="688"/>
      <c r="C570" s="689"/>
      <c r="D570" s="1920"/>
      <c r="E570" s="1920"/>
      <c r="F570" s="1920"/>
      <c r="G570" s="7"/>
    </row>
    <row r="571" spans="1:7" s="682" customFormat="1">
      <c r="A571" s="688"/>
      <c r="B571" s="688"/>
      <c r="C571" s="689"/>
      <c r="D571" s="1920"/>
      <c r="E571" s="1920"/>
      <c r="F571" s="1920"/>
      <c r="G571" s="7"/>
    </row>
    <row r="572" spans="1:7" s="682" customFormat="1">
      <c r="A572" s="688"/>
      <c r="B572" s="688"/>
      <c r="C572" s="689"/>
      <c r="D572" s="694"/>
      <c r="E572" s="694"/>
      <c r="F572" s="694"/>
      <c r="G572" s="7"/>
    </row>
    <row r="573" spans="1:7">
      <c r="A573" s="23"/>
      <c r="B573" s="679" t="s">
        <v>316</v>
      </c>
      <c r="D573" s="1920" t="s">
        <v>1190</v>
      </c>
      <c r="E573" s="1920"/>
      <c r="F573" s="1920"/>
    </row>
    <row r="574" spans="1:7">
      <c r="A574" s="23"/>
      <c r="B574" s="675"/>
      <c r="D574" s="1920"/>
      <c r="E574" s="1920"/>
      <c r="F574" s="1920"/>
    </row>
    <row r="575" spans="1:7">
      <c r="A575" s="23"/>
      <c r="B575" s="675"/>
      <c r="D575" s="377"/>
    </row>
    <row r="576" spans="1:7" s="682" customFormat="1">
      <c r="A576" s="688"/>
      <c r="B576" s="679" t="s">
        <v>316</v>
      </c>
      <c r="C576" s="689"/>
      <c r="D576" s="1919" t="s">
        <v>1191</v>
      </c>
      <c r="E576" s="1919"/>
      <c r="F576" s="1919"/>
      <c r="G576" s="7"/>
    </row>
    <row r="577" spans="1:7" s="682" customFormat="1">
      <c r="A577" s="688"/>
      <c r="B577" s="688"/>
      <c r="C577" s="689"/>
      <c r="D577" s="1919"/>
      <c r="E577" s="1919"/>
      <c r="F577" s="1919"/>
      <c r="G577" s="7"/>
    </row>
    <row r="578" spans="1:7" s="682" customFormat="1">
      <c r="A578" s="688"/>
      <c r="B578" s="688"/>
      <c r="C578" s="689"/>
      <c r="D578" s="377"/>
      <c r="E578" s="7"/>
      <c r="F578" s="7"/>
      <c r="G578" s="7"/>
    </row>
    <row r="579" spans="1:7" ht="14.25">
      <c r="A579" s="261"/>
      <c r="B579" s="679" t="s">
        <v>316</v>
      </c>
      <c r="D579" s="1919" t="s">
        <v>950</v>
      </c>
      <c r="E579" s="1919"/>
      <c r="F579" s="1919"/>
    </row>
    <row r="580" spans="1:7" ht="14.25">
      <c r="A580" s="261"/>
      <c r="B580" s="261"/>
      <c r="D580" s="377"/>
    </row>
    <row r="581" spans="1:7" ht="14.25">
      <c r="A581" s="261"/>
      <c r="B581" s="679" t="s">
        <v>316</v>
      </c>
      <c r="D581" s="1919" t="s">
        <v>1192</v>
      </c>
      <c r="E581" s="1919"/>
      <c r="F581" s="1919"/>
    </row>
    <row r="582" spans="1:7" ht="14.25">
      <c r="A582" s="261"/>
      <c r="B582" s="261"/>
      <c r="D582" s="1919"/>
      <c r="E582" s="1919"/>
      <c r="F582" s="1919"/>
    </row>
    <row r="583" spans="1:7">
      <c r="D583" s="1919"/>
      <c r="E583" s="1919"/>
      <c r="F583" s="1919"/>
    </row>
    <row r="584" spans="1:7">
      <c r="D584" s="1919"/>
      <c r="E584" s="1919"/>
      <c r="F584" s="1919"/>
    </row>
    <row r="585" spans="1:7" s="682" customFormat="1">
      <c r="A585" s="689"/>
      <c r="B585" s="689"/>
      <c r="C585" s="689"/>
      <c r="D585" s="1919"/>
      <c r="E585" s="1919"/>
      <c r="F585" s="1919"/>
      <c r="G585" s="7"/>
    </row>
    <row r="586" spans="1:7" s="682" customFormat="1">
      <c r="A586" s="689"/>
      <c r="B586" s="689"/>
      <c r="C586" s="689"/>
      <c r="D586" s="1919"/>
      <c r="E586" s="1919"/>
      <c r="F586" s="1919"/>
      <c r="G586" s="7"/>
    </row>
    <row r="587" spans="1:7"/>
    <row r="588" spans="1:7">
      <c r="A588" s="1897" t="s">
        <v>1172</v>
      </c>
      <c r="B588" s="1897"/>
      <c r="C588" s="1897"/>
      <c r="D588" s="1897"/>
      <c r="E588" s="1897"/>
      <c r="F588" s="1897"/>
      <c r="G588" s="1897"/>
    </row>
    <row r="589" spans="1:7"/>
    <row r="590" spans="1:7">
      <c r="D590" s="1887" t="s">
        <v>1272</v>
      </c>
      <c r="E590" s="1887"/>
      <c r="F590" s="1887"/>
    </row>
    <row r="591" spans="1:7">
      <c r="D591" s="1888" t="s">
        <v>1273</v>
      </c>
      <c r="E591" s="1888"/>
      <c r="F591" s="1888"/>
    </row>
    <row r="592" spans="1:7" s="719" customFormat="1">
      <c r="A592" s="705"/>
      <c r="B592" s="705"/>
      <c r="C592" s="705"/>
      <c r="D592" s="723"/>
      <c r="E592" s="722"/>
      <c r="F592" s="722"/>
      <c r="G592" s="7"/>
    </row>
    <row r="593" spans="1:7" s="39" customFormat="1" ht="14.25">
      <c r="A593" s="403"/>
      <c r="B593" s="679" t="s">
        <v>316</v>
      </c>
      <c r="C593" s="273"/>
      <c r="D593" s="1889" t="s">
        <v>1274</v>
      </c>
      <c r="E593" s="1889"/>
      <c r="F593" s="1889"/>
      <c r="G593" s="130"/>
    </row>
    <row r="594" spans="1:7">
      <c r="D594" s="1889"/>
      <c r="E594" s="1889"/>
      <c r="F594" s="1889"/>
    </row>
    <row r="595" spans="1:7">
      <c r="D595" s="1889"/>
      <c r="E595" s="1889"/>
      <c r="F595" s="1889"/>
    </row>
    <row r="596" spans="1:7"/>
    <row r="597" spans="1:7">
      <c r="A597" s="1897" t="s">
        <v>1173</v>
      </c>
      <c r="B597" s="1897"/>
      <c r="C597" s="1897"/>
      <c r="D597" s="1897"/>
      <c r="E597" s="1897"/>
      <c r="F597" s="1897"/>
      <c r="G597" s="1897"/>
    </row>
    <row r="598" spans="1:7">
      <c r="A598" s="135"/>
      <c r="B598" s="135"/>
      <c r="G598" s="57"/>
    </row>
    <row r="599" spans="1:7">
      <c r="A599" s="257"/>
      <c r="B599" s="674"/>
      <c r="C599" s="255"/>
      <c r="D599" s="1890" t="s">
        <v>1275</v>
      </c>
      <c r="E599" s="1890"/>
      <c r="F599" s="1890"/>
      <c r="G599" s="57"/>
    </row>
    <row r="600" spans="1:7">
      <c r="A600" s="257"/>
      <c r="B600" s="674"/>
      <c r="C600" s="255"/>
      <c r="D600" s="1890"/>
      <c r="E600" s="1890"/>
      <c r="F600" s="1890"/>
      <c r="G600" s="57"/>
    </row>
    <row r="601" spans="1:7">
      <c r="C601" s="260"/>
      <c r="D601" s="1888" t="s">
        <v>1276</v>
      </c>
      <c r="E601" s="1888"/>
      <c r="F601" s="1888"/>
      <c r="G601" s="57"/>
    </row>
    <row r="602" spans="1:7" s="719" customFormat="1">
      <c r="A602" s="705"/>
      <c r="B602" s="705"/>
      <c r="C602" s="720"/>
      <c r="D602" s="724"/>
      <c r="E602" s="724"/>
      <c r="F602" s="724"/>
      <c r="G602" s="57"/>
    </row>
    <row r="603" spans="1:7">
      <c r="A603" s="23"/>
      <c r="B603" s="679" t="s">
        <v>316</v>
      </c>
      <c r="D603" s="1888" t="s">
        <v>453</v>
      </c>
      <c r="E603" s="1888"/>
      <c r="F603" s="1888"/>
      <c r="G603" s="57"/>
    </row>
    <row r="604" spans="1:7">
      <c r="C604" s="268"/>
      <c r="E604" s="12"/>
      <c r="G604" s="57"/>
    </row>
    <row r="605" spans="1:7">
      <c r="A605" s="23"/>
      <c r="B605" s="679" t="s">
        <v>316</v>
      </c>
      <c r="D605" s="1891" t="s">
        <v>1277</v>
      </c>
      <c r="E605" s="1891"/>
      <c r="F605" s="1891"/>
      <c r="G605" s="57"/>
    </row>
    <row r="606" spans="1:7">
      <c r="D606" s="1891"/>
      <c r="E606" s="1891"/>
      <c r="F606" s="1891"/>
      <c r="G606" s="57"/>
    </row>
    <row r="607" spans="1:7">
      <c r="D607" s="12"/>
      <c r="G607" s="57"/>
    </row>
    <row r="608" spans="1:7">
      <c r="B608" s="679" t="s">
        <v>316</v>
      </c>
      <c r="D608" s="1891" t="s">
        <v>1278</v>
      </c>
      <c r="E608" s="1891"/>
      <c r="F608" s="1891"/>
      <c r="G608" s="57"/>
    </row>
    <row r="609" spans="1:7">
      <c r="C609" s="268"/>
      <c r="D609" s="1891"/>
      <c r="E609" s="1891"/>
      <c r="F609" s="1891"/>
      <c r="G609" s="57"/>
    </row>
    <row r="610" spans="1:7">
      <c r="C610" s="268"/>
      <c r="G610" s="57"/>
    </row>
    <row r="611" spans="1:7">
      <c r="B611" s="679" t="s">
        <v>316</v>
      </c>
      <c r="C611" s="268"/>
      <c r="D611" s="1891" t="s">
        <v>1279</v>
      </c>
      <c r="E611" s="1891"/>
      <c r="F611" s="1891"/>
      <c r="G611" s="57"/>
    </row>
    <row r="612" spans="1:7">
      <c r="C612" s="268"/>
      <c r="D612" s="1891"/>
      <c r="E612" s="1891"/>
      <c r="F612" s="1891"/>
      <c r="G612" s="57"/>
    </row>
    <row r="613" spans="1:7">
      <c r="C613" s="268"/>
      <c r="G613" s="57"/>
    </row>
    <row r="614" spans="1:7">
      <c r="A614" s="1897" t="s">
        <v>1174</v>
      </c>
      <c r="B614" s="1897"/>
      <c r="C614" s="1897"/>
      <c r="D614" s="1897"/>
      <c r="E614" s="1897"/>
      <c r="F614" s="1897"/>
      <c r="G614" s="1897"/>
    </row>
    <row r="615" spans="1:7">
      <c r="A615" s="267"/>
      <c r="B615" s="267"/>
      <c r="C615" s="267"/>
      <c r="G615" s="57"/>
    </row>
    <row r="616" spans="1:7">
      <c r="C616" s="23"/>
      <c r="D616" s="1887" t="s">
        <v>1280</v>
      </c>
      <c r="E616" s="1887"/>
      <c r="F616" s="1887"/>
      <c r="G616" s="57"/>
    </row>
    <row r="617" spans="1:7">
      <c r="A617" s="23"/>
      <c r="B617" s="675"/>
      <c r="C617" s="265"/>
      <c r="D617" s="50"/>
      <c r="G617" s="57"/>
    </row>
    <row r="618" spans="1:7" ht="14.25">
      <c r="A618" s="261"/>
      <c r="B618" s="679" t="s">
        <v>316</v>
      </c>
      <c r="C618" s="265"/>
      <c r="D618" s="1932" t="s">
        <v>1281</v>
      </c>
      <c r="E618" s="1932"/>
      <c r="F618" s="1932"/>
      <c r="G618" s="57"/>
    </row>
    <row r="619" spans="1:7">
      <c r="C619" s="265"/>
      <c r="D619" s="1932"/>
      <c r="E619" s="1932"/>
      <c r="F619" s="1932"/>
      <c r="G619" s="57"/>
    </row>
    <row r="620" spans="1:7">
      <c r="C620" s="265"/>
      <c r="D620" s="1932"/>
      <c r="E620" s="1932"/>
      <c r="F620" s="1932"/>
      <c r="G620" s="57"/>
    </row>
    <row r="621" spans="1:7">
      <c r="C621" s="265"/>
      <c r="D621" s="1932"/>
      <c r="E621" s="1932"/>
      <c r="F621" s="1932"/>
      <c r="G621" s="57"/>
    </row>
    <row r="622" spans="1:7">
      <c r="C622" s="265"/>
      <c r="D622" s="1932"/>
      <c r="E622" s="1932"/>
      <c r="F622" s="1932"/>
      <c r="G622" s="57"/>
    </row>
    <row r="623" spans="1:7">
      <c r="C623" s="265"/>
      <c r="D623" s="1932"/>
      <c r="E623" s="1932"/>
      <c r="F623" s="1932"/>
      <c r="G623" s="57"/>
    </row>
    <row r="624" spans="1:7" s="719" customFormat="1">
      <c r="A624" s="705"/>
      <c r="B624" s="705"/>
      <c r="C624" s="265"/>
      <c r="D624" s="725"/>
      <c r="E624" s="725"/>
      <c r="F624" s="725"/>
      <c r="G624" s="57"/>
    </row>
    <row r="625" spans="1:7" ht="14.25">
      <c r="A625" s="261"/>
      <c r="B625" s="679" t="s">
        <v>316</v>
      </c>
      <c r="C625" s="265"/>
      <c r="D625" s="1932" t="s">
        <v>1282</v>
      </c>
      <c r="E625" s="1932"/>
      <c r="F625" s="1932"/>
      <c r="G625" s="57"/>
    </row>
    <row r="626" spans="1:7">
      <c r="A626" s="266"/>
      <c r="B626" s="266"/>
      <c r="C626" s="266"/>
      <c r="D626" s="1932"/>
      <c r="E626" s="1932"/>
      <c r="F626" s="1932"/>
      <c r="G626" s="57"/>
    </row>
    <row r="627" spans="1:7">
      <c r="A627" s="266"/>
      <c r="B627" s="266"/>
      <c r="C627" s="266"/>
      <c r="D627" s="151"/>
      <c r="E627" s="147"/>
      <c r="F627" s="147"/>
      <c r="G627" s="57"/>
    </row>
    <row r="628" spans="1:7" ht="14.25">
      <c r="A628" s="261"/>
      <c r="B628" s="679" t="s">
        <v>316</v>
      </c>
      <c r="C628" s="266"/>
      <c r="D628" s="1889" t="s">
        <v>1283</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19" customFormat="1">
      <c r="A632" s="266"/>
      <c r="B632" s="266"/>
      <c r="C632" s="266"/>
      <c r="D632" s="726"/>
      <c r="E632" s="726"/>
      <c r="F632" s="726"/>
      <c r="G632" s="57"/>
    </row>
    <row r="633" spans="1:7">
      <c r="A633" s="266"/>
      <c r="B633" s="679" t="s">
        <v>316</v>
      </c>
      <c r="C633" s="266"/>
      <c r="D633" s="1937" t="s">
        <v>1284</v>
      </c>
      <c r="E633" s="1937"/>
      <c r="F633" s="1937"/>
      <c r="G633" s="57"/>
    </row>
    <row r="634" spans="1:7">
      <c r="A634" s="266"/>
      <c r="B634" s="266"/>
      <c r="C634" s="266"/>
      <c r="D634" s="727"/>
      <c r="E634" s="727"/>
      <c r="F634" s="727"/>
      <c r="G634" s="57"/>
    </row>
    <row r="635" spans="1:7">
      <c r="A635" s="1897" t="s">
        <v>1175</v>
      </c>
      <c r="B635" s="1897"/>
      <c r="C635" s="1897"/>
      <c r="D635" s="1897"/>
      <c r="E635" s="1897"/>
      <c r="F635" s="1897"/>
      <c r="G635" s="1897"/>
    </row>
    <row r="636" spans="1:7">
      <c r="A636" s="135"/>
      <c r="B636" s="135"/>
      <c r="C636" s="266"/>
      <c r="D636" s="147"/>
      <c r="E636" s="147"/>
      <c r="F636" s="147"/>
      <c r="G636" s="57"/>
    </row>
    <row r="637" spans="1:7">
      <c r="C637" s="267"/>
      <c r="D637" s="1938" t="s">
        <v>1334</v>
      </c>
      <c r="E637" s="1938"/>
      <c r="F637" s="1938"/>
      <c r="G637" s="57"/>
    </row>
    <row r="638" spans="1:7">
      <c r="A638" s="260"/>
      <c r="B638" s="260"/>
      <c r="C638" s="260"/>
      <c r="D638" s="1939" t="s">
        <v>1335</v>
      </c>
      <c r="E638" s="1939"/>
      <c r="F638" s="1939"/>
      <c r="G638" s="57"/>
    </row>
    <row r="639" spans="1:7" s="719" customFormat="1">
      <c r="A639" s="720"/>
      <c r="B639" s="720"/>
      <c r="C639" s="720"/>
      <c r="D639" s="734"/>
      <c r="E639" s="734"/>
      <c r="F639" s="734"/>
      <c r="G639" s="57"/>
    </row>
    <row r="640" spans="1:7" ht="14.45" customHeight="1">
      <c r="A640" s="261"/>
      <c r="B640" s="679" t="s">
        <v>316</v>
      </c>
      <c r="C640" s="266"/>
      <c r="D640" s="1885" t="s">
        <v>1336</v>
      </c>
      <c r="E640" s="1885"/>
      <c r="F640" s="1885"/>
      <c r="G640" s="57"/>
    </row>
    <row r="641" spans="1:11" ht="14.25">
      <c r="A641" s="261"/>
      <c r="B641" s="261"/>
      <c r="C641" s="266"/>
      <c r="D641" s="1885"/>
      <c r="E641" s="1885"/>
      <c r="F641" s="1885"/>
      <c r="G641" s="57"/>
    </row>
    <row r="642" spans="1:11" ht="14.25">
      <c r="A642" s="261"/>
      <c r="B642" s="261"/>
      <c r="C642" s="266"/>
      <c r="D642" s="1885"/>
      <c r="E642" s="1885"/>
      <c r="F642" s="1885"/>
      <c r="G642" s="57"/>
    </row>
    <row r="643" spans="1:11" ht="14.25">
      <c r="A643" s="261"/>
      <c r="B643" s="261"/>
      <c r="C643" s="266"/>
      <c r="D643" s="1885"/>
      <c r="E643" s="1885"/>
      <c r="F643" s="1885"/>
      <c r="G643" s="57"/>
    </row>
    <row r="644" spans="1:11" s="682" customFormat="1" ht="14.25">
      <c r="A644" s="261"/>
      <c r="B644" s="261"/>
      <c r="C644" s="266"/>
      <c r="D644" s="1885"/>
      <c r="E644" s="1885"/>
      <c r="F644" s="1885"/>
      <c r="G644" s="57"/>
    </row>
    <row r="645" spans="1:11" s="719" customFormat="1" ht="14.25">
      <c r="A645" s="714"/>
      <c r="B645" s="714"/>
      <c r="C645" s="266"/>
      <c r="D645" s="736"/>
      <c r="E645" s="736"/>
      <c r="F645" s="736"/>
      <c r="G645" s="57"/>
    </row>
    <row r="646" spans="1:11" s="682" customFormat="1" ht="14.25">
      <c r="A646" s="261"/>
      <c r="B646" s="679" t="s">
        <v>316</v>
      </c>
      <c r="C646" s="266"/>
      <c r="D646" s="1915" t="s">
        <v>1186</v>
      </c>
      <c r="E646" s="1915"/>
      <c r="F646" s="1915"/>
      <c r="G646" s="57"/>
    </row>
    <row r="647" spans="1:11" s="682" customFormat="1" ht="14.25">
      <c r="A647" s="261"/>
      <c r="B647" s="261"/>
      <c r="C647" s="266"/>
      <c r="D647" s="1916" t="s">
        <v>1337</v>
      </c>
      <c r="E647" s="1916"/>
      <c r="F647" s="1916"/>
      <c r="G647" s="57"/>
    </row>
    <row r="648" spans="1:11" s="682" customFormat="1" ht="14.25">
      <c r="A648" s="261"/>
      <c r="B648" s="261"/>
      <c r="C648" s="266"/>
      <c r="D648" s="1916"/>
      <c r="E648" s="1916"/>
      <c r="F648" s="1916"/>
      <c r="G648" s="57"/>
    </row>
    <row r="649" spans="1:11" s="682" customFormat="1" ht="14.25">
      <c r="A649" s="261"/>
      <c r="B649" s="261"/>
      <c r="C649" s="266"/>
      <c r="D649" s="1916"/>
      <c r="E649" s="1916"/>
      <c r="F649" s="1916"/>
      <c r="G649" s="57"/>
    </row>
    <row r="650" spans="1:11" s="682" customFormat="1" ht="14.25">
      <c r="A650" s="261"/>
      <c r="B650" s="261"/>
      <c r="C650" s="266"/>
      <c r="D650" s="1916"/>
      <c r="E650" s="1916"/>
      <c r="F650" s="1916"/>
      <c r="G650" s="57"/>
    </row>
    <row r="651" spans="1:11" s="682" customFormat="1" ht="14.25">
      <c r="A651" s="261"/>
      <c r="B651" s="261"/>
      <c r="C651" s="266"/>
      <c r="D651" s="1916"/>
      <c r="E651" s="1916"/>
      <c r="F651" s="1916"/>
      <c r="G651" s="57"/>
    </row>
    <row r="652" spans="1:11" s="682" customFormat="1" ht="14.25">
      <c r="A652" s="261"/>
      <c r="B652" s="261"/>
      <c r="C652" s="266"/>
      <c r="D652" s="1917" t="s">
        <v>1338</v>
      </c>
      <c r="E652" s="1917"/>
      <c r="F652" s="1917"/>
      <c r="G652" s="57"/>
    </row>
    <row r="653" spans="1:11">
      <c r="A653" s="266"/>
      <c r="B653" s="266"/>
      <c r="C653" s="266"/>
      <c r="D653" s="147"/>
      <c r="E653" s="147"/>
      <c r="F653" s="147"/>
      <c r="G653" s="57"/>
    </row>
    <row r="654" spans="1:11">
      <c r="A654" s="1897" t="s">
        <v>1176</v>
      </c>
      <c r="B654" s="1897"/>
      <c r="C654" s="1897"/>
      <c r="D654" s="1897"/>
      <c r="E654" s="1897"/>
      <c r="F654" s="1897"/>
      <c r="G654" s="189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5" t="s">
        <v>104</v>
      </c>
      <c r="E656" s="1895"/>
      <c r="F656" s="1895"/>
      <c r="G656" s="57"/>
      <c r="H656" s="269"/>
      <c r="I656" s="269"/>
      <c r="J656" s="269"/>
      <c r="K656" s="269"/>
    </row>
    <row r="657" spans="1:11">
      <c r="A657" s="267"/>
      <c r="B657" s="267"/>
      <c r="C657" s="267"/>
      <c r="D657" s="1895" t="s">
        <v>128</v>
      </c>
      <c r="E657" s="1895"/>
      <c r="F657" s="1895"/>
      <c r="G657" s="57"/>
      <c r="H657" s="269"/>
      <c r="I657" s="269"/>
      <c r="J657" s="269"/>
      <c r="K657" s="269"/>
    </row>
    <row r="658" spans="1:11">
      <c r="A658" s="260"/>
      <c r="B658" s="260"/>
      <c r="C658" s="260"/>
      <c r="D658" s="1896" t="s">
        <v>1212</v>
      </c>
      <c r="E658" s="1896"/>
      <c r="F658" s="189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96" t="s">
        <v>951</v>
      </c>
      <c r="E660" s="1896"/>
      <c r="F660" s="1896"/>
      <c r="G660" s="57"/>
      <c r="H660" s="269"/>
      <c r="I660" s="269"/>
      <c r="J660" s="269"/>
      <c r="K660" s="269"/>
    </row>
    <row r="661" spans="1:11">
      <c r="A661" s="260"/>
      <c r="B661" s="260"/>
      <c r="C661" s="260"/>
      <c r="D661" s="1896" t="s">
        <v>962</v>
      </c>
      <c r="E661" s="1896"/>
      <c r="F661" s="1896"/>
      <c r="G661" s="57"/>
      <c r="H661" s="269"/>
      <c r="I661" s="269"/>
      <c r="J661" s="269"/>
      <c r="K661" s="269"/>
    </row>
    <row r="662" spans="1:11">
      <c r="A662" s="260"/>
      <c r="B662" s="260"/>
      <c r="C662" s="260"/>
      <c r="D662" s="6"/>
      <c r="E662" s="1875" t="s">
        <v>1213</v>
      </c>
      <c r="F662" s="1875"/>
      <c r="G662" s="57"/>
      <c r="H662" s="269"/>
      <c r="I662" s="269"/>
      <c r="J662" s="269"/>
      <c r="K662" s="269"/>
    </row>
    <row r="663" spans="1:11">
      <c r="A663" s="260"/>
      <c r="B663" s="260"/>
      <c r="C663" s="260"/>
      <c r="D663" s="6"/>
      <c r="E663" s="1875"/>
      <c r="F663" s="187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71" t="s">
        <v>1214</v>
      </c>
      <c r="E665" s="1871"/>
      <c r="F665" s="1871"/>
      <c r="G665" s="57"/>
      <c r="H665" s="269"/>
      <c r="I665" s="269"/>
      <c r="J665" s="269"/>
      <c r="K665" s="269"/>
    </row>
    <row r="666" spans="1:11">
      <c r="A666" s="23"/>
      <c r="B666" s="675"/>
      <c r="C666" s="260"/>
      <c r="D666" s="1871"/>
      <c r="E666" s="1871"/>
      <c r="F666" s="1871"/>
      <c r="G666" s="57"/>
      <c r="H666" s="269"/>
      <c r="I666" s="269"/>
      <c r="J666" s="269"/>
      <c r="K666" s="269"/>
    </row>
    <row r="667" spans="1:11">
      <c r="A667" s="260"/>
      <c r="B667" s="260"/>
      <c r="C667" s="260"/>
      <c r="D667" s="1871"/>
      <c r="E667" s="1871"/>
      <c r="F667" s="187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96" t="s">
        <v>991</v>
      </c>
      <c r="E669" s="1896"/>
      <c r="F669" s="1896"/>
      <c r="G669" s="57"/>
      <c r="H669" s="269"/>
      <c r="I669" s="269"/>
      <c r="J669" s="269"/>
      <c r="K669" s="269"/>
    </row>
    <row r="670" spans="1:11" ht="14.25">
      <c r="A670" s="261"/>
      <c r="B670" s="261"/>
      <c r="C670" s="260"/>
      <c r="D670" s="1896" t="s">
        <v>962</v>
      </c>
      <c r="E670" s="1896"/>
      <c r="F670" s="1896"/>
      <c r="G670" s="57"/>
      <c r="H670" s="269"/>
      <c r="I670" s="269"/>
      <c r="J670" s="269"/>
      <c r="K670" s="269"/>
    </row>
    <row r="671" spans="1:11">
      <c r="A671" s="260"/>
      <c r="B671" s="260"/>
      <c r="C671" s="260"/>
      <c r="D671" s="6"/>
      <c r="E671" s="1901" t="s">
        <v>1215</v>
      </c>
      <c r="F671" s="190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4" t="s">
        <v>1225</v>
      </c>
      <c r="E673" s="1894"/>
      <c r="F673" s="1894"/>
      <c r="G673" s="57"/>
      <c r="H673" s="269"/>
      <c r="I673" s="269"/>
      <c r="J673" s="269"/>
      <c r="K673" s="269"/>
    </row>
    <row r="674" spans="1:11">
      <c r="A674" s="260"/>
      <c r="B674" s="260"/>
      <c r="C674" s="260"/>
      <c r="D674" s="1894"/>
      <c r="E674" s="1894"/>
      <c r="F674" s="1894"/>
      <c r="G674" s="57"/>
      <c r="H674" s="269"/>
      <c r="I674" s="269"/>
      <c r="J674" s="269"/>
      <c r="K674" s="269"/>
    </row>
    <row r="675" spans="1:11">
      <c r="A675" s="260"/>
      <c r="B675" s="260"/>
      <c r="C675" s="260"/>
      <c r="D675" s="1894"/>
      <c r="E675" s="1894"/>
      <c r="F675" s="1894"/>
      <c r="G675" s="57"/>
      <c r="H675" s="269"/>
      <c r="I675" s="269"/>
      <c r="J675" s="269"/>
      <c r="K675" s="269"/>
    </row>
    <row r="676" spans="1:11">
      <c r="A676" s="260"/>
      <c r="B676" s="260"/>
      <c r="C676" s="260"/>
      <c r="D676" s="1894"/>
      <c r="E676" s="1894"/>
      <c r="F676" s="1894"/>
      <c r="G676" s="57"/>
      <c r="H676" s="269"/>
      <c r="I676" s="269"/>
      <c r="J676" s="269"/>
      <c r="K676" s="269"/>
    </row>
    <row r="677" spans="1:11">
      <c r="A677" s="260"/>
      <c r="B677" s="260"/>
      <c r="C677" s="260"/>
      <c r="D677" s="1894"/>
      <c r="E677" s="1894"/>
      <c r="F677" s="1894"/>
      <c r="G677" s="57"/>
      <c r="H677" s="269"/>
      <c r="I677" s="269"/>
      <c r="J677" s="269"/>
      <c r="K677" s="269"/>
    </row>
    <row r="678" spans="1:11" s="39" customFormat="1">
      <c r="A678" s="487"/>
      <c r="B678" s="487"/>
      <c r="C678" s="487"/>
      <c r="D678" s="1894"/>
      <c r="E678" s="1894"/>
      <c r="F678" s="189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4" t="s">
        <v>1216</v>
      </c>
      <c r="E680" s="1894"/>
      <c r="F680" s="1894"/>
      <c r="G680" s="57"/>
      <c r="H680" s="269"/>
      <c r="I680" s="269"/>
      <c r="J680" s="269"/>
      <c r="K680" s="269"/>
    </row>
    <row r="681" spans="1:11">
      <c r="A681" s="260"/>
      <c r="B681" s="260"/>
      <c r="C681" s="260"/>
      <c r="D681" s="1894"/>
      <c r="E681" s="1894"/>
      <c r="F681" s="1894"/>
      <c r="G681" s="57"/>
      <c r="H681" s="269"/>
      <c r="I681" s="269"/>
      <c r="J681" s="269"/>
      <c r="K681" s="269"/>
    </row>
    <row r="682" spans="1:11">
      <c r="A682" s="260"/>
      <c r="B682" s="260"/>
      <c r="C682" s="260"/>
      <c r="D682" s="1894"/>
      <c r="E682" s="1894"/>
      <c r="F682" s="1894"/>
      <c r="G682" s="57"/>
      <c r="H682" s="269"/>
      <c r="I682" s="269"/>
      <c r="J682" s="269"/>
      <c r="K682" s="269"/>
    </row>
    <row r="683" spans="1:11" ht="15" customHeight="1">
      <c r="A683" s="260"/>
      <c r="B683" s="260"/>
      <c r="C683" s="260"/>
      <c r="D683" s="1894"/>
      <c r="E683" s="1894"/>
      <c r="F683" s="1894"/>
      <c r="G683" s="57"/>
      <c r="H683" s="269"/>
      <c r="I683" s="269"/>
      <c r="J683" s="269"/>
      <c r="K683" s="269"/>
    </row>
    <row r="684" spans="1:11" ht="15" customHeight="1">
      <c r="A684" s="260"/>
      <c r="B684" s="260"/>
      <c r="C684" s="260"/>
      <c r="D684" s="1894"/>
      <c r="E684" s="1894"/>
      <c r="F684" s="1894"/>
      <c r="G684" s="57"/>
      <c r="H684" s="269"/>
      <c r="I684" s="269"/>
      <c r="J684" s="269"/>
      <c r="K684" s="269"/>
    </row>
    <row r="685" spans="1:11">
      <c r="A685" s="260"/>
      <c r="B685" s="260"/>
      <c r="C685" s="260"/>
      <c r="D685" s="1894"/>
      <c r="E685" s="1894"/>
      <c r="F685" s="1894"/>
      <c r="G685" s="57"/>
      <c r="H685" s="269"/>
      <c r="I685" s="269"/>
      <c r="J685" s="269"/>
      <c r="K685" s="269"/>
    </row>
    <row r="686" spans="1:11">
      <c r="A686" s="260"/>
      <c r="B686" s="260"/>
      <c r="C686" s="260"/>
      <c r="D686" s="1894"/>
      <c r="E686" s="1894"/>
      <c r="F686" s="1894"/>
      <c r="G686" s="57"/>
      <c r="H686" s="269"/>
      <c r="I686" s="269"/>
      <c r="J686" s="269"/>
      <c r="K686" s="269"/>
    </row>
    <row r="687" spans="1:11">
      <c r="A687" s="260"/>
      <c r="B687" s="260"/>
      <c r="C687" s="260"/>
      <c r="D687" s="1894"/>
      <c r="E687" s="1894"/>
      <c r="F687" s="1894"/>
      <c r="G687" s="57"/>
      <c r="H687" s="269"/>
      <c r="I687" s="269"/>
      <c r="J687" s="269"/>
      <c r="K687" s="269"/>
    </row>
    <row r="688" spans="1:11" ht="15" customHeight="1">
      <c r="A688" s="260"/>
      <c r="B688" s="260"/>
      <c r="C688" s="260"/>
      <c r="D688" s="1894"/>
      <c r="E688" s="1894"/>
      <c r="F688" s="1894"/>
      <c r="G688" s="57"/>
      <c r="H688" s="269"/>
      <c r="I688" s="269"/>
      <c r="J688" s="269"/>
      <c r="K688" s="269"/>
    </row>
    <row r="689" spans="1:11">
      <c r="A689" s="260"/>
      <c r="B689" s="260"/>
      <c r="C689" s="260"/>
      <c r="D689" s="1894"/>
      <c r="E689" s="1894"/>
      <c r="F689" s="1894"/>
      <c r="G689" s="57"/>
      <c r="H689" s="269"/>
      <c r="I689" s="269"/>
      <c r="J689" s="269"/>
      <c r="K689" s="269"/>
    </row>
    <row r="690" spans="1:11">
      <c r="A690" s="260"/>
      <c r="B690" s="260"/>
      <c r="C690" s="260"/>
      <c r="D690" s="1894"/>
      <c r="E690" s="1894"/>
      <c r="F690" s="1894"/>
      <c r="G690" s="57"/>
      <c r="H690" s="269"/>
      <c r="I690" s="269"/>
      <c r="J690" s="269"/>
      <c r="K690" s="269"/>
    </row>
    <row r="691" spans="1:11">
      <c r="A691" s="260"/>
      <c r="B691" s="260"/>
      <c r="C691" s="260"/>
      <c r="D691" s="1894"/>
      <c r="E691" s="1894"/>
      <c r="F691" s="189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4" t="s">
        <v>1226</v>
      </c>
      <c r="E693" s="1894"/>
      <c r="F693" s="1894"/>
      <c r="G693" s="57"/>
      <c r="H693" s="269"/>
      <c r="I693" s="269"/>
      <c r="J693" s="269"/>
      <c r="K693" s="269"/>
    </row>
    <row r="694" spans="1:11">
      <c r="A694" s="260"/>
      <c r="B694" s="260"/>
      <c r="C694" s="260"/>
      <c r="D694" s="1894"/>
      <c r="E694" s="1894"/>
      <c r="F694" s="1894"/>
      <c r="G694" s="57"/>
      <c r="H694" s="269"/>
      <c r="I694" s="269"/>
      <c r="J694" s="269"/>
      <c r="K694" s="269"/>
    </row>
    <row r="695" spans="1:11">
      <c r="A695" s="260"/>
      <c r="B695" s="260"/>
      <c r="C695" s="260"/>
      <c r="D695" s="1894"/>
      <c r="E695" s="1894"/>
      <c r="F695" s="189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4" t="s">
        <v>1223</v>
      </c>
      <c r="E697" s="1894"/>
      <c r="F697" s="1894"/>
      <c r="G697" s="57"/>
      <c r="H697" s="269"/>
      <c r="I697" s="269"/>
      <c r="J697" s="269"/>
      <c r="K697" s="269"/>
    </row>
    <row r="698" spans="1:11" s="682" customFormat="1">
      <c r="A698" s="260"/>
      <c r="B698" s="260"/>
      <c r="C698" s="260"/>
      <c r="D698" s="1894"/>
      <c r="E698" s="1894"/>
      <c r="F698" s="189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4" t="s">
        <v>1224</v>
      </c>
      <c r="E700" s="1894"/>
      <c r="F700" s="1894"/>
      <c r="G700" s="57"/>
      <c r="H700" s="269"/>
      <c r="I700" s="269"/>
      <c r="J700" s="269"/>
      <c r="K700" s="269"/>
    </row>
    <row r="701" spans="1:11" s="682" customFormat="1">
      <c r="A701" s="260"/>
      <c r="B701" s="260"/>
      <c r="C701" s="260"/>
      <c r="D701" s="1894"/>
      <c r="E701" s="1894"/>
      <c r="F701" s="1894"/>
      <c r="G701" s="57"/>
      <c r="H701" s="269"/>
      <c r="I701" s="269"/>
      <c r="J701" s="269"/>
      <c r="K701" s="269"/>
    </row>
    <row r="702" spans="1:11" s="682" customFormat="1">
      <c r="A702" s="260"/>
      <c r="B702" s="260"/>
      <c r="C702" s="260"/>
      <c r="D702" s="1894"/>
      <c r="E702" s="1894"/>
      <c r="F702" s="189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4" t="s">
        <v>1217</v>
      </c>
      <c r="E704" s="1894"/>
      <c r="F704" s="1894"/>
      <c r="G704" s="57"/>
      <c r="H704" s="269"/>
      <c r="I704" s="269"/>
      <c r="J704" s="269"/>
      <c r="K704" s="269"/>
    </row>
    <row r="705" spans="1:11">
      <c r="A705" s="260"/>
      <c r="B705" s="260"/>
      <c r="C705" s="260"/>
      <c r="D705" s="1894"/>
      <c r="E705" s="1894"/>
      <c r="F705" s="1894"/>
      <c r="G705" s="57"/>
      <c r="H705" s="269"/>
      <c r="I705" s="269"/>
      <c r="J705" s="269"/>
      <c r="K705" s="269"/>
    </row>
    <row r="706" spans="1:11">
      <c r="A706" s="260"/>
      <c r="B706" s="260"/>
      <c r="C706" s="260"/>
      <c r="D706" s="1894"/>
      <c r="E706" s="1894"/>
      <c r="F706" s="189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4" t="s">
        <v>1218</v>
      </c>
      <c r="E708" s="1894"/>
      <c r="F708" s="1894"/>
      <c r="G708" s="57"/>
      <c r="H708" s="269"/>
      <c r="I708" s="269"/>
      <c r="J708" s="269"/>
      <c r="K708" s="269"/>
    </row>
    <row r="709" spans="1:11">
      <c r="A709" s="260"/>
      <c r="B709" s="260"/>
      <c r="C709" s="260"/>
      <c r="D709" s="1894"/>
      <c r="E709" s="1894"/>
      <c r="F709" s="1894"/>
      <c r="G709" s="57"/>
      <c r="H709" s="269"/>
      <c r="I709" s="269"/>
      <c r="J709" s="269"/>
      <c r="K709" s="269"/>
    </row>
    <row r="710" spans="1:11">
      <c r="A710" s="260"/>
      <c r="B710" s="260"/>
      <c r="C710" s="260"/>
      <c r="D710" s="1894"/>
      <c r="E710" s="1894"/>
      <c r="F710" s="189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71" t="s">
        <v>1219</v>
      </c>
      <c r="E712" s="1871"/>
      <c r="F712" s="1871"/>
      <c r="G712" s="57"/>
      <c r="H712" s="269"/>
      <c r="I712" s="269"/>
      <c r="J712" s="269"/>
      <c r="K712" s="269"/>
    </row>
    <row r="713" spans="1:11">
      <c r="A713" s="260"/>
      <c r="B713" s="260"/>
      <c r="C713" s="260"/>
      <c r="D713" s="1871"/>
      <c r="E713" s="1871"/>
      <c r="F713" s="1871"/>
      <c r="G713" s="57"/>
      <c r="H713" s="269"/>
      <c r="I713" s="269"/>
      <c r="J713" s="269"/>
      <c r="K713" s="269"/>
    </row>
    <row r="714" spans="1:11">
      <c r="A714" s="260"/>
      <c r="B714" s="260"/>
      <c r="C714" s="260"/>
      <c r="D714" s="1871"/>
      <c r="E714" s="1871"/>
      <c r="F714" s="1871"/>
      <c r="G714" s="57"/>
      <c r="H714" s="269"/>
      <c r="I714" s="269"/>
      <c r="J714" s="269"/>
      <c r="K714" s="269"/>
    </row>
    <row r="715" spans="1:11">
      <c r="A715" s="260"/>
      <c r="B715" s="260"/>
      <c r="C715" s="260"/>
      <c r="D715" s="1871"/>
      <c r="E715" s="1871"/>
      <c r="F715" s="187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4" t="s">
        <v>1352</v>
      </c>
      <c r="E717" s="1894"/>
      <c r="F717" s="1894"/>
      <c r="G717" s="57"/>
      <c r="H717" s="269"/>
      <c r="I717" s="269"/>
      <c r="J717" s="269"/>
      <c r="K717" s="269"/>
    </row>
    <row r="718" spans="1:11">
      <c r="A718" s="260"/>
      <c r="B718" s="260"/>
      <c r="C718" s="260"/>
      <c r="D718" s="1894"/>
      <c r="E718" s="1894"/>
      <c r="F718" s="1894"/>
      <c r="G718" s="57"/>
      <c r="H718" s="269"/>
      <c r="I718" s="269"/>
      <c r="J718" s="269"/>
      <c r="K718" s="269"/>
    </row>
    <row r="719" spans="1:11">
      <c r="A719" s="260"/>
      <c r="B719" s="260"/>
      <c r="C719" s="260"/>
      <c r="D719" s="1894"/>
      <c r="E719" s="1894"/>
      <c r="F719" s="1894"/>
      <c r="G719" s="57"/>
      <c r="H719" s="269"/>
      <c r="I719" s="269"/>
      <c r="J719" s="269"/>
      <c r="K719" s="269"/>
    </row>
    <row r="720" spans="1:11">
      <c r="A720" s="260"/>
      <c r="B720" s="260"/>
      <c r="C720" s="260"/>
      <c r="D720" s="1894"/>
      <c r="E720" s="1894"/>
      <c r="F720" s="1894"/>
      <c r="G720" s="57"/>
      <c r="H720" s="269"/>
      <c r="I720" s="269"/>
      <c r="J720" s="269"/>
      <c r="K720" s="269"/>
    </row>
    <row r="721" spans="1:11">
      <c r="A721" s="260"/>
      <c r="B721" s="260"/>
      <c r="C721" s="260"/>
      <c r="D721" s="1894"/>
      <c r="E721" s="1894"/>
      <c r="F721" s="1894"/>
      <c r="G721" s="57"/>
      <c r="H721" s="269"/>
      <c r="I721" s="269"/>
      <c r="J721" s="269"/>
      <c r="K721" s="269"/>
    </row>
    <row r="722" spans="1:11">
      <c r="A722" s="260"/>
      <c r="B722" s="260"/>
      <c r="C722" s="260"/>
      <c r="D722" s="1894"/>
      <c r="E722" s="1894"/>
      <c r="F722" s="1894"/>
      <c r="G722" s="57"/>
      <c r="H722" s="269"/>
      <c r="I722" s="269"/>
      <c r="J722" s="269"/>
      <c r="K722" s="269"/>
    </row>
    <row r="723" spans="1:11">
      <c r="A723" s="260"/>
      <c r="B723" s="260"/>
      <c r="C723" s="260"/>
      <c r="D723" s="1894"/>
      <c r="E723" s="1894"/>
      <c r="F723" s="1894"/>
      <c r="G723" s="57"/>
      <c r="H723" s="269"/>
      <c r="I723" s="269"/>
      <c r="J723" s="269"/>
      <c r="K723" s="269"/>
    </row>
    <row r="724" spans="1:11">
      <c r="A724" s="260"/>
      <c r="B724" s="260"/>
      <c r="C724" s="260"/>
      <c r="D724" s="1905" t="s">
        <v>1220</v>
      </c>
      <c r="E724" s="1905"/>
      <c r="F724" s="1905"/>
      <c r="G724" s="57"/>
      <c r="H724" s="269"/>
      <c r="I724" s="269"/>
      <c r="J724" s="269"/>
      <c r="K724" s="269"/>
    </row>
    <row r="725" spans="1:11" s="682" customFormat="1">
      <c r="A725" s="260"/>
      <c r="B725" s="260"/>
      <c r="C725" s="260"/>
      <c r="D725" s="533"/>
      <c r="E725" s="7"/>
      <c r="F725" s="7"/>
      <c r="G725" s="57"/>
      <c r="H725" s="269"/>
      <c r="I725" s="269"/>
      <c r="J725" s="269"/>
      <c r="K725" s="269"/>
    </row>
    <row r="726" spans="1:11">
      <c r="A726" s="1898" t="s">
        <v>1177</v>
      </c>
      <c r="B726" s="1898"/>
      <c r="C726" s="1898"/>
      <c r="D726" s="1898"/>
      <c r="E726" s="1898"/>
      <c r="F726" s="1898"/>
      <c r="G726" s="1898"/>
      <c r="H726" s="269"/>
      <c r="I726" s="269"/>
      <c r="J726" s="269"/>
      <c r="K726" s="269"/>
    </row>
    <row r="727" spans="1:11">
      <c r="A727" s="260"/>
      <c r="B727" s="260"/>
      <c r="C727" s="260"/>
      <c r="D727" s="263"/>
      <c r="G727" s="271"/>
      <c r="H727" s="269"/>
      <c r="I727" s="269"/>
      <c r="J727" s="269"/>
      <c r="K727" s="269"/>
    </row>
    <row r="728" spans="1:11" ht="13.35" customHeight="1">
      <c r="C728" s="260"/>
      <c r="D728" s="1913" t="s">
        <v>1193</v>
      </c>
      <c r="E728" s="1913"/>
      <c r="F728" s="1913"/>
      <c r="G728" s="271"/>
      <c r="H728" s="269"/>
      <c r="I728" s="269"/>
      <c r="J728" s="269"/>
      <c r="K728" s="269"/>
    </row>
    <row r="729" spans="1:11">
      <c r="A729" s="260"/>
      <c r="B729" s="260"/>
      <c r="C729" s="260"/>
      <c r="D729" s="1900" t="s">
        <v>1194</v>
      </c>
      <c r="E729" s="1900"/>
      <c r="F729" s="190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71" t="s">
        <v>1195</v>
      </c>
      <c r="E731" s="1871"/>
      <c r="F731" s="1871"/>
      <c r="G731" s="271"/>
      <c r="H731" s="272"/>
      <c r="I731" s="272"/>
      <c r="J731" s="272"/>
      <c r="K731" s="272"/>
    </row>
    <row r="732" spans="1:11" s="39" customFormat="1" ht="10.5" customHeight="1">
      <c r="A732" s="132"/>
      <c r="B732" s="676"/>
      <c r="C732" s="132"/>
      <c r="D732" s="1871"/>
      <c r="E732" s="1871"/>
      <c r="F732" s="1871"/>
      <c r="G732" s="271"/>
      <c r="H732" s="272"/>
      <c r="I732" s="272"/>
      <c r="J732" s="272"/>
      <c r="K732" s="272"/>
    </row>
    <row r="733" spans="1:11" s="39" customFormat="1">
      <c r="A733" s="132"/>
      <c r="B733" s="676"/>
      <c r="C733" s="132"/>
      <c r="D733" s="1871"/>
      <c r="E733" s="1871"/>
      <c r="F733" s="1871"/>
      <c r="G733" s="271"/>
      <c r="H733" s="272"/>
      <c r="I733" s="272"/>
      <c r="J733" s="272"/>
      <c r="K733" s="272"/>
    </row>
    <row r="734" spans="1:11">
      <c r="D734" s="1871"/>
      <c r="E734" s="1871"/>
      <c r="F734" s="1871"/>
      <c r="G734" s="271"/>
      <c r="H734" s="269"/>
      <c r="I734" s="269"/>
      <c r="J734" s="269"/>
      <c r="K734" s="269"/>
    </row>
    <row r="735" spans="1:11">
      <c r="A735" s="273"/>
      <c r="B735" s="273"/>
      <c r="C735" s="273"/>
      <c r="D735" s="1871"/>
      <c r="E735" s="1871"/>
      <c r="F735" s="1871"/>
      <c r="G735" s="275"/>
      <c r="H735" s="269"/>
      <c r="I735" s="269"/>
      <c r="J735" s="269"/>
      <c r="K735" s="269"/>
    </row>
    <row r="736" spans="1:11" ht="15.6" customHeight="1">
      <c r="A736" s="273"/>
      <c r="B736" s="273"/>
      <c r="C736" s="273"/>
      <c r="D736" s="1871"/>
      <c r="E736" s="1871"/>
      <c r="F736" s="187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73" t="s">
        <v>1196</v>
      </c>
      <c r="E738" s="1873"/>
      <c r="F738" s="1873"/>
      <c r="G738" s="311"/>
    </row>
    <row r="739" spans="1:11" s="409" customFormat="1">
      <c r="A739" s="408"/>
      <c r="B739" s="408"/>
      <c r="C739" s="408"/>
      <c r="D739" s="1873"/>
      <c r="E739" s="1873"/>
      <c r="F739" s="1873"/>
      <c r="G739" s="311"/>
    </row>
    <row r="740" spans="1:11" s="409" customFormat="1">
      <c r="A740" s="408"/>
      <c r="B740" s="408"/>
      <c r="C740" s="408"/>
      <c r="D740" s="1873"/>
      <c r="E740" s="1873"/>
      <c r="F740" s="1873"/>
      <c r="G740" s="311"/>
    </row>
    <row r="741" spans="1:11" s="409" customFormat="1">
      <c r="A741" s="408"/>
      <c r="B741" s="408"/>
      <c r="C741" s="408"/>
      <c r="D741" s="1873"/>
      <c r="E741" s="1873"/>
      <c r="F741" s="1873"/>
      <c r="G741" s="311"/>
    </row>
    <row r="742" spans="1:11" s="409" customFormat="1">
      <c r="A742" s="408"/>
      <c r="B742" s="408"/>
      <c r="C742" s="408"/>
      <c r="D742" s="377"/>
      <c r="E742" s="311"/>
      <c r="F742" s="311"/>
      <c r="G742" s="311"/>
    </row>
    <row r="743" spans="1:11" s="409" customFormat="1" ht="14.25">
      <c r="A743" s="261"/>
      <c r="B743" s="679" t="s">
        <v>316</v>
      </c>
      <c r="C743" s="408"/>
      <c r="D743" s="1914" t="s">
        <v>1197</v>
      </c>
      <c r="E743" s="1914"/>
      <c r="F743" s="1914"/>
      <c r="G743" s="311"/>
    </row>
    <row r="744" spans="1:11" s="409" customFormat="1">
      <c r="A744" s="408"/>
      <c r="B744" s="408"/>
      <c r="C744" s="408"/>
      <c r="D744" s="1914"/>
      <c r="E744" s="1914"/>
      <c r="F744" s="1914"/>
      <c r="G744" s="311"/>
    </row>
    <row r="745" spans="1:11" s="409" customFormat="1">
      <c r="A745" s="408"/>
      <c r="B745" s="408"/>
      <c r="C745" s="408"/>
      <c r="D745" s="1914"/>
      <c r="E745" s="1914"/>
      <c r="F745" s="1914"/>
      <c r="G745" s="311"/>
    </row>
    <row r="746" spans="1:11">
      <c r="A746" s="273"/>
      <c r="B746" s="273"/>
      <c r="C746" s="273"/>
      <c r="D746" s="377"/>
      <c r="E746" s="274"/>
      <c r="F746" s="274"/>
      <c r="G746" s="275"/>
      <c r="H746" s="269"/>
      <c r="I746" s="269"/>
      <c r="J746" s="269"/>
      <c r="K746" s="269"/>
    </row>
    <row r="747" spans="1:11" ht="14.25">
      <c r="A747" s="261"/>
      <c r="B747" s="679" t="s">
        <v>316</v>
      </c>
      <c r="C747" s="273"/>
      <c r="D747" s="1873" t="s">
        <v>1198</v>
      </c>
      <c r="E747" s="1873"/>
      <c r="F747" s="1873"/>
      <c r="G747" s="275"/>
      <c r="H747" s="269"/>
      <c r="I747" s="269"/>
      <c r="J747" s="269"/>
      <c r="K747" s="269"/>
    </row>
    <row r="748" spans="1:11">
      <c r="A748" s="273"/>
      <c r="B748" s="273"/>
      <c r="C748" s="273"/>
      <c r="D748" s="1873"/>
      <c r="E748" s="1873"/>
      <c r="F748" s="187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3" t="s">
        <v>1199</v>
      </c>
      <c r="E750" s="1873"/>
      <c r="F750" s="1873"/>
      <c r="G750" s="275"/>
      <c r="H750" s="269"/>
      <c r="I750" s="269"/>
      <c r="J750" s="269"/>
      <c r="K750" s="269"/>
    </row>
    <row r="751" spans="1:11" s="682" customFormat="1">
      <c r="A751" s="273"/>
      <c r="B751" s="273"/>
      <c r="C751" s="273"/>
      <c r="D751" s="1873"/>
      <c r="E751" s="1873"/>
      <c r="F751" s="1873"/>
      <c r="G751" s="275"/>
      <c r="H751" s="269"/>
      <c r="I751" s="269"/>
      <c r="J751" s="269"/>
      <c r="K751" s="269"/>
    </row>
    <row r="752" spans="1:11" s="682" customFormat="1">
      <c r="A752" s="273"/>
      <c r="B752" s="273"/>
      <c r="C752" s="273"/>
      <c r="D752" s="1873"/>
      <c r="E752" s="1873"/>
      <c r="F752" s="187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8" t="s">
        <v>1200</v>
      </c>
      <c r="B754" s="1908"/>
      <c r="C754" s="1908"/>
      <c r="D754" s="1908"/>
      <c r="E754" s="1908"/>
      <c r="F754" s="1908"/>
      <c r="G754" s="1908"/>
    </row>
    <row r="755" spans="1:11">
      <c r="A755" s="260"/>
      <c r="B755" s="260"/>
      <c r="C755" s="260"/>
      <c r="D755" s="276"/>
      <c r="F755" s="147"/>
      <c r="G755" s="271"/>
    </row>
    <row r="756" spans="1:11">
      <c r="A756" s="273"/>
      <c r="B756" s="273"/>
      <c r="C756" s="442"/>
      <c r="D756" s="1909" t="s">
        <v>1184</v>
      </c>
      <c r="E756" s="1909"/>
      <c r="F756" s="1909"/>
      <c r="G756" s="271"/>
    </row>
    <row r="757" spans="1:11">
      <c r="A757" s="503"/>
      <c r="B757" s="503"/>
      <c r="C757" s="502"/>
      <c r="D757" s="1910" t="s">
        <v>1201</v>
      </c>
      <c r="E757" s="1910"/>
      <c r="F757" s="1910"/>
      <c r="G757" s="271"/>
    </row>
    <row r="758" spans="1:11">
      <c r="A758" s="273"/>
      <c r="B758" s="273"/>
      <c r="C758" s="442"/>
      <c r="D758" s="693"/>
      <c r="E758" s="693"/>
      <c r="F758" s="693"/>
      <c r="G758" s="271"/>
    </row>
    <row r="759" spans="1:11" ht="14.25">
      <c r="A759" s="261"/>
      <c r="B759" s="679" t="s">
        <v>316</v>
      </c>
      <c r="C759" s="442"/>
      <c r="D759" s="1911" t="s">
        <v>1069</v>
      </c>
      <c r="E759" s="1911"/>
      <c r="F759" s="1911"/>
      <c r="G759" s="271"/>
    </row>
    <row r="760" spans="1:11">
      <c r="A760" s="273"/>
      <c r="B760" s="273"/>
      <c r="C760" s="442"/>
      <c r="D760" s="692"/>
      <c r="E760" s="1912" t="s">
        <v>1185</v>
      </c>
      <c r="F760" s="1912"/>
      <c r="G760" s="271"/>
    </row>
    <row r="761" spans="1:11">
      <c r="A761" s="267"/>
      <c r="B761" s="267"/>
      <c r="C761" s="267"/>
      <c r="D761" s="135"/>
      <c r="F761" s="57"/>
      <c r="G761" s="271"/>
    </row>
    <row r="762" spans="1:11">
      <c r="A762" s="1906" t="s">
        <v>471</v>
      </c>
      <c r="B762" s="1906"/>
      <c r="C762" s="1906"/>
      <c r="D762" s="1906"/>
      <c r="E762" s="1906"/>
      <c r="F762" s="1906"/>
      <c r="G762" s="1906"/>
    </row>
    <row r="763" spans="1:11">
      <c r="A763" s="255"/>
      <c r="B763" s="673"/>
      <c r="C763" s="266"/>
      <c r="D763" s="271"/>
      <c r="E763" s="271"/>
      <c r="F763" s="271"/>
      <c r="G763" s="271"/>
    </row>
    <row r="764" spans="1:11">
      <c r="A764" s="135"/>
      <c r="B764" s="1907" t="s">
        <v>1068</v>
      </c>
      <c r="C764" s="1907"/>
      <c r="D764" s="1907"/>
      <c r="E764" s="1907"/>
      <c r="F764" s="1907"/>
      <c r="G764" s="271"/>
    </row>
    <row r="765" spans="1:11">
      <c r="A765" s="23"/>
      <c r="B765" s="675"/>
      <c r="G765" s="271"/>
    </row>
    <row r="766" spans="1:11">
      <c r="A766" s="1906" t="s">
        <v>472</v>
      </c>
      <c r="B766" s="1906"/>
      <c r="C766" s="1906"/>
      <c r="D766" s="1906"/>
      <c r="E766" s="1906"/>
      <c r="F766" s="1906"/>
      <c r="G766" s="1906"/>
    </row>
    <row r="767" spans="1:11">
      <c r="A767" s="255"/>
      <c r="B767" s="673"/>
      <c r="C767" s="255"/>
      <c r="D767" s="263"/>
      <c r="G767" s="271"/>
    </row>
    <row r="768" spans="1:11">
      <c r="A768" s="135"/>
      <c r="B768" s="1903" t="s">
        <v>470</v>
      </c>
      <c r="C768" s="1903"/>
      <c r="D768" s="1903"/>
      <c r="E768" s="1903"/>
      <c r="F768" s="1903"/>
      <c r="G768" s="271"/>
    </row>
    <row r="769" spans="1:7" ht="14.25">
      <c r="A769" s="261"/>
      <c r="B769" s="261"/>
      <c r="D769" s="135"/>
      <c r="E769" s="135"/>
      <c r="F769" s="271"/>
      <c r="G769" s="271"/>
    </row>
    <row r="770" spans="1:7">
      <c r="A770" s="1906" t="s">
        <v>473</v>
      </c>
      <c r="B770" s="1906"/>
      <c r="C770" s="1906"/>
      <c r="D770" s="1906"/>
      <c r="E770" s="1906"/>
      <c r="F770" s="1906"/>
      <c r="G770" s="1906"/>
    </row>
    <row r="771" spans="1:7">
      <c r="C771" s="260"/>
      <c r="D771" s="259"/>
      <c r="E771" s="135"/>
      <c r="F771" s="271"/>
      <c r="G771" s="271"/>
    </row>
    <row r="772" spans="1:7">
      <c r="A772" s="135"/>
      <c r="B772" s="1903" t="s">
        <v>470</v>
      </c>
      <c r="C772" s="1903"/>
      <c r="D772" s="1903"/>
      <c r="E772" s="1903"/>
      <c r="F772" s="1903"/>
      <c r="G772" s="271"/>
    </row>
    <row r="773" spans="1:7">
      <c r="A773" s="135"/>
      <c r="B773" s="135"/>
      <c r="C773" s="266"/>
      <c r="D773" s="271"/>
      <c r="E773" s="271"/>
      <c r="F773" s="271"/>
      <c r="G773" s="271"/>
    </row>
    <row r="774" spans="1:7">
      <c r="A774" s="1906" t="s">
        <v>474</v>
      </c>
      <c r="B774" s="1906"/>
      <c r="C774" s="1906"/>
      <c r="D774" s="1906"/>
      <c r="E774" s="1906"/>
      <c r="F774" s="1906"/>
      <c r="G774" s="1906"/>
    </row>
    <row r="775" spans="1:7">
      <c r="A775" s="135"/>
      <c r="B775" s="135"/>
    </row>
    <row r="776" spans="1:7">
      <c r="A776" s="135"/>
      <c r="B776" s="1903" t="s">
        <v>470</v>
      </c>
      <c r="C776" s="1903"/>
      <c r="D776" s="1903"/>
      <c r="E776" s="1903"/>
      <c r="F776" s="1903"/>
    </row>
    <row r="777" spans="1:7">
      <c r="A777" s="266"/>
      <c r="B777" s="266"/>
      <c r="C777" s="266"/>
      <c r="D777" s="258"/>
      <c r="F777" s="271"/>
    </row>
    <row r="778" spans="1:7">
      <c r="A778" s="1906" t="s">
        <v>475</v>
      </c>
      <c r="B778" s="1906"/>
      <c r="C778" s="1906"/>
      <c r="D778" s="1906"/>
      <c r="E778" s="1906"/>
      <c r="F778" s="1906"/>
      <c r="G778" s="1906"/>
    </row>
    <row r="779" spans="1:7">
      <c r="A779" s="135"/>
      <c r="B779" s="135"/>
    </row>
    <row r="780" spans="1:7">
      <c r="A780" s="135"/>
      <c r="B780" s="1903" t="s">
        <v>470</v>
      </c>
      <c r="C780" s="1903"/>
      <c r="D780" s="1903"/>
      <c r="E780" s="1903"/>
      <c r="F780" s="1903"/>
    </row>
    <row r="781" spans="1:7">
      <c r="A781" s="266"/>
      <c r="B781" s="266"/>
      <c r="C781" s="266"/>
      <c r="D781" s="258"/>
      <c r="F781" s="271"/>
    </row>
    <row r="782" spans="1:7">
      <c r="A782" s="1906" t="s">
        <v>476</v>
      </c>
      <c r="B782" s="1906"/>
      <c r="C782" s="1906"/>
      <c r="D782" s="1906"/>
      <c r="E782" s="1906"/>
      <c r="F782" s="1906"/>
      <c r="G782" s="1906"/>
    </row>
    <row r="783" spans="1:7">
      <c r="A783" s="135"/>
      <c r="B783" s="135"/>
    </row>
    <row r="784" spans="1:7">
      <c r="A784" s="135"/>
      <c r="B784" s="1903" t="s">
        <v>470</v>
      </c>
      <c r="C784" s="1903"/>
      <c r="D784" s="1903"/>
      <c r="E784" s="1903"/>
      <c r="F784" s="1903"/>
    </row>
    <row r="785" spans="1:7">
      <c r="A785" s="265"/>
      <c r="B785" s="265"/>
      <c r="C785" s="265"/>
      <c r="D785" s="277"/>
      <c r="E785" s="57"/>
      <c r="F785" s="57"/>
      <c r="G785" s="57"/>
    </row>
    <row r="786" spans="1:7">
      <c r="A786" s="1906" t="s">
        <v>192</v>
      </c>
      <c r="B786" s="1906"/>
      <c r="C786" s="1906"/>
      <c r="D786" s="1906"/>
      <c r="E786" s="1906"/>
      <c r="F786" s="1906"/>
      <c r="G786" s="1906"/>
    </row>
    <row r="787" spans="1:7">
      <c r="A787" s="135"/>
      <c r="B787" s="135"/>
    </row>
    <row r="788" spans="1:7">
      <c r="A788" s="135"/>
      <c r="B788" s="1903" t="s">
        <v>470</v>
      </c>
      <c r="C788" s="1903"/>
      <c r="D788" s="1903"/>
      <c r="E788" s="1903"/>
      <c r="F788" s="1903"/>
    </row>
    <row r="789" spans="1:7">
      <c r="A789" s="135"/>
      <c r="B789" s="135"/>
      <c r="D789" s="258"/>
    </row>
    <row r="790" spans="1:7">
      <c r="A790" s="1906" t="s">
        <v>938</v>
      </c>
      <c r="B790" s="1906"/>
      <c r="C790" s="1906"/>
      <c r="D790" s="1906"/>
      <c r="E790" s="1906"/>
      <c r="F790" s="1906"/>
      <c r="G790" s="1906"/>
    </row>
    <row r="791" spans="1:7">
      <c r="A791" s="135"/>
      <c r="B791" s="135"/>
    </row>
    <row r="792" spans="1:7">
      <c r="A792" s="135"/>
      <c r="B792" s="1903" t="s">
        <v>470</v>
      </c>
      <c r="C792" s="1903"/>
      <c r="D792" s="1903"/>
      <c r="E792" s="1903"/>
      <c r="F792" s="190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53" t="s">
        <v>2398</v>
      </c>
      <c r="B2" s="1954"/>
      <c r="C2" s="1954"/>
      <c r="D2" s="1954"/>
      <c r="E2" s="1954"/>
      <c r="F2" s="1954"/>
      <c r="G2" s="1954"/>
      <c r="H2" s="1954"/>
      <c r="I2" s="1954"/>
      <c r="J2" s="1954"/>
    </row>
    <row r="3" spans="1:10" ht="15">
      <c r="A3" s="1958" t="s">
        <v>1500</v>
      </c>
      <c r="B3" s="1959"/>
      <c r="C3" s="1959"/>
      <c r="D3" s="1959"/>
      <c r="E3" s="1959"/>
      <c r="F3" s="1959"/>
      <c r="G3" s="1959"/>
      <c r="H3" s="1959"/>
      <c r="I3" s="1959"/>
      <c r="J3" s="1959"/>
    </row>
    <row r="4" spans="1:10" ht="12.75"/>
    <row r="5" spans="1:10" ht="12.75" customHeight="1">
      <c r="A5" s="1955" t="s">
        <v>2401</v>
      </c>
      <c r="B5" s="1955"/>
      <c r="C5" s="1955"/>
      <c r="D5" s="1955"/>
      <c r="E5" s="1955"/>
      <c r="F5" s="1955"/>
      <c r="G5" s="1955"/>
      <c r="H5" s="1955"/>
      <c r="I5" s="1955"/>
      <c r="J5" s="1955"/>
    </row>
    <row r="6" spans="1:10" ht="12.75">
      <c r="A6" s="1955"/>
      <c r="B6" s="1955"/>
      <c r="C6" s="1955"/>
      <c r="D6" s="1955"/>
      <c r="E6" s="1955"/>
      <c r="F6" s="1955"/>
      <c r="G6" s="1955"/>
      <c r="H6" s="1955"/>
      <c r="I6" s="1955"/>
      <c r="J6" s="1955"/>
    </row>
    <row r="7" spans="1:10" ht="30" customHeight="1">
      <c r="A7" s="1955"/>
      <c r="B7" s="1955"/>
      <c r="C7" s="1955"/>
      <c r="D7" s="1955"/>
      <c r="E7" s="1955"/>
      <c r="F7" s="1955"/>
      <c r="G7" s="1955"/>
      <c r="H7" s="1955"/>
      <c r="I7" s="1955"/>
      <c r="J7" s="1955"/>
    </row>
    <row r="8" spans="1:10" ht="12.75">
      <c r="A8" s="772"/>
      <c r="B8" s="772"/>
      <c r="C8" s="772"/>
      <c r="D8" s="772"/>
      <c r="E8" s="772"/>
      <c r="F8" s="772"/>
      <c r="G8" s="772"/>
      <c r="H8" s="772"/>
      <c r="I8" s="772"/>
      <c r="J8" s="772"/>
    </row>
    <row r="9" spans="1:10" ht="12.75" customHeight="1">
      <c r="A9" s="1829" t="s">
        <v>2402</v>
      </c>
      <c r="B9" s="1828"/>
      <c r="C9" s="1828"/>
      <c r="D9" s="1828"/>
      <c r="E9" s="1828"/>
      <c r="F9" s="1828"/>
      <c r="G9" s="1828"/>
      <c r="H9" s="1828"/>
      <c r="I9" s="1828"/>
      <c r="J9" s="1828"/>
    </row>
    <row r="10" spans="1:10" ht="12.75"/>
    <row r="11" spans="1:10" ht="12.75" customHeight="1">
      <c r="A11" s="1960" t="s">
        <v>2404</v>
      </c>
      <c r="B11" s="1960"/>
      <c r="C11" s="1960"/>
      <c r="D11" s="1960"/>
      <c r="E11" s="1960"/>
      <c r="F11" s="1960"/>
      <c r="G11" s="1960"/>
      <c r="H11" s="1960"/>
      <c r="I11" s="1960"/>
      <c r="J11" s="1960"/>
    </row>
    <row r="12" spans="1:10" ht="12.75">
      <c r="A12" s="1960"/>
      <c r="B12" s="1960"/>
      <c r="C12" s="1960"/>
      <c r="D12" s="1960"/>
      <c r="E12" s="1960"/>
      <c r="F12" s="1960"/>
      <c r="G12" s="1960"/>
      <c r="H12" s="1960"/>
      <c r="I12" s="1960"/>
      <c r="J12" s="1960"/>
    </row>
    <row r="13" spans="1:10" s="1768" customFormat="1" ht="12.75">
      <c r="A13" s="1960"/>
      <c r="B13" s="1960"/>
      <c r="C13" s="1960"/>
      <c r="D13" s="1960"/>
      <c r="E13" s="1960"/>
      <c r="F13" s="1960"/>
      <c r="G13" s="1960"/>
      <c r="H13" s="1960"/>
      <c r="I13" s="1960"/>
      <c r="J13" s="1960"/>
    </row>
    <row r="14" spans="1:10" ht="12.75">
      <c r="A14" s="1961"/>
      <c r="B14" s="1961"/>
      <c r="C14" s="1961"/>
      <c r="D14" s="1961"/>
      <c r="E14" s="1961"/>
      <c r="F14" s="1961"/>
      <c r="G14" s="1961"/>
      <c r="H14" s="1961"/>
      <c r="I14" s="1961"/>
      <c r="J14" s="1961"/>
    </row>
    <row r="15" spans="1:10" ht="12.75">
      <c r="A15" s="1961"/>
      <c r="B15" s="1961"/>
      <c r="C15" s="1961"/>
      <c r="D15" s="1961"/>
      <c r="E15" s="1961"/>
      <c r="F15" s="1961"/>
      <c r="G15" s="1961"/>
      <c r="H15" s="1961"/>
      <c r="I15" s="1961"/>
      <c r="J15" s="1961"/>
    </row>
    <row r="16" spans="1:10" ht="12.75">
      <c r="A16" s="1961"/>
      <c r="B16" s="1961"/>
      <c r="C16" s="1961"/>
      <c r="D16" s="1961"/>
      <c r="E16" s="1961"/>
      <c r="F16" s="1961"/>
      <c r="G16" s="1961"/>
      <c r="H16" s="1961"/>
      <c r="I16" s="1961"/>
      <c r="J16" s="1961"/>
    </row>
    <row r="17" spans="1:10" s="1768" customFormat="1" ht="12.75">
      <c r="A17" s="1831"/>
      <c r="B17" s="1831"/>
      <c r="C17" s="1831"/>
      <c r="D17" s="1831"/>
      <c r="E17" s="1831"/>
      <c r="F17" s="1831"/>
      <c r="G17" s="1831"/>
      <c r="H17" s="1831"/>
      <c r="I17" s="1831"/>
      <c r="J17" s="1831"/>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62" t="s">
        <v>1390</v>
      </c>
      <c r="B20" s="1959"/>
      <c r="C20" s="1959"/>
      <c r="D20" s="1959"/>
      <c r="E20" s="195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5" t="s">
        <v>1391</v>
      </c>
      <c r="B57" s="1956"/>
      <c r="C57" s="1956"/>
      <c r="D57" s="1956"/>
      <c r="E57" s="1956"/>
      <c r="F57" s="1956"/>
      <c r="G57" s="1956"/>
      <c r="H57" s="1956"/>
      <c r="I57" s="1956"/>
      <c r="J57" s="1956"/>
    </row>
    <row r="58" spans="1:10" ht="12.75">
      <c r="A58" s="1956"/>
      <c r="B58" s="1956"/>
      <c r="C58" s="1956"/>
      <c r="D58" s="1956"/>
      <c r="E58" s="1956"/>
      <c r="F58" s="1956"/>
      <c r="G58" s="1956"/>
      <c r="H58" s="1956"/>
      <c r="I58" s="1956"/>
      <c r="J58" s="1956"/>
    </row>
    <row r="59" spans="1:10" ht="12.75">
      <c r="A59" s="1956"/>
      <c r="B59" s="1956"/>
      <c r="C59" s="1956"/>
      <c r="D59" s="1956"/>
      <c r="E59" s="1956"/>
      <c r="F59" s="1956"/>
      <c r="G59" s="1956"/>
      <c r="H59" s="1956"/>
      <c r="I59" s="1956"/>
      <c r="J59" s="195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57" t="s">
        <v>2399</v>
      </c>
      <c r="B72" s="1957"/>
      <c r="C72" s="1957"/>
      <c r="D72" s="1957"/>
      <c r="E72" s="1957"/>
      <c r="F72" s="1957"/>
      <c r="G72" s="1957"/>
      <c r="H72" s="1957"/>
      <c r="I72" s="1957"/>
    </row>
    <row r="73" spans="1:9" ht="12.75">
      <c r="A73" s="1879" t="s">
        <v>1093</v>
      </c>
      <c r="B73" s="1879"/>
      <c r="C73" s="1879"/>
      <c r="D73" s="1879"/>
      <c r="E73" s="1879"/>
    </row>
    <row r="74" spans="1:9" ht="12.75">
      <c r="A74" s="1879" t="s">
        <v>1392</v>
      </c>
      <c r="B74" s="1879"/>
      <c r="C74" s="1879"/>
      <c r="D74" s="1879"/>
      <c r="E74" s="1879"/>
    </row>
    <row r="75" spans="1:9" ht="12.75">
      <c r="A75" s="1879" t="s">
        <v>2400</v>
      </c>
      <c r="B75" s="1879"/>
      <c r="C75" s="1879"/>
      <c r="D75" s="1879"/>
      <c r="E75" s="187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93" zoomScaleNormal="93" zoomScaleSheetLayoutView="100" workbookViewId="0">
      <selection activeCell="S15" sqref="S15"/>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3" customWidth="1"/>
    <col min="10" max="16384" width="8.85546875" style="790"/>
  </cols>
  <sheetData>
    <row r="1" spans="1:9"/>
    <row r="2" spans="1:9">
      <c r="A2" s="1963" t="s">
        <v>2239</v>
      </c>
      <c r="B2" s="1963"/>
      <c r="C2" s="1963"/>
      <c r="D2" s="1963"/>
      <c r="E2" s="1963"/>
      <c r="F2" s="1963"/>
      <c r="G2" s="1963"/>
      <c r="H2" s="1963"/>
      <c r="I2" s="1963"/>
    </row>
    <row r="3" spans="1:9">
      <c r="A3" s="1964" t="s">
        <v>2240</v>
      </c>
      <c r="B3" s="1964"/>
      <c r="C3" s="1964"/>
      <c r="D3" s="1964"/>
      <c r="E3" s="1964"/>
      <c r="F3" s="1964"/>
      <c r="G3" s="1964"/>
      <c r="H3" s="1964"/>
      <c r="I3" s="1964"/>
    </row>
    <row r="4" spans="1:9">
      <c r="A4" s="1989"/>
      <c r="B4" s="1989"/>
      <c r="C4" s="1993"/>
      <c r="D4" s="1993"/>
      <c r="E4" s="1993"/>
      <c r="F4" s="1993"/>
      <c r="G4" s="1993"/>
      <c r="I4" s="642"/>
    </row>
    <row r="5" spans="1:9" s="791" customFormat="1">
      <c r="A5" s="1989"/>
      <c r="B5" s="1989"/>
      <c r="C5" s="1990"/>
      <c r="D5" s="1990"/>
      <c r="E5" s="1990"/>
      <c r="F5" s="1990"/>
      <c r="G5" s="1990"/>
      <c r="I5" s="1836"/>
    </row>
    <row r="6" spans="1:9" s="791" customFormat="1">
      <c r="A6" s="1985" t="s">
        <v>1254</v>
      </c>
      <c r="B6" s="1985"/>
      <c r="C6" s="1986"/>
      <c r="D6" s="1986"/>
      <c r="E6" s="1986"/>
      <c r="F6" s="1986"/>
      <c r="G6" s="1986"/>
      <c r="I6" s="1835" t="s">
        <v>2414</v>
      </c>
    </row>
    <row r="7" spans="1:9" s="791" customFormat="1">
      <c r="A7" s="1985" t="s">
        <v>1255</v>
      </c>
      <c r="B7" s="1985"/>
      <c r="C7" s="1986"/>
      <c r="D7" s="1986"/>
      <c r="E7" s="1986"/>
      <c r="F7" s="1986"/>
      <c r="G7" s="1986"/>
      <c r="I7" s="1835" t="s">
        <v>2415</v>
      </c>
    </row>
    <row r="8" spans="1:9">
      <c r="A8" s="792"/>
      <c r="B8" s="792"/>
      <c r="C8" s="793"/>
      <c r="D8" s="793"/>
      <c r="E8" s="793"/>
      <c r="F8" s="793"/>
    </row>
    <row r="9" spans="1:9">
      <c r="A9" s="1927" t="s">
        <v>1257</v>
      </c>
      <c r="B9" s="1927"/>
      <c r="C9" s="1927"/>
      <c r="D9" s="1927"/>
      <c r="E9" s="1927"/>
      <c r="F9" s="1927"/>
      <c r="G9" s="1927"/>
      <c r="H9" s="1852"/>
      <c r="I9" s="1853"/>
    </row>
    <row r="10" spans="1:9">
      <c r="A10" s="793"/>
      <c r="B10" s="793"/>
      <c r="E10" s="794"/>
    </row>
    <row r="11" spans="1:9" ht="13.7" customHeight="1">
      <c r="C11" s="793"/>
      <c r="D11" s="1988" t="s">
        <v>1256</v>
      </c>
      <c r="E11" s="1988"/>
      <c r="F11" s="1988"/>
    </row>
    <row r="12" spans="1:9">
      <c r="C12" s="793"/>
      <c r="D12" s="1988"/>
      <c r="E12" s="1988"/>
      <c r="F12" s="1988"/>
    </row>
    <row r="13" spans="1:9">
      <c r="A13" s="795"/>
      <c r="B13" s="795"/>
      <c r="C13" s="795"/>
      <c r="D13" s="1937" t="s">
        <v>1239</v>
      </c>
      <c r="E13" s="1937"/>
      <c r="F13" s="1937"/>
    </row>
    <row r="14" spans="1:9">
      <c r="A14" s="795"/>
      <c r="B14" s="795"/>
      <c r="C14" s="795"/>
      <c r="D14" s="796"/>
    </row>
    <row r="15" spans="1:9" ht="14.25">
      <c r="A15" s="797"/>
      <c r="B15" s="798" t="s">
        <v>2603</v>
      </c>
      <c r="C15" s="799"/>
      <c r="D15" s="1932" t="s">
        <v>1240</v>
      </c>
      <c r="E15" s="1932"/>
      <c r="F15" s="1932"/>
      <c r="I15" s="1773" t="s">
        <v>2416</v>
      </c>
    </row>
    <row r="16" spans="1:9">
      <c r="A16" s="795"/>
      <c r="B16" s="795"/>
      <c r="C16" s="799"/>
      <c r="D16" s="1932"/>
      <c r="E16" s="1932"/>
      <c r="F16" s="1932"/>
    </row>
    <row r="17" spans="1:9">
      <c r="A17" s="795"/>
      <c r="B17" s="795"/>
      <c r="C17" s="799"/>
      <c r="D17" s="1932"/>
      <c r="E17" s="1932"/>
      <c r="F17" s="1932"/>
    </row>
    <row r="18" spans="1:9">
      <c r="A18" s="795"/>
      <c r="B18" s="795"/>
      <c r="C18" s="795"/>
    </row>
    <row r="19" spans="1:9" ht="14.25">
      <c r="A19" s="797"/>
      <c r="B19" s="798" t="s">
        <v>2604</v>
      </c>
      <c r="D19" s="1911" t="s">
        <v>1241</v>
      </c>
      <c r="E19" s="1911"/>
      <c r="F19" s="1911"/>
      <c r="I19" s="1773" t="s">
        <v>2417</v>
      </c>
    </row>
    <row r="20" spans="1:9" ht="14.25">
      <c r="A20" s="797"/>
      <c r="B20" s="797"/>
      <c r="D20" s="800"/>
    </row>
    <row r="21" spans="1:9" ht="14.25">
      <c r="A21" s="797"/>
      <c r="B21" s="798" t="s">
        <v>2603</v>
      </c>
      <c r="D21" s="1932" t="s">
        <v>1242</v>
      </c>
      <c r="E21" s="1932"/>
      <c r="F21" s="1932"/>
      <c r="I21" s="1773" t="s">
        <v>2417</v>
      </c>
    </row>
    <row r="22" spans="1:9" ht="14.25">
      <c r="A22" s="797"/>
      <c r="B22" s="797"/>
      <c r="D22" s="1932"/>
      <c r="E22" s="1932"/>
      <c r="F22" s="1932"/>
    </row>
    <row r="23" spans="1:9"/>
    <row r="24" spans="1:9" ht="14.25">
      <c r="A24" s="797"/>
      <c r="B24" s="798" t="s">
        <v>2604</v>
      </c>
      <c r="D24" s="1977" t="s">
        <v>1243</v>
      </c>
      <c r="E24" s="1977"/>
      <c r="F24" s="1977"/>
      <c r="I24" s="1773" t="s">
        <v>2420</v>
      </c>
    </row>
    <row r="25" spans="1:9">
      <c r="D25" s="1977"/>
      <c r="E25" s="1977"/>
      <c r="F25" s="1977"/>
    </row>
    <row r="26" spans="1:9">
      <c r="D26" s="1977"/>
      <c r="E26" s="1977"/>
      <c r="F26" s="1977"/>
    </row>
    <row r="27" spans="1:9">
      <c r="D27" s="1977"/>
      <c r="E27" s="1977"/>
      <c r="F27" s="1977"/>
    </row>
    <row r="28" spans="1:9">
      <c r="D28" s="1977"/>
      <c r="E28" s="1977"/>
      <c r="F28" s="1977"/>
    </row>
    <row r="29" spans="1:9" s="791" customFormat="1">
      <c r="A29" s="801"/>
      <c r="B29" s="801"/>
      <c r="C29" s="801"/>
      <c r="D29" s="733"/>
      <c r="E29" s="802"/>
      <c r="F29" s="802"/>
      <c r="G29" s="802"/>
      <c r="I29" s="1836"/>
    </row>
    <row r="30" spans="1:9" s="791" customFormat="1">
      <c r="A30" s="801"/>
      <c r="B30" s="798" t="s">
        <v>2603</v>
      </c>
      <c r="C30" s="801"/>
      <c r="D30" s="1889" t="s">
        <v>1244</v>
      </c>
      <c r="E30" s="1889"/>
      <c r="F30" s="1889"/>
      <c r="G30" s="802"/>
      <c r="I30" s="1836" t="s">
        <v>2416</v>
      </c>
    </row>
    <row r="31" spans="1:9" s="791" customFormat="1">
      <c r="A31" s="801"/>
      <c r="B31" s="801"/>
      <c r="C31" s="801"/>
      <c r="D31" s="1889"/>
      <c r="E31" s="1889"/>
      <c r="F31" s="1889"/>
      <c r="G31" s="802"/>
      <c r="I31" s="1836"/>
    </row>
    <row r="32" spans="1:9" ht="14.25">
      <c r="A32" s="797"/>
      <c r="B32" s="797"/>
      <c r="D32" s="803"/>
    </row>
    <row r="33" spans="1:9" ht="14.45" customHeight="1">
      <c r="A33" s="797"/>
      <c r="B33" s="798" t="s">
        <v>2603</v>
      </c>
      <c r="D33" s="1889" t="s">
        <v>1423</v>
      </c>
      <c r="E33" s="1889"/>
      <c r="F33" s="1889"/>
      <c r="I33" s="1836" t="s">
        <v>2488</v>
      </c>
    </row>
    <row r="34" spans="1:9" ht="14.25">
      <c r="A34" s="797"/>
      <c r="B34" s="797"/>
      <c r="D34" s="1889"/>
      <c r="E34" s="1889"/>
      <c r="F34" s="1889"/>
    </row>
    <row r="35" spans="1:9" ht="14.25">
      <c r="A35" s="797"/>
      <c r="B35" s="797"/>
      <c r="D35" s="1889"/>
      <c r="E35" s="1889"/>
      <c r="F35" s="1889"/>
    </row>
    <row r="36" spans="1:9" ht="14.25">
      <c r="A36" s="797"/>
      <c r="B36" s="797"/>
      <c r="D36" s="1889"/>
      <c r="E36" s="1889"/>
      <c r="F36" s="1889"/>
    </row>
    <row r="37" spans="1:9" ht="14.25">
      <c r="A37" s="797"/>
      <c r="B37" s="797"/>
      <c r="D37" s="790"/>
    </row>
    <row r="38" spans="1:9" ht="14.25">
      <c r="A38" s="797"/>
      <c r="B38" s="798" t="s">
        <v>2603</v>
      </c>
      <c r="D38" s="1889" t="s">
        <v>1246</v>
      </c>
      <c r="E38" s="1889"/>
      <c r="F38" s="1889"/>
    </row>
    <row r="39" spans="1:9" ht="14.25">
      <c r="A39" s="797"/>
      <c r="B39" s="797"/>
      <c r="D39" s="1889"/>
      <c r="E39" s="1889"/>
      <c r="F39" s="1889"/>
    </row>
    <row r="40" spans="1:9" ht="14.25">
      <c r="A40" s="797"/>
      <c r="B40" s="797"/>
      <c r="D40" s="1889"/>
      <c r="E40" s="1889"/>
      <c r="F40" s="1889"/>
    </row>
    <row r="41" spans="1:9" ht="14.25">
      <c r="A41" s="797"/>
      <c r="B41" s="797"/>
      <c r="D41" s="1889"/>
      <c r="E41" s="1889"/>
      <c r="F41" s="1889"/>
    </row>
    <row r="42" spans="1:9" ht="14.25">
      <c r="A42" s="797"/>
      <c r="B42" s="797"/>
      <c r="D42" s="1889"/>
      <c r="E42" s="1889"/>
      <c r="F42" s="1889"/>
    </row>
    <row r="43" spans="1:9" ht="14.25">
      <c r="A43" s="797"/>
      <c r="B43" s="797"/>
      <c r="D43" s="781"/>
      <c r="E43" s="781"/>
      <c r="F43" s="781"/>
    </row>
    <row r="44" spans="1:9" ht="14.25">
      <c r="A44" s="797"/>
      <c r="B44" s="798" t="s">
        <v>2604</v>
      </c>
      <c r="D44" s="1889" t="s">
        <v>1247</v>
      </c>
      <c r="E44" s="1889"/>
      <c r="F44" s="1889"/>
      <c r="I44" s="1836" t="s">
        <v>2488</v>
      </c>
    </row>
    <row r="45" spans="1:9" ht="14.25">
      <c r="A45" s="797"/>
      <c r="B45" s="797"/>
      <c r="D45" s="1889"/>
      <c r="E45" s="1889"/>
      <c r="F45" s="1889"/>
    </row>
    <row r="46" spans="1:9" ht="14.25">
      <c r="A46" s="797"/>
      <c r="B46" s="797"/>
      <c r="D46" s="1889"/>
      <c r="E46" s="1889"/>
      <c r="F46" s="1889"/>
    </row>
    <row r="47" spans="1:9" ht="23.25" customHeight="1">
      <c r="A47" s="797"/>
      <c r="B47" s="797"/>
      <c r="D47" s="1889"/>
      <c r="E47" s="1889"/>
      <c r="F47" s="1889"/>
    </row>
    <row r="48" spans="1:9" ht="14.25">
      <c r="A48" s="797"/>
      <c r="B48" s="797"/>
      <c r="D48" s="785"/>
    </row>
    <row r="49" spans="1:9" ht="14.45" customHeight="1">
      <c r="A49" s="797"/>
      <c r="B49" s="798" t="s">
        <v>2603</v>
      </c>
      <c r="D49" s="1889" t="s">
        <v>1248</v>
      </c>
      <c r="E49" s="1889"/>
      <c r="F49" s="1889"/>
      <c r="I49" s="1836" t="s">
        <v>2488</v>
      </c>
    </row>
    <row r="50" spans="1:9" ht="14.25">
      <c r="A50" s="797"/>
      <c r="B50" s="797"/>
      <c r="D50" s="1889"/>
      <c r="E50" s="1889"/>
      <c r="F50" s="1889"/>
    </row>
    <row r="51" spans="1:9" ht="14.25">
      <c r="A51" s="797"/>
      <c r="B51" s="797"/>
      <c r="D51" s="1889"/>
      <c r="E51" s="1889"/>
      <c r="F51" s="1889"/>
    </row>
    <row r="52" spans="1:9" s="618" customFormat="1" ht="14.25">
      <c r="A52" s="797"/>
      <c r="B52" s="797"/>
      <c r="C52" s="804"/>
      <c r="D52" s="802"/>
      <c r="E52" s="693"/>
      <c r="F52" s="693"/>
      <c r="G52" s="693"/>
      <c r="I52" s="642"/>
    </row>
    <row r="53" spans="1:9" s="618" customFormat="1" ht="14.25">
      <c r="A53" s="805"/>
      <c r="B53" s="798" t="s">
        <v>2603</v>
      </c>
      <c r="C53" s="806"/>
      <c r="D53" s="1889" t="s">
        <v>1249</v>
      </c>
      <c r="E53" s="1889"/>
      <c r="F53" s="1889"/>
      <c r="G53" s="693"/>
      <c r="I53" s="1773"/>
    </row>
    <row r="54" spans="1:9" s="618" customFormat="1" ht="14.25">
      <c r="A54" s="805"/>
      <c r="B54" s="805"/>
      <c r="C54" s="806"/>
      <c r="D54" s="1889"/>
      <c r="E54" s="1889"/>
      <c r="F54" s="1889"/>
      <c r="G54" s="693"/>
      <c r="I54" s="642"/>
    </row>
    <row r="55" spans="1:9" s="791" customFormat="1">
      <c r="A55" s="801"/>
      <c r="B55" s="801"/>
      <c r="C55" s="801"/>
      <c r="D55" s="733"/>
      <c r="E55" s="802"/>
      <c r="F55" s="802"/>
      <c r="G55" s="802"/>
      <c r="I55" s="1836"/>
    </row>
    <row r="56" spans="1:9" ht="14.25">
      <c r="A56" s="797"/>
      <c r="B56" s="798" t="s">
        <v>2603</v>
      </c>
      <c r="D56" s="1889" t="s">
        <v>1250</v>
      </c>
      <c r="E56" s="1889"/>
      <c r="F56" s="1889"/>
      <c r="I56" s="1773" t="s">
        <v>2418</v>
      </c>
    </row>
    <row r="57" spans="1:9">
      <c r="D57" s="1889"/>
      <c r="E57" s="1889"/>
      <c r="F57" s="1889"/>
    </row>
    <row r="58" spans="1:9">
      <c r="D58" s="1889"/>
      <c r="E58" s="1889"/>
      <c r="F58" s="1889"/>
    </row>
    <row r="59" spans="1:9">
      <c r="D59" s="693"/>
    </row>
    <row r="60" spans="1:9" ht="14.25">
      <c r="A60" s="797"/>
      <c r="B60" s="798" t="s">
        <v>2603</v>
      </c>
      <c r="D60" s="1889" t="s">
        <v>1251</v>
      </c>
      <c r="E60" s="1889"/>
      <c r="F60" s="1889"/>
      <c r="I60" s="1773" t="s">
        <v>2419</v>
      </c>
    </row>
    <row r="61" spans="1:9">
      <c r="D61" s="1889"/>
      <c r="E61" s="1889"/>
      <c r="F61" s="1889"/>
    </row>
    <row r="62" spans="1:9"/>
    <row r="63" spans="1:9" ht="14.25">
      <c r="A63" s="797"/>
      <c r="B63" s="798" t="s">
        <v>2604</v>
      </c>
      <c r="D63" s="1889" t="s">
        <v>1252</v>
      </c>
      <c r="E63" s="1889"/>
      <c r="F63" s="1889"/>
    </row>
    <row r="64" spans="1:9">
      <c r="D64" s="1889"/>
      <c r="E64" s="1889"/>
      <c r="F64" s="1889"/>
      <c r="I64" s="1773" t="s">
        <v>2420</v>
      </c>
    </row>
    <row r="65" spans="1:9">
      <c r="D65" s="1889"/>
      <c r="E65" s="1889"/>
      <c r="F65" s="1889"/>
    </row>
    <row r="66" spans="1:9">
      <c r="D66" s="790"/>
    </row>
    <row r="67" spans="1:9" ht="14.25">
      <c r="A67" s="797"/>
      <c r="B67" s="798" t="s">
        <v>2604</v>
      </c>
      <c r="D67" s="1932" t="s">
        <v>1253</v>
      </c>
      <c r="E67" s="1932"/>
      <c r="F67" s="1932"/>
      <c r="I67" s="1773" t="s">
        <v>2420</v>
      </c>
    </row>
    <row r="68" spans="1:9">
      <c r="D68" s="1932"/>
      <c r="E68" s="1932"/>
      <c r="F68" s="1932"/>
    </row>
    <row r="69" spans="1:9" ht="14.25">
      <c r="A69" s="797"/>
      <c r="B69" s="797"/>
      <c r="D69" s="800"/>
    </row>
    <row r="70" spans="1:9">
      <c r="A70" s="1897" t="s">
        <v>1160</v>
      </c>
      <c r="B70" s="1897"/>
      <c r="C70" s="1897"/>
      <c r="D70" s="1897"/>
      <c r="E70" s="1897"/>
      <c r="F70" s="1897"/>
      <c r="G70" s="1897"/>
      <c r="H70" s="1852"/>
      <c r="I70" s="1853"/>
    </row>
    <row r="71" spans="1:9"/>
    <row r="72" spans="1:9">
      <c r="C72" s="807"/>
      <c r="D72" s="1970" t="s">
        <v>1258</v>
      </c>
      <c r="E72" s="1970"/>
      <c r="F72" s="1970"/>
    </row>
    <row r="73" spans="1:9">
      <c r="A73" s="800"/>
      <c r="B73" s="800"/>
      <c r="D73" s="1932" t="s">
        <v>1285</v>
      </c>
      <c r="E73" s="1932"/>
      <c r="F73" s="1932"/>
    </row>
    <row r="74" spans="1:9">
      <c r="A74" s="800"/>
      <c r="B74" s="800"/>
    </row>
    <row r="75" spans="1:9" ht="13.7" customHeight="1">
      <c r="A75" s="797"/>
      <c r="B75" s="798" t="s">
        <v>2604</v>
      </c>
      <c r="D75" s="1932" t="s">
        <v>1472</v>
      </c>
      <c r="E75" s="1932"/>
      <c r="F75" s="1932"/>
      <c r="I75" s="1773" t="s">
        <v>2421</v>
      </c>
    </row>
    <row r="76" spans="1:9" ht="14.25">
      <c r="A76" s="797"/>
      <c r="B76" s="797"/>
      <c r="D76" s="1932"/>
      <c r="E76" s="1932"/>
      <c r="F76" s="1932"/>
    </row>
    <row r="77" spans="1:9" ht="14.25">
      <c r="A77" s="797"/>
      <c r="B77" s="797"/>
      <c r="D77" s="1932"/>
      <c r="E77" s="1932"/>
      <c r="F77" s="1932"/>
    </row>
    <row r="78" spans="1:9" ht="14.25">
      <c r="A78" s="797"/>
      <c r="B78" s="797"/>
      <c r="D78" s="1932"/>
      <c r="E78" s="1932"/>
      <c r="F78" s="1932"/>
    </row>
    <row r="79" spans="1:9" ht="14.25">
      <c r="A79" s="797"/>
      <c r="B79" s="797"/>
      <c r="D79" s="1932"/>
      <c r="E79" s="1932"/>
      <c r="F79" s="1932"/>
    </row>
    <row r="80" spans="1:9" ht="14.25">
      <c r="A80" s="797"/>
      <c r="B80" s="797"/>
      <c r="D80" s="1932"/>
      <c r="E80" s="1932"/>
      <c r="F80" s="1932"/>
    </row>
    <row r="81" spans="1:9" ht="14.25">
      <c r="A81" s="797"/>
      <c r="B81" s="797"/>
      <c r="D81" s="1932"/>
      <c r="E81" s="1932"/>
      <c r="F81" s="1932"/>
    </row>
    <row r="82" spans="1:9" ht="14.25">
      <c r="A82" s="797"/>
      <c r="B82" s="797"/>
      <c r="D82" s="1932"/>
      <c r="E82" s="1932"/>
      <c r="F82" s="1932"/>
    </row>
    <row r="83" spans="1:9" ht="14.25">
      <c r="A83" s="797"/>
      <c r="B83" s="797"/>
      <c r="D83" s="878"/>
      <c r="E83" s="878"/>
      <c r="F83" s="878"/>
    </row>
    <row r="84" spans="1:9" ht="15" customHeight="1">
      <c r="A84" s="797"/>
      <c r="B84" s="798" t="s">
        <v>2604</v>
      </c>
      <c r="D84" s="1932" t="s">
        <v>2241</v>
      </c>
      <c r="E84" s="1932"/>
      <c r="F84" s="1932"/>
      <c r="I84" s="1773" t="s">
        <v>2422</v>
      </c>
    </row>
    <row r="85" spans="1:9" ht="14.25">
      <c r="A85" s="797"/>
      <c r="B85" s="797"/>
      <c r="D85" s="1932"/>
      <c r="E85" s="1932"/>
      <c r="F85" s="1932"/>
    </row>
    <row r="86" spans="1:9" ht="14.25">
      <c r="A86" s="797"/>
      <c r="B86" s="797"/>
      <c r="D86" s="1711"/>
      <c r="E86" s="1711"/>
      <c r="F86" s="1711"/>
    </row>
    <row r="87" spans="1:9" ht="14.25">
      <c r="A87" s="797"/>
      <c r="B87" s="798" t="s">
        <v>2604</v>
      </c>
      <c r="D87" s="1932" t="s">
        <v>2245</v>
      </c>
      <c r="E87" s="1932"/>
      <c r="F87" s="1932"/>
      <c r="I87" s="1773" t="s">
        <v>2423</v>
      </c>
    </row>
    <row r="88" spans="1:9" ht="14.25">
      <c r="A88" s="797"/>
      <c r="B88" s="797"/>
      <c r="D88" s="1932"/>
      <c r="E88" s="1932"/>
      <c r="F88" s="1932"/>
    </row>
    <row r="89" spans="1:9" ht="14.25">
      <c r="A89" s="797"/>
      <c r="B89" s="797"/>
      <c r="D89" s="1932"/>
      <c r="E89" s="1932"/>
      <c r="F89" s="1932"/>
    </row>
    <row r="90" spans="1:9" ht="14.25">
      <c r="A90" s="797"/>
      <c r="B90" s="797"/>
      <c r="D90" s="1711"/>
      <c r="E90" s="1711"/>
      <c r="F90" s="1711"/>
    </row>
    <row r="91" spans="1:9" ht="14.25">
      <c r="A91" s="797"/>
      <c r="B91" s="798" t="s">
        <v>2603</v>
      </c>
      <c r="D91" s="1932" t="s">
        <v>2243</v>
      </c>
      <c r="E91" s="1932"/>
      <c r="F91" s="1932"/>
      <c r="I91" s="1773" t="s">
        <v>2468</v>
      </c>
    </row>
    <row r="92" spans="1:9" s="1728" customFormat="1" ht="14.25">
      <c r="A92" s="1726"/>
      <c r="B92" s="1726"/>
      <c r="C92" s="1727"/>
      <c r="D92" s="1932"/>
      <c r="E92" s="1932"/>
      <c r="F92" s="1932"/>
      <c r="I92" s="1837"/>
    </row>
    <row r="93" spans="1:9" ht="14.25">
      <c r="A93" s="797"/>
      <c r="B93" s="797"/>
      <c r="D93" s="1717"/>
      <c r="E93" s="1718" t="s">
        <v>2244</v>
      </c>
      <c r="F93" s="1711"/>
    </row>
    <row r="94" spans="1:9" ht="14.25">
      <c r="A94" s="797"/>
      <c r="B94" s="797"/>
      <c r="D94" s="878"/>
      <c r="E94" s="878"/>
      <c r="F94" s="878"/>
    </row>
    <row r="95" spans="1:9" ht="14.25">
      <c r="A95" s="797"/>
      <c r="B95" s="798" t="s">
        <v>2603</v>
      </c>
      <c r="D95" s="1932" t="s">
        <v>2242</v>
      </c>
      <c r="E95" s="1932"/>
      <c r="F95" s="1932"/>
      <c r="I95" s="1773" t="s">
        <v>2424</v>
      </c>
    </row>
    <row r="96" spans="1:9" ht="14.25">
      <c r="A96" s="797"/>
      <c r="B96" s="797"/>
      <c r="D96" s="1932"/>
      <c r="E96" s="1932"/>
      <c r="F96" s="1932"/>
    </row>
    <row r="97" spans="1:9" ht="14.25">
      <c r="A97" s="797"/>
      <c r="B97" s="797"/>
      <c r="D97" s="1711"/>
      <c r="E97" s="1711"/>
      <c r="F97" s="1711"/>
    </row>
    <row r="98" spans="1:9" ht="14.45" customHeight="1">
      <c r="A98" s="797"/>
      <c r="B98" s="798" t="s">
        <v>2603</v>
      </c>
      <c r="D98" s="1932" t="s">
        <v>1398</v>
      </c>
      <c r="E98" s="1932"/>
      <c r="F98" s="1932"/>
      <c r="G98" s="790"/>
      <c r="I98" s="1773" t="s">
        <v>2425</v>
      </c>
    </row>
    <row r="99" spans="1:9" ht="14.25">
      <c r="A99" s="797"/>
      <c r="B99" s="797"/>
      <c r="D99" s="1932"/>
      <c r="E99" s="1932"/>
      <c r="F99" s="1932"/>
      <c r="G99" s="790"/>
    </row>
    <row r="100" spans="1:9" ht="14.25">
      <c r="A100" s="797"/>
      <c r="B100" s="797"/>
      <c r="D100" s="1932"/>
      <c r="E100" s="1932"/>
      <c r="F100" s="1932"/>
      <c r="G100" s="790"/>
    </row>
    <row r="101" spans="1:9" ht="14.25">
      <c r="A101" s="797"/>
      <c r="B101" s="797"/>
      <c r="D101" s="1932"/>
      <c r="E101" s="1932"/>
      <c r="F101" s="1932"/>
      <c r="G101" s="790"/>
    </row>
    <row r="102" spans="1:9" ht="14.25">
      <c r="A102" s="797"/>
      <c r="B102" s="797"/>
      <c r="D102" s="1932"/>
      <c r="E102" s="1932"/>
      <c r="F102" s="1932"/>
      <c r="G102" s="790"/>
    </row>
    <row r="103" spans="1:9" ht="14.25">
      <c r="A103" s="797"/>
      <c r="B103" s="797"/>
      <c r="D103" s="1932"/>
      <c r="E103" s="1932"/>
      <c r="F103" s="1932"/>
      <c r="G103" s="790"/>
    </row>
    <row r="104" spans="1:9" ht="14.25">
      <c r="A104" s="797"/>
      <c r="B104" s="797"/>
      <c r="D104" s="1932"/>
      <c r="E104" s="1932"/>
      <c r="F104" s="1932"/>
      <c r="G104" s="790"/>
    </row>
    <row r="105" spans="1:9" ht="14.25">
      <c r="A105" s="797"/>
      <c r="B105" s="797"/>
      <c r="D105" s="1932"/>
      <c r="E105" s="1932"/>
      <c r="F105" s="1932"/>
      <c r="G105" s="790"/>
    </row>
    <row r="106" spans="1:9" ht="14.25">
      <c r="A106" s="797"/>
      <c r="B106" s="797"/>
      <c r="D106" s="1932"/>
      <c r="E106" s="1932"/>
      <c r="F106" s="1932"/>
      <c r="G106" s="790"/>
    </row>
    <row r="107" spans="1:9" ht="14.25">
      <c r="A107" s="797"/>
      <c r="B107" s="797"/>
      <c r="D107" s="1932"/>
      <c r="E107" s="1932"/>
      <c r="F107" s="1932"/>
      <c r="G107" s="790"/>
    </row>
    <row r="108" spans="1:9" ht="14.25">
      <c r="A108" s="797"/>
      <c r="B108" s="797"/>
      <c r="D108" s="1932"/>
      <c r="E108" s="1932"/>
      <c r="F108" s="1932"/>
      <c r="G108" s="790"/>
    </row>
    <row r="109" spans="1:9" ht="14.25">
      <c r="A109" s="797"/>
      <c r="B109" s="797"/>
      <c r="D109" s="1932"/>
      <c r="E109" s="1932"/>
      <c r="F109" s="1932"/>
      <c r="G109" s="790"/>
    </row>
    <row r="110" spans="1:9" ht="14.25">
      <c r="A110" s="797"/>
      <c r="B110" s="797"/>
      <c r="D110" s="1932"/>
      <c r="E110" s="1932"/>
      <c r="F110" s="1932"/>
      <c r="G110" s="790"/>
    </row>
    <row r="111" spans="1:9" ht="14.25">
      <c r="A111" s="797"/>
      <c r="B111" s="797"/>
      <c r="D111" s="1932"/>
      <c r="E111" s="1932"/>
      <c r="F111" s="1932"/>
    </row>
    <row r="112" spans="1:9" ht="14.25">
      <c r="A112" s="797"/>
      <c r="B112" s="797"/>
      <c r="D112" s="1932"/>
      <c r="E112" s="1932"/>
      <c r="F112" s="1932"/>
    </row>
    <row r="113" spans="1:11" ht="14.25">
      <c r="A113" s="797"/>
      <c r="B113" s="797"/>
      <c r="D113" s="904"/>
      <c r="E113" s="904"/>
      <c r="F113" s="904"/>
    </row>
    <row r="114" spans="1:11" ht="14.25" customHeight="1">
      <c r="A114" s="797"/>
      <c r="B114" s="798" t="s">
        <v>2603</v>
      </c>
      <c r="D114" s="1930" t="s">
        <v>1260</v>
      </c>
      <c r="E114" s="1930"/>
      <c r="F114" s="1930"/>
    </row>
    <row r="115" spans="1:11" ht="14.25">
      <c r="A115" s="797"/>
      <c r="B115" s="797"/>
      <c r="D115" s="1930"/>
      <c r="E115" s="1930"/>
      <c r="F115" s="1930"/>
    </row>
    <row r="116" spans="1:11" ht="14.25">
      <c r="A116" s="797"/>
      <c r="B116" s="797"/>
      <c r="D116" s="1930"/>
      <c r="E116" s="1930"/>
      <c r="F116" s="1930"/>
    </row>
    <row r="117" spans="1:11" ht="14.25">
      <c r="A117" s="797"/>
      <c r="B117" s="797"/>
      <c r="D117" s="1930"/>
      <c r="E117" s="1930"/>
      <c r="F117" s="1930"/>
    </row>
    <row r="118" spans="1:11" ht="14.25">
      <c r="A118" s="797"/>
      <c r="B118" s="797"/>
      <c r="D118" s="1930"/>
      <c r="E118" s="1930"/>
      <c r="F118" s="1930"/>
    </row>
    <row r="119" spans="1:11" ht="14.25">
      <c r="A119" s="797"/>
      <c r="B119" s="797"/>
      <c r="D119" s="1930"/>
      <c r="E119" s="1930"/>
      <c r="F119" s="1930"/>
    </row>
    <row r="120" spans="1:11" ht="14.25">
      <c r="A120" s="797"/>
      <c r="B120" s="797"/>
      <c r="D120" s="1930"/>
      <c r="E120" s="1930"/>
      <c r="F120" s="1930"/>
    </row>
    <row r="121" spans="1:11" ht="14.25">
      <c r="A121" s="797"/>
      <c r="B121" s="797"/>
      <c r="D121" s="1930"/>
      <c r="E121" s="1930"/>
      <c r="F121" s="1930"/>
    </row>
    <row r="122" spans="1:11">
      <c r="C122" s="722"/>
      <c r="D122" s="905"/>
      <c r="E122" s="905"/>
      <c r="F122" s="905"/>
      <c r="G122" s="722"/>
      <c r="H122" s="722"/>
      <c r="I122" s="622"/>
      <c r="J122" s="722"/>
      <c r="K122" s="722"/>
    </row>
    <row r="123" spans="1:11" ht="14.25">
      <c r="A123" s="797"/>
      <c r="B123" s="798" t="s">
        <v>2604</v>
      </c>
      <c r="C123" s="722"/>
      <c r="D123" s="1930" t="s">
        <v>1262</v>
      </c>
      <c r="E123" s="1930"/>
      <c r="F123" s="1930"/>
      <c r="G123" s="722"/>
      <c r="H123" s="722"/>
      <c r="I123" s="622" t="s">
        <v>2426</v>
      </c>
      <c r="J123" s="722"/>
      <c r="K123" s="722"/>
    </row>
    <row r="124" spans="1:11" ht="14.25">
      <c r="A124" s="797"/>
      <c r="B124" s="797"/>
      <c r="C124" s="722"/>
      <c r="D124" s="1930"/>
      <c r="E124" s="1930"/>
      <c r="F124" s="1930"/>
      <c r="G124" s="722"/>
      <c r="H124" s="722"/>
      <c r="I124" s="622"/>
      <c r="J124" s="722"/>
      <c r="K124" s="722"/>
    </row>
    <row r="125" spans="1:11"/>
    <row r="126" spans="1:11" ht="14.25">
      <c r="A126" s="797"/>
      <c r="B126" s="798" t="s">
        <v>2604</v>
      </c>
      <c r="C126" s="804"/>
      <c r="D126" s="1932" t="s">
        <v>1263</v>
      </c>
      <c r="E126" s="1932"/>
      <c r="F126" s="1932"/>
      <c r="I126" s="622" t="s">
        <v>2426</v>
      </c>
    </row>
    <row r="127" spans="1:11">
      <c r="C127" s="804"/>
      <c r="D127" s="1932"/>
      <c r="E127" s="1932"/>
      <c r="F127" s="1932"/>
    </row>
    <row r="128" spans="1:11">
      <c r="C128" s="804"/>
      <c r="D128" s="1932"/>
      <c r="E128" s="1932"/>
      <c r="F128" s="1932"/>
    </row>
    <row r="129" spans="1:9">
      <c r="C129" s="804"/>
      <c r="D129" s="1932"/>
      <c r="E129" s="1932"/>
      <c r="F129" s="1932"/>
    </row>
    <row r="130" spans="1:9">
      <c r="C130" s="804"/>
      <c r="D130" s="1932"/>
      <c r="E130" s="1932"/>
      <c r="F130" s="1932"/>
    </row>
    <row r="131" spans="1:9">
      <c r="C131" s="804"/>
      <c r="D131" s="672"/>
      <c r="E131" s="672"/>
      <c r="F131" s="672"/>
    </row>
    <row r="132" spans="1:9" s="722" customFormat="1" ht="14.25">
      <c r="A132" s="797"/>
      <c r="B132" s="798" t="s">
        <v>2604</v>
      </c>
      <c r="C132" s="804"/>
      <c r="D132" s="1889" t="s">
        <v>1264</v>
      </c>
      <c r="E132" s="1889"/>
      <c r="F132" s="1889"/>
      <c r="G132" s="672"/>
      <c r="I132" s="622" t="s">
        <v>2427</v>
      </c>
    </row>
    <row r="133" spans="1:9" s="812" customFormat="1" ht="13.7" customHeight="1">
      <c r="A133" s="809"/>
      <c r="B133" s="809"/>
      <c r="C133" s="810"/>
      <c r="D133" s="1889"/>
      <c r="E133" s="1889"/>
      <c r="F133" s="1889"/>
      <c r="G133" s="811"/>
      <c r="I133" s="1838"/>
    </row>
    <row r="134" spans="1:9" s="722" customFormat="1" ht="13.7" customHeight="1">
      <c r="A134" s="788"/>
      <c r="B134" s="788"/>
      <c r="C134" s="804"/>
      <c r="D134" s="1889"/>
      <c r="E134" s="1889"/>
      <c r="F134" s="1889"/>
      <c r="G134" s="672"/>
      <c r="I134" s="622"/>
    </row>
    <row r="135" spans="1:9" s="722" customFormat="1" ht="13.7" customHeight="1">
      <c r="A135" s="788"/>
      <c r="B135" s="788"/>
      <c r="C135" s="804"/>
      <c r="D135" s="1889"/>
      <c r="E135" s="1889"/>
      <c r="F135" s="1889"/>
      <c r="G135" s="672"/>
      <c r="I135" s="622"/>
    </row>
    <row r="136" spans="1:9" s="722" customFormat="1" ht="13.7" customHeight="1">
      <c r="A136" s="788"/>
      <c r="B136" s="788"/>
      <c r="C136" s="804"/>
      <c r="D136" s="1889"/>
      <c r="E136" s="1889"/>
      <c r="F136" s="1889"/>
      <c r="G136" s="672"/>
      <c r="I136" s="622"/>
    </row>
    <row r="137" spans="1:9" s="722" customFormat="1" ht="13.7" customHeight="1">
      <c r="A137" s="813"/>
      <c r="B137" s="813"/>
      <c r="C137" s="804"/>
      <c r="D137" s="1889"/>
      <c r="E137" s="1889"/>
      <c r="F137" s="1889"/>
      <c r="G137" s="672"/>
      <c r="I137" s="622"/>
    </row>
    <row r="138" spans="1:9" s="618" customFormat="1" ht="13.7" customHeight="1">
      <c r="A138" s="801"/>
      <c r="B138" s="801"/>
      <c r="C138" s="806"/>
      <c r="D138" s="1889"/>
      <c r="E138" s="1889"/>
      <c r="F138" s="1889"/>
      <c r="G138" s="693"/>
      <c r="I138" s="642"/>
    </row>
    <row r="139" spans="1:9" s="618" customFormat="1" ht="13.7" customHeight="1">
      <c r="A139" s="801"/>
      <c r="B139" s="801"/>
      <c r="C139" s="806"/>
      <c r="D139" s="1889"/>
      <c r="E139" s="1889"/>
      <c r="F139" s="1889"/>
      <c r="G139" s="693"/>
      <c r="I139" s="642"/>
    </row>
    <row r="140" spans="1:9" s="722" customFormat="1" ht="13.7" customHeight="1">
      <c r="A140" s="788"/>
      <c r="B140" s="788"/>
      <c r="C140" s="804"/>
      <c r="D140" s="1889"/>
      <c r="E140" s="1889"/>
      <c r="F140" s="1889"/>
      <c r="G140" s="672"/>
      <c r="I140" s="622"/>
    </row>
    <row r="141" spans="1:9" s="722" customFormat="1" ht="13.7" customHeight="1">
      <c r="A141" s="788"/>
      <c r="B141" s="788"/>
      <c r="C141" s="804"/>
      <c r="D141" s="1889"/>
      <c r="E141" s="1889"/>
      <c r="F141" s="1889"/>
      <c r="G141" s="672"/>
      <c r="I141" s="622"/>
    </row>
    <row r="142" spans="1:9" s="722" customFormat="1" ht="13.7" customHeight="1">
      <c r="A142" s="788"/>
      <c r="B142" s="788"/>
      <c r="C142" s="804"/>
      <c r="D142" s="1889"/>
      <c r="E142" s="1889"/>
      <c r="F142" s="1889"/>
      <c r="G142" s="672"/>
      <c r="I142" s="622"/>
    </row>
    <row r="143" spans="1:9" s="722" customFormat="1" ht="13.7" customHeight="1">
      <c r="A143" s="788"/>
      <c r="B143" s="788"/>
      <c r="C143" s="804"/>
      <c r="D143" s="1889"/>
      <c r="E143" s="1889"/>
      <c r="F143" s="188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2603</v>
      </c>
      <c r="C145" s="804"/>
      <c r="D145" s="1974" t="s">
        <v>1372</v>
      </c>
      <c r="E145" s="1974"/>
      <c r="F145" s="1974"/>
      <c r="G145" s="672"/>
      <c r="I145" s="622" t="s">
        <v>2428</v>
      </c>
    </row>
    <row r="146" spans="1:9" s="722" customFormat="1" ht="13.7" customHeight="1">
      <c r="A146" s="788"/>
      <c r="B146" s="788"/>
      <c r="C146" s="804"/>
      <c r="D146" s="1974"/>
      <c r="E146" s="1974"/>
      <c r="F146" s="1974"/>
      <c r="G146" s="672"/>
      <c r="I146" s="622"/>
    </row>
    <row r="147" spans="1:9" s="722" customFormat="1" ht="13.7" customHeight="1">
      <c r="A147" s="788"/>
      <c r="B147" s="788"/>
      <c r="C147" s="804"/>
      <c r="D147" s="1974"/>
      <c r="E147" s="1974"/>
      <c r="F147" s="1974"/>
      <c r="G147" s="672"/>
      <c r="I147" s="622"/>
    </row>
    <row r="148" spans="1:9" s="722" customFormat="1" ht="13.7" customHeight="1">
      <c r="A148" s="788"/>
      <c r="B148" s="788"/>
      <c r="C148" s="804"/>
      <c r="D148" s="1974"/>
      <c r="E148" s="1974"/>
      <c r="F148" s="1974"/>
      <c r="G148" s="672"/>
      <c r="I148" s="622"/>
    </row>
    <row r="149" spans="1:9" s="722" customFormat="1" ht="13.7" customHeight="1">
      <c r="A149" s="788"/>
      <c r="B149" s="788"/>
      <c r="C149" s="804"/>
      <c r="D149" s="1974"/>
      <c r="E149" s="1974"/>
      <c r="F149" s="1974"/>
      <c r="G149" s="672"/>
      <c r="I149" s="622"/>
    </row>
    <row r="150" spans="1:9" s="722" customFormat="1" ht="13.7" customHeight="1">
      <c r="A150" s="788"/>
      <c r="B150" s="788"/>
      <c r="C150" s="804"/>
      <c r="D150" s="1974"/>
      <c r="E150" s="1974"/>
      <c r="F150" s="1974"/>
      <c r="G150" s="672"/>
      <c r="I150" s="622"/>
    </row>
    <row r="151" spans="1:9" s="722" customFormat="1" ht="13.7" customHeight="1">
      <c r="A151" s="788"/>
      <c r="B151" s="788"/>
      <c r="C151" s="804"/>
      <c r="D151" s="1974"/>
      <c r="E151" s="1974"/>
      <c r="F151" s="1974"/>
      <c r="G151" s="672"/>
      <c r="I151" s="622"/>
    </row>
    <row r="152" spans="1:9" s="722" customFormat="1" ht="13.7" customHeight="1">
      <c r="A152" s="788"/>
      <c r="B152" s="788"/>
      <c r="C152" s="804"/>
      <c r="D152" s="1974"/>
      <c r="E152" s="1974"/>
      <c r="F152" s="1974"/>
      <c r="G152" s="672"/>
      <c r="I152" s="622"/>
    </row>
    <row r="153" spans="1:9" s="722" customFormat="1" ht="13.7" customHeight="1">
      <c r="A153" s="788"/>
      <c r="B153" s="788"/>
      <c r="C153" s="804"/>
      <c r="D153" s="1974"/>
      <c r="E153" s="1974"/>
      <c r="F153" s="1974"/>
      <c r="G153" s="672"/>
      <c r="I153" s="622"/>
    </row>
    <row r="154" spans="1:9" s="722" customFormat="1" ht="13.7" customHeight="1">
      <c r="A154" s="788"/>
      <c r="B154" s="788"/>
      <c r="C154" s="804"/>
      <c r="D154" s="1974"/>
      <c r="E154" s="1974"/>
      <c r="F154" s="1974"/>
      <c r="G154" s="672"/>
      <c r="I154" s="622"/>
    </row>
    <row r="155" spans="1:9" s="722" customFormat="1" ht="13.7" customHeight="1">
      <c r="A155" s="788"/>
      <c r="B155" s="788"/>
      <c r="C155" s="804"/>
      <c r="D155" s="1974"/>
      <c r="E155" s="1974"/>
      <c r="F155" s="1974"/>
      <c r="G155" s="672"/>
      <c r="I155" s="622"/>
    </row>
    <row r="156" spans="1:9" s="722" customFormat="1" ht="13.7" customHeight="1">
      <c r="A156" s="788"/>
      <c r="B156" s="788"/>
      <c r="C156" s="804"/>
      <c r="D156" s="1974"/>
      <c r="E156" s="1974"/>
      <c r="F156" s="1974"/>
      <c r="G156" s="672"/>
      <c r="I156" s="622"/>
    </row>
    <row r="157" spans="1:9" s="722" customFormat="1" ht="13.7" customHeight="1">
      <c r="A157" s="788"/>
      <c r="B157" s="788"/>
      <c r="C157" s="804"/>
      <c r="D157" s="1974"/>
      <c r="E157" s="1974"/>
      <c r="F157" s="1974"/>
      <c r="G157" s="672"/>
      <c r="I157" s="622"/>
    </row>
    <row r="158" spans="1:9" s="722" customFormat="1" ht="13.7" customHeight="1">
      <c r="A158" s="788"/>
      <c r="B158" s="788"/>
      <c r="C158" s="804"/>
      <c r="D158" s="1974"/>
      <c r="E158" s="1974"/>
      <c r="F158" s="1974"/>
      <c r="G158" s="672"/>
      <c r="I158" s="622"/>
    </row>
    <row r="159" spans="1:9" s="722" customFormat="1" ht="13.7" customHeight="1">
      <c r="A159" s="788"/>
      <c r="B159" s="788"/>
      <c r="C159" s="804"/>
      <c r="D159" s="1974"/>
      <c r="E159" s="1974"/>
      <c r="F159" s="1974"/>
      <c r="G159" s="672"/>
      <c r="I159" s="622"/>
    </row>
    <row r="160" spans="1:9" s="722" customFormat="1" ht="13.7" customHeight="1">
      <c r="A160" s="788"/>
      <c r="B160" s="788"/>
      <c r="C160" s="804"/>
      <c r="D160" s="1974"/>
      <c r="E160" s="1974"/>
      <c r="F160" s="1974"/>
      <c r="G160" s="672"/>
      <c r="I160" s="622"/>
    </row>
    <row r="161" spans="1:9" s="722" customFormat="1" ht="13.7" customHeight="1">
      <c r="A161" s="788"/>
      <c r="B161" s="788"/>
      <c r="C161" s="804"/>
      <c r="D161" s="1974"/>
      <c r="E161" s="1974"/>
      <c r="F161" s="1974"/>
      <c r="G161" s="672"/>
      <c r="I161" s="622"/>
    </row>
    <row r="162" spans="1:9" s="722" customFormat="1" ht="13.7" customHeight="1">
      <c r="A162" s="788"/>
      <c r="B162" s="788"/>
      <c r="C162" s="804"/>
      <c r="D162" s="1974"/>
      <c r="E162" s="1974"/>
      <c r="F162" s="1974"/>
      <c r="G162" s="672"/>
      <c r="I162" s="622"/>
    </row>
    <row r="163" spans="1:9" s="722" customFormat="1" ht="13.7" customHeight="1">
      <c r="A163" s="788"/>
      <c r="B163" s="788"/>
      <c r="C163" s="804"/>
      <c r="D163" s="1995" t="s">
        <v>1406</v>
      </c>
      <c r="E163" s="1995"/>
      <c r="F163" s="1995"/>
      <c r="G163" s="856"/>
      <c r="I163" s="622"/>
    </row>
    <row r="164" spans="1:9" s="722" customFormat="1" ht="13.7" customHeight="1">
      <c r="A164" s="788"/>
      <c r="B164" s="788"/>
      <c r="C164" s="804"/>
      <c r="D164" s="1994"/>
      <c r="E164" s="1994"/>
      <c r="F164" s="1994"/>
      <c r="G164" s="1994"/>
      <c r="I164" s="622"/>
    </row>
    <row r="165" spans="1:9" s="722" customFormat="1" ht="14.45" customHeight="1">
      <c r="A165" s="813"/>
      <c r="B165" s="798" t="s">
        <v>2603</v>
      </c>
      <c r="C165" s="814"/>
      <c r="D165" s="1931" t="s">
        <v>1434</v>
      </c>
      <c r="E165" s="1931"/>
      <c r="F165" s="1931"/>
      <c r="G165" s="815"/>
      <c r="I165" s="622" t="s">
        <v>2423</v>
      </c>
    </row>
    <row r="166" spans="1:9" s="722" customFormat="1" ht="14.45" customHeight="1">
      <c r="A166" s="813"/>
      <c r="B166" s="813"/>
      <c r="C166" s="814"/>
      <c r="D166" s="1931"/>
      <c r="E166" s="1931"/>
      <c r="F166" s="1931"/>
      <c r="G166" s="815"/>
      <c r="I166" s="622"/>
    </row>
    <row r="167" spans="1:9" s="722" customFormat="1" ht="13.7" customHeight="1">
      <c r="A167" s="813"/>
      <c r="B167" s="813"/>
      <c r="C167" s="814"/>
      <c r="D167" s="1931"/>
      <c r="E167" s="1931"/>
      <c r="F167" s="193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2603</v>
      </c>
      <c r="C169" s="814"/>
      <c r="D169" s="1874" t="s">
        <v>1266</v>
      </c>
      <c r="E169" s="1874"/>
      <c r="F169" s="1874"/>
      <c r="G169" s="815"/>
      <c r="I169" s="622" t="s">
        <v>2429</v>
      </c>
    </row>
    <row r="170" spans="1:9" s="722" customFormat="1" ht="13.7" customHeight="1">
      <c r="A170" s="813"/>
      <c r="B170" s="813"/>
      <c r="C170" s="814"/>
      <c r="D170" s="1874"/>
      <c r="E170" s="1874"/>
      <c r="F170" s="1874"/>
      <c r="G170" s="815"/>
      <c r="I170" s="622"/>
    </row>
    <row r="171" spans="1:9" s="722" customFormat="1" ht="13.7" customHeight="1">
      <c r="A171" s="813"/>
      <c r="B171" s="813"/>
      <c r="C171" s="814"/>
      <c r="D171" s="1874"/>
      <c r="E171" s="1874"/>
      <c r="F171" s="1874"/>
      <c r="G171" s="815"/>
      <c r="I171" s="622"/>
    </row>
    <row r="172" spans="1:9" s="722" customFormat="1" ht="13.7" customHeight="1">
      <c r="A172" s="813"/>
      <c r="B172" s="813"/>
      <c r="C172" s="814"/>
      <c r="D172" s="1874"/>
      <c r="E172" s="1874"/>
      <c r="F172" s="187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2603</v>
      </c>
      <c r="C174" s="804"/>
      <c r="D174" s="1919" t="s">
        <v>1267</v>
      </c>
      <c r="E174" s="1919"/>
      <c r="F174" s="1919"/>
      <c r="G174" s="672"/>
      <c r="I174" s="622" t="s">
        <v>2430</v>
      </c>
    </row>
    <row r="175" spans="1:9" s="722" customFormat="1" ht="13.7" customHeight="1">
      <c r="A175" s="788"/>
      <c r="B175" s="788"/>
      <c r="C175" s="804"/>
      <c r="D175" s="1919"/>
      <c r="E175" s="1919"/>
      <c r="F175" s="1919"/>
      <c r="G175" s="672"/>
      <c r="I175" s="622"/>
    </row>
    <row r="176" spans="1:9" s="722" customFormat="1" ht="13.7" customHeight="1">
      <c r="A176" s="788"/>
      <c r="B176" s="788"/>
      <c r="C176" s="804"/>
      <c r="D176" s="1919"/>
      <c r="E176" s="1919"/>
      <c r="F176" s="1919"/>
      <c r="G176" s="672"/>
      <c r="I176" s="622"/>
    </row>
    <row r="177" spans="1:9" s="722" customFormat="1" ht="13.7" customHeight="1">
      <c r="A177" s="816"/>
      <c r="B177" s="816"/>
      <c r="C177" s="804"/>
      <c r="D177" s="789"/>
      <c r="E177" s="785"/>
      <c r="F177" s="785"/>
      <c r="G177" s="672"/>
      <c r="I177" s="622"/>
    </row>
    <row r="178" spans="1:9">
      <c r="A178" s="1897" t="s">
        <v>2405</v>
      </c>
      <c r="B178" s="1897"/>
      <c r="C178" s="1897"/>
      <c r="D178" s="1897"/>
      <c r="E178" s="1897"/>
      <c r="F178" s="1897"/>
      <c r="G178" s="1897"/>
      <c r="H178" s="1852"/>
      <c r="I178" s="1853"/>
    </row>
    <row r="179" spans="1:9" ht="12" customHeight="1">
      <c r="D179" s="800"/>
      <c r="E179" s="800"/>
      <c r="F179" s="800"/>
    </row>
    <row r="180" spans="1:9">
      <c r="B180" s="1969" t="s">
        <v>470</v>
      </c>
      <c r="C180" s="1969"/>
      <c r="D180" s="1969"/>
      <c r="E180" s="1969"/>
      <c r="F180" s="1969"/>
    </row>
    <row r="181" spans="1:9" s="1771" customFormat="1">
      <c r="A181" s="788"/>
      <c r="B181" s="1830" t="s">
        <v>2406</v>
      </c>
      <c r="C181" s="1830"/>
      <c r="D181" s="1830"/>
      <c r="E181" s="1830"/>
      <c r="F181" s="1830"/>
      <c r="G181" s="1770"/>
      <c r="I181" s="1773"/>
    </row>
    <row r="182" spans="1:9" ht="12" customHeight="1">
      <c r="A182" s="793"/>
      <c r="B182" s="793"/>
      <c r="C182" s="793"/>
    </row>
    <row r="183" spans="1:9">
      <c r="A183" s="1897" t="s">
        <v>1162</v>
      </c>
      <c r="B183" s="1897"/>
      <c r="C183" s="1897"/>
      <c r="D183" s="1897"/>
      <c r="E183" s="1897"/>
      <c r="F183" s="1897"/>
      <c r="G183" s="1897"/>
      <c r="H183" s="1852"/>
      <c r="I183" s="1853"/>
    </row>
    <row r="184" spans="1:9" ht="12" customHeight="1">
      <c r="A184" s="817"/>
      <c r="B184" s="817"/>
      <c r="C184" s="818"/>
      <c r="D184" s="819"/>
      <c r="E184" s="820"/>
      <c r="F184" s="819"/>
      <c r="G184" s="819"/>
    </row>
    <row r="185" spans="1:9" ht="13.7" customHeight="1">
      <c r="A185" s="817"/>
      <c r="B185" s="817"/>
      <c r="C185" s="818"/>
      <c r="D185" s="1933" t="s">
        <v>2246</v>
      </c>
      <c r="E185" s="1933"/>
      <c r="F185" s="1933"/>
      <c r="G185" s="819"/>
    </row>
    <row r="186" spans="1:9">
      <c r="A186" s="817"/>
      <c r="B186" s="817"/>
      <c r="C186" s="818"/>
      <c r="D186" s="1933"/>
      <c r="E186" s="1933"/>
      <c r="F186" s="1933"/>
      <c r="G186" s="819"/>
    </row>
    <row r="187" spans="1:9">
      <c r="A187" s="817"/>
      <c r="B187" s="817"/>
      <c r="C187" s="818"/>
      <c r="D187" s="1934" t="s">
        <v>1399</v>
      </c>
      <c r="E187" s="1934"/>
      <c r="F187" s="1934"/>
      <c r="G187" s="819"/>
    </row>
    <row r="188" spans="1:9">
      <c r="A188" s="817"/>
      <c r="B188" s="817"/>
      <c r="C188" s="818"/>
      <c r="D188" s="1712"/>
      <c r="E188" s="1712"/>
      <c r="F188" s="1712"/>
      <c r="G188" s="819"/>
    </row>
    <row r="189" spans="1:9">
      <c r="A189" s="817"/>
      <c r="B189" s="798" t="s">
        <v>2603</v>
      </c>
      <c r="C189" s="818"/>
      <c r="D189" s="1896" t="s">
        <v>2247</v>
      </c>
      <c r="E189" s="1896"/>
      <c r="F189" s="1896"/>
      <c r="G189" s="819"/>
      <c r="I189" s="1773" t="s">
        <v>2479</v>
      </c>
    </row>
    <row r="190" spans="1:9">
      <c r="A190" s="817"/>
      <c r="B190" s="817"/>
      <c r="C190" s="818"/>
      <c r="D190" s="1900" t="s">
        <v>2248</v>
      </c>
      <c r="E190" s="1900"/>
      <c r="F190" s="1900"/>
      <c r="G190" s="819"/>
    </row>
    <row r="191" spans="1:9">
      <c r="A191" s="817"/>
      <c r="B191" s="817"/>
      <c r="C191" s="818"/>
      <c r="D191" s="1729" t="s">
        <v>2249</v>
      </c>
      <c r="E191" s="1987" t="s">
        <v>2250</v>
      </c>
      <c r="F191" s="1987"/>
      <c r="G191" s="819"/>
    </row>
    <row r="192" spans="1:9">
      <c r="A192" s="817"/>
      <c r="B192" s="817"/>
      <c r="C192" s="818"/>
      <c r="D192" s="155"/>
      <c r="E192" s="155"/>
      <c r="F192" s="155"/>
      <c r="G192" s="819"/>
    </row>
    <row r="193" spans="1:9">
      <c r="A193" s="817"/>
      <c r="B193" s="798" t="s">
        <v>2603</v>
      </c>
      <c r="C193" s="818"/>
      <c r="D193" s="1900" t="s">
        <v>2251</v>
      </c>
      <c r="E193" s="1900"/>
      <c r="F193" s="1900"/>
      <c r="G193" s="819"/>
      <c r="I193" s="1773" t="s">
        <v>2480</v>
      </c>
    </row>
    <row r="194" spans="1:9">
      <c r="A194" s="817"/>
      <c r="B194" s="817"/>
      <c r="C194" s="818"/>
      <c r="D194" s="1896" t="s">
        <v>2248</v>
      </c>
      <c r="E194" s="1896"/>
      <c r="F194" s="1896"/>
      <c r="G194" s="819"/>
    </row>
    <row r="195" spans="1:9">
      <c r="A195" s="817"/>
      <c r="B195" s="817"/>
      <c r="C195" s="818"/>
      <c r="D195" s="1710" t="s">
        <v>2252</v>
      </c>
      <c r="E195" s="1992" t="s">
        <v>2253</v>
      </c>
      <c r="F195" s="1992"/>
      <c r="G195" s="819"/>
    </row>
    <row r="196" spans="1:9">
      <c r="A196" s="817"/>
      <c r="B196" s="817"/>
      <c r="C196" s="818"/>
      <c r="D196" s="155"/>
      <c r="E196" s="155"/>
      <c r="F196" s="155"/>
      <c r="G196" s="819"/>
    </row>
    <row r="197" spans="1:9">
      <c r="A197" s="817"/>
      <c r="B197" s="798" t="s">
        <v>2603</v>
      </c>
      <c r="C197" s="818"/>
      <c r="D197" s="1900" t="s">
        <v>2254</v>
      </c>
      <c r="E197" s="1900"/>
      <c r="F197" s="1900"/>
      <c r="G197" s="819"/>
      <c r="I197" s="1773" t="s">
        <v>2481</v>
      </c>
    </row>
    <row r="198" spans="1:9">
      <c r="A198" s="817"/>
      <c r="B198" s="817"/>
      <c r="C198" s="818"/>
      <c r="D198" s="1707" t="s">
        <v>2248</v>
      </c>
      <c r="E198" s="155"/>
      <c r="F198" s="155"/>
      <c r="G198" s="819"/>
    </row>
    <row r="199" spans="1:9">
      <c r="A199" s="817"/>
      <c r="B199" s="817"/>
      <c r="C199" s="818"/>
      <c r="D199" s="1710" t="s">
        <v>2249</v>
      </c>
      <c r="E199" s="1992" t="s">
        <v>2255</v>
      </c>
      <c r="F199" s="1992"/>
      <c r="G199" s="819"/>
    </row>
    <row r="200" spans="1:9">
      <c r="A200" s="817"/>
      <c r="B200" s="817"/>
      <c r="C200" s="818"/>
      <c r="D200" s="1712"/>
      <c r="E200" s="1712"/>
      <c r="F200" s="1712"/>
      <c r="G200" s="819"/>
    </row>
    <row r="201" spans="1:9" ht="14.25">
      <c r="A201" s="797"/>
      <c r="B201" s="798" t="s">
        <v>2603</v>
      </c>
      <c r="C201" s="818"/>
      <c r="D201" s="1932" t="s">
        <v>2256</v>
      </c>
      <c r="E201" s="1932"/>
      <c r="F201" s="1932"/>
      <c r="G201" s="819"/>
      <c r="I201" s="1773" t="s">
        <v>2482</v>
      </c>
    </row>
    <row r="202" spans="1:9" ht="14.25">
      <c r="A202" s="797"/>
      <c r="B202" s="797"/>
      <c r="C202" s="818"/>
      <c r="D202" s="1932"/>
      <c r="E202" s="1932"/>
      <c r="F202" s="1932"/>
      <c r="G202" s="819"/>
    </row>
    <row r="203" spans="1:9">
      <c r="A203" s="818"/>
      <c r="B203" s="818"/>
      <c r="C203" s="818"/>
      <c r="D203" s="1932"/>
      <c r="E203" s="1932"/>
      <c r="F203" s="1932"/>
    </row>
    <row r="204" spans="1:9">
      <c r="A204" s="818"/>
      <c r="B204" s="818"/>
      <c r="C204" s="818"/>
      <c r="D204" s="803"/>
      <c r="E204" s="819"/>
      <c r="F204" s="819"/>
    </row>
    <row r="205" spans="1:9">
      <c r="A205" s="818"/>
      <c r="B205" s="798" t="s">
        <v>2603</v>
      </c>
      <c r="C205" s="818"/>
      <c r="D205" s="1900" t="s">
        <v>2257</v>
      </c>
      <c r="E205" s="1900"/>
      <c r="F205" s="1900"/>
      <c r="I205" s="1773" t="s">
        <v>2483</v>
      </c>
    </row>
    <row r="206" spans="1:9">
      <c r="A206" s="818"/>
      <c r="B206" s="818"/>
      <c r="C206" s="818"/>
      <c r="D206" s="1900" t="s">
        <v>2248</v>
      </c>
      <c r="E206" s="1900"/>
      <c r="F206" s="1900"/>
    </row>
    <row r="207" spans="1:9">
      <c r="A207" s="818"/>
      <c r="B207" s="818"/>
      <c r="C207" s="818"/>
      <c r="D207" s="1710" t="s">
        <v>2249</v>
      </c>
      <c r="E207" s="1992" t="s">
        <v>2258</v>
      </c>
      <c r="F207" s="1992"/>
    </row>
    <row r="208" spans="1:9">
      <c r="A208" s="818"/>
      <c r="B208" s="818"/>
      <c r="C208" s="818"/>
      <c r="D208" s="779"/>
      <c r="E208" s="779"/>
      <c r="F208" s="779"/>
    </row>
    <row r="209" spans="1:9" s="618" customFormat="1" ht="14.25">
      <c r="A209" s="797"/>
      <c r="B209" s="798" t="s">
        <v>2603</v>
      </c>
      <c r="C209" s="806"/>
      <c r="D209" s="1932" t="s">
        <v>1425</v>
      </c>
      <c r="E209" s="1932"/>
      <c r="F209" s="1932"/>
      <c r="G209" s="693"/>
      <c r="I209" s="642"/>
    </row>
    <row r="210" spans="1:9" s="618" customFormat="1" ht="14.45" customHeight="1">
      <c r="A210" s="797"/>
      <c r="C210" s="806"/>
      <c r="D210" s="1932"/>
      <c r="E210" s="1932"/>
      <c r="F210" s="1932"/>
      <c r="G210" s="693"/>
      <c r="I210" s="642"/>
    </row>
    <row r="211" spans="1:9" s="618" customFormat="1" ht="14.25">
      <c r="A211" s="797"/>
      <c r="B211" s="818"/>
      <c r="C211" s="806"/>
      <c r="D211" s="1932"/>
      <c r="E211" s="1932"/>
      <c r="F211" s="1932"/>
      <c r="G211" s="693"/>
      <c r="I211" s="642"/>
    </row>
    <row r="212" spans="1:9" s="618" customFormat="1" ht="14.25">
      <c r="A212" s="797"/>
      <c r="B212" s="818"/>
      <c r="C212" s="806"/>
      <c r="D212" s="1932"/>
      <c r="E212" s="1932"/>
      <c r="F212" s="1932"/>
      <c r="G212" s="693"/>
      <c r="I212" s="642"/>
    </row>
    <row r="213" spans="1:9">
      <c r="A213" s="818"/>
      <c r="B213" s="818"/>
      <c r="C213" s="818"/>
      <c r="D213" s="779"/>
      <c r="E213" s="779"/>
      <c r="F213" s="779"/>
    </row>
    <row r="214" spans="1:9">
      <c r="A214" s="1897" t="s">
        <v>1163</v>
      </c>
      <c r="B214" s="1897"/>
      <c r="C214" s="1897"/>
      <c r="D214" s="1897"/>
      <c r="E214" s="1897"/>
      <c r="F214" s="1897"/>
      <c r="G214" s="1897"/>
      <c r="H214" s="1852"/>
      <c r="I214" s="1853"/>
    </row>
    <row r="215" spans="1:9" ht="12" customHeight="1">
      <c r="D215" s="800"/>
      <c r="E215" s="800"/>
      <c r="F215" s="800"/>
    </row>
    <row r="216" spans="1:9">
      <c r="C216" s="807"/>
      <c r="D216" s="1991" t="s">
        <v>214</v>
      </c>
      <c r="E216" s="1991"/>
      <c r="F216" s="1991"/>
    </row>
    <row r="217" spans="1:9">
      <c r="A217" s="793"/>
      <c r="B217" s="793"/>
      <c r="C217" s="793"/>
      <c r="D217" s="1971" t="s">
        <v>1292</v>
      </c>
      <c r="E217" s="1971"/>
      <c r="F217" s="1971"/>
    </row>
    <row r="218" spans="1:9" ht="12" customHeight="1">
      <c r="A218" s="816"/>
      <c r="B218" s="816"/>
      <c r="C218" s="816"/>
    </row>
    <row r="219" spans="1:9" ht="13.7" customHeight="1">
      <c r="A219" s="816"/>
      <c r="C219" s="816"/>
      <c r="D219" s="1887" t="s">
        <v>579</v>
      </c>
      <c r="E219" s="1887"/>
      <c r="F219" s="1887"/>
      <c r="I219" s="1773" t="s">
        <v>2431</v>
      </c>
    </row>
    <row r="220" spans="1:9" ht="14.25">
      <c r="A220" s="797"/>
      <c r="B220" s="798" t="s">
        <v>2604</v>
      </c>
      <c r="D220" s="1932" t="s">
        <v>2259</v>
      </c>
      <c r="E220" s="1932"/>
      <c r="F220" s="1932"/>
    </row>
    <row r="221" spans="1:9" ht="14.25" customHeight="1">
      <c r="A221" s="797"/>
      <c r="B221" s="797"/>
      <c r="D221" s="1932"/>
      <c r="E221" s="1932"/>
      <c r="F221" s="1932"/>
    </row>
    <row r="222" spans="1:9" ht="14.25" customHeight="1">
      <c r="A222" s="797"/>
      <c r="B222" s="797"/>
      <c r="D222" s="1932"/>
      <c r="E222" s="1932"/>
      <c r="F222" s="1932"/>
    </row>
    <row r="223" spans="1:9" ht="14.25">
      <c r="A223" s="797"/>
      <c r="B223" s="797"/>
      <c r="D223" s="1932"/>
      <c r="E223" s="1932"/>
      <c r="F223" s="1932"/>
    </row>
    <row r="224" spans="1:9" ht="14.25">
      <c r="A224" s="797"/>
      <c r="B224" s="797"/>
      <c r="D224" s="1711"/>
      <c r="E224" s="1711"/>
      <c r="F224" s="1711"/>
    </row>
    <row r="225" spans="1:9" ht="14.25">
      <c r="A225" s="797"/>
      <c r="B225" s="798" t="s">
        <v>2604</v>
      </c>
      <c r="D225" s="1932" t="s">
        <v>2260</v>
      </c>
      <c r="E225" s="1932"/>
      <c r="F225" s="1932"/>
      <c r="I225" s="1773" t="s">
        <v>2432</v>
      </c>
    </row>
    <row r="226" spans="1:9" ht="14.25">
      <c r="A226" s="797"/>
      <c r="B226" s="797"/>
      <c r="D226" s="1932"/>
      <c r="E226" s="1932"/>
      <c r="F226" s="1932"/>
    </row>
    <row r="227" spans="1:9" ht="14.25">
      <c r="A227" s="797"/>
      <c r="B227" s="797"/>
      <c r="D227" s="1932"/>
      <c r="E227" s="1932"/>
      <c r="F227" s="1932"/>
    </row>
    <row r="228" spans="1:9" ht="14.25">
      <c r="A228" s="797"/>
      <c r="B228" s="797"/>
      <c r="D228" s="1932"/>
      <c r="E228" s="1932"/>
      <c r="F228" s="1932"/>
    </row>
    <row r="229" spans="1:9" ht="14.25" customHeight="1">
      <c r="A229" s="797"/>
      <c r="B229" s="797"/>
      <c r="D229" s="1932"/>
      <c r="E229" s="1932"/>
      <c r="F229" s="1932"/>
    </row>
    <row r="230" spans="1:9" ht="14.25" customHeight="1">
      <c r="A230" s="797"/>
      <c r="B230" s="797"/>
      <c r="D230" s="1711"/>
      <c r="E230" s="1711"/>
      <c r="F230" s="1711"/>
    </row>
    <row r="231" spans="1:9" ht="14.25">
      <c r="A231" s="797"/>
      <c r="B231" s="797"/>
      <c r="D231" s="1932" t="s">
        <v>1288</v>
      </c>
      <c r="E231" s="1932"/>
      <c r="F231" s="1932"/>
      <c r="I231" s="1773" t="s">
        <v>2431</v>
      </c>
    </row>
    <row r="232" spans="1:9" ht="14.25">
      <c r="A232" s="797"/>
      <c r="B232" s="797"/>
      <c r="D232" s="1932"/>
      <c r="E232" s="1932"/>
      <c r="F232" s="1932"/>
    </row>
    <row r="233" spans="1:9" ht="14.25">
      <c r="A233" s="797"/>
      <c r="B233" s="797"/>
      <c r="D233" s="1932"/>
      <c r="E233" s="1932"/>
      <c r="F233" s="1932"/>
    </row>
    <row r="234" spans="1:9" ht="14.25">
      <c r="A234" s="797"/>
      <c r="B234" s="797"/>
      <c r="D234" s="1932"/>
      <c r="E234" s="1932"/>
      <c r="F234" s="1932"/>
    </row>
    <row r="235" spans="1:9" ht="14.25">
      <c r="A235" s="797"/>
      <c r="B235" s="797"/>
      <c r="D235" s="1932"/>
      <c r="E235" s="1932"/>
      <c r="F235" s="1932"/>
    </row>
    <row r="236" spans="1:9" ht="14.25">
      <c r="A236" s="797"/>
      <c r="B236" s="797"/>
      <c r="D236" s="800"/>
      <c r="E236" s="800"/>
      <c r="F236" s="800"/>
    </row>
    <row r="237" spans="1:9" ht="14.25">
      <c r="A237" s="797"/>
      <c r="B237" s="798" t="s">
        <v>2603</v>
      </c>
      <c r="D237" s="1968" t="s">
        <v>2264</v>
      </c>
      <c r="E237" s="1968"/>
      <c r="F237" s="1968"/>
      <c r="I237" s="1773" t="s">
        <v>2470</v>
      </c>
    </row>
    <row r="238" spans="1:9" ht="14.25">
      <c r="A238" s="797"/>
      <c r="B238" s="797"/>
      <c r="D238" s="1968"/>
      <c r="E238" s="1968"/>
      <c r="F238" s="1968"/>
    </row>
    <row r="239" spans="1:9" ht="14.25">
      <c r="A239" s="797"/>
      <c r="B239" s="797"/>
      <c r="D239" s="1968"/>
      <c r="E239" s="1968"/>
      <c r="F239" s="1968"/>
    </row>
    <row r="240" spans="1:9" ht="14.25">
      <c r="A240" s="797"/>
      <c r="B240" s="797"/>
      <c r="D240" s="1969" t="s">
        <v>963</v>
      </c>
      <c r="E240" s="1969"/>
      <c r="F240" s="1969"/>
    </row>
    <row r="241" spans="1:9" ht="14.25">
      <c r="A241" s="797"/>
      <c r="B241" s="797"/>
      <c r="D241" s="800"/>
      <c r="E241" s="800"/>
      <c r="F241" s="800"/>
    </row>
    <row r="242" spans="1:9" ht="14.45" customHeight="1">
      <c r="A242" s="797"/>
      <c r="B242" s="798" t="s">
        <v>2603</v>
      </c>
      <c r="D242" s="1968" t="s">
        <v>1291</v>
      </c>
      <c r="E242" s="1968"/>
      <c r="F242" s="1968"/>
      <c r="I242" s="1773" t="s">
        <v>2490</v>
      </c>
    </row>
    <row r="243" spans="1:9" ht="14.25">
      <c r="A243" s="797"/>
      <c r="B243" s="797"/>
      <c r="D243" s="1968"/>
      <c r="E243" s="1968"/>
      <c r="F243" s="1968"/>
    </row>
    <row r="244" spans="1:9" ht="14.25">
      <c r="A244" s="797"/>
      <c r="B244" s="797"/>
      <c r="D244" s="1968"/>
      <c r="E244" s="1968"/>
      <c r="F244" s="1968"/>
    </row>
    <row r="245" spans="1:9" ht="14.25">
      <c r="A245" s="797"/>
      <c r="B245" s="797"/>
      <c r="D245" s="1968"/>
      <c r="E245" s="1968"/>
      <c r="F245" s="1968"/>
    </row>
    <row r="246" spans="1:9" ht="14.25">
      <c r="A246" s="797"/>
      <c r="B246" s="797"/>
      <c r="D246" s="1968"/>
      <c r="E246" s="1968"/>
      <c r="F246" s="1968"/>
    </row>
    <row r="247" spans="1:9" ht="14.25">
      <c r="A247" s="797"/>
      <c r="B247" s="797"/>
      <c r="D247" s="1723"/>
      <c r="E247" s="1723"/>
      <c r="F247" s="1723"/>
    </row>
    <row r="248" spans="1:9" ht="14.25">
      <c r="A248" s="797"/>
      <c r="B248" s="798" t="s">
        <v>2604</v>
      </c>
      <c r="D248" s="1722" t="s">
        <v>2261</v>
      </c>
      <c r="E248" s="1723"/>
      <c r="F248" s="1723"/>
      <c r="I248" s="1773" t="s">
        <v>2469</v>
      </c>
    </row>
    <row r="249" spans="1:9" ht="14.25">
      <c r="A249" s="797"/>
      <c r="B249" s="797"/>
      <c r="D249" s="1722"/>
      <c r="E249" s="1730" t="s">
        <v>2262</v>
      </c>
      <c r="F249" s="1723"/>
    </row>
    <row r="250" spans="1:9">
      <c r="D250" s="800"/>
      <c r="E250" s="800"/>
      <c r="F250" s="800"/>
    </row>
    <row r="251" spans="1:9" ht="14.25">
      <c r="A251" s="797"/>
      <c r="B251" s="798" t="s">
        <v>2604</v>
      </c>
      <c r="D251" s="1932" t="s">
        <v>1290</v>
      </c>
      <c r="E251" s="1932"/>
      <c r="F251" s="1932"/>
    </row>
    <row r="252" spans="1:9" ht="14.25">
      <c r="A252" s="797"/>
      <c r="B252" s="797"/>
      <c r="D252" s="1932"/>
      <c r="E252" s="1932"/>
      <c r="F252" s="1932"/>
    </row>
    <row r="253" spans="1:9">
      <c r="D253" s="821"/>
    </row>
    <row r="254" spans="1:9">
      <c r="A254" s="1897" t="s">
        <v>1164</v>
      </c>
      <c r="B254" s="1897"/>
      <c r="C254" s="1897"/>
      <c r="D254" s="1897"/>
      <c r="E254" s="1897"/>
      <c r="F254" s="1897"/>
      <c r="G254" s="1897"/>
      <c r="H254" s="1852"/>
      <c r="I254" s="1853"/>
    </row>
    <row r="255" spans="1:9">
      <c r="D255" s="821"/>
    </row>
    <row r="256" spans="1:9">
      <c r="C256" s="807"/>
      <c r="D256" s="1887" t="s">
        <v>1293</v>
      </c>
      <c r="E256" s="1887"/>
      <c r="F256" s="1887"/>
    </row>
    <row r="257" spans="1:9">
      <c r="A257" s="793"/>
      <c r="B257" s="793"/>
      <c r="C257" s="793"/>
      <c r="D257" s="800"/>
      <c r="E257" s="800"/>
      <c r="F257" s="800"/>
    </row>
    <row r="258" spans="1:9">
      <c r="A258" s="795"/>
      <c r="B258" s="795"/>
      <c r="C258" s="795"/>
      <c r="D258" s="1887" t="s">
        <v>275</v>
      </c>
      <c r="E258" s="1887"/>
      <c r="F258" s="1887"/>
      <c r="I258" s="1773" t="s">
        <v>2471</v>
      </c>
    </row>
    <row r="259" spans="1:9" ht="14.45" customHeight="1">
      <c r="A259" s="797"/>
      <c r="B259" s="798" t="s">
        <v>2604</v>
      </c>
      <c r="D259" s="2000" t="s">
        <v>1400</v>
      </c>
      <c r="E259" s="2000"/>
      <c r="F259" s="2000"/>
    </row>
    <row r="260" spans="1:9">
      <c r="D260" s="2000"/>
      <c r="E260" s="2000"/>
      <c r="F260" s="2000"/>
    </row>
    <row r="261" spans="1:9">
      <c r="D261" s="1971" t="s">
        <v>954</v>
      </c>
      <c r="E261" s="1971"/>
      <c r="F261" s="1971"/>
    </row>
    <row r="262" spans="1:9">
      <c r="D262" s="800"/>
      <c r="E262" s="800"/>
      <c r="F262" s="800"/>
    </row>
    <row r="263" spans="1:9" ht="14.45" customHeight="1">
      <c r="A263" s="797"/>
      <c r="B263" s="798" t="s">
        <v>2603</v>
      </c>
      <c r="D263" s="1968" t="s">
        <v>2263</v>
      </c>
      <c r="E263" s="1968"/>
      <c r="F263" s="1968"/>
      <c r="I263" s="1773" t="s">
        <v>2491</v>
      </c>
    </row>
    <row r="264" spans="1:9">
      <c r="D264" s="1968"/>
      <c r="E264" s="1968"/>
      <c r="F264" s="1968"/>
    </row>
    <row r="265" spans="1:9">
      <c r="D265" s="1968"/>
      <c r="E265" s="1968"/>
      <c r="F265" s="1968"/>
    </row>
    <row r="266" spans="1:9">
      <c r="D266" s="1968"/>
      <c r="E266" s="1968"/>
      <c r="F266" s="1968"/>
    </row>
    <row r="267" spans="1:9">
      <c r="D267" s="1968"/>
      <c r="E267" s="1968"/>
      <c r="F267" s="1968"/>
    </row>
    <row r="268" spans="1:9">
      <c r="D268" s="1968"/>
      <c r="E268" s="1968"/>
      <c r="F268" s="1968"/>
    </row>
    <row r="269" spans="1:9">
      <c r="D269" s="800"/>
      <c r="E269" s="800"/>
      <c r="F269" s="800"/>
    </row>
    <row r="270" spans="1:9" ht="14.25">
      <c r="A270" s="797"/>
      <c r="B270" s="798" t="s">
        <v>2603</v>
      </c>
      <c r="D270" s="1932" t="s">
        <v>1296</v>
      </c>
      <c r="E270" s="1932"/>
      <c r="F270" s="1932"/>
    </row>
    <row r="271" spans="1:9">
      <c r="D271" s="1932"/>
      <c r="E271" s="1932"/>
      <c r="F271" s="1932"/>
    </row>
    <row r="272" spans="1:9">
      <c r="D272" s="1932"/>
      <c r="E272" s="1932"/>
      <c r="F272" s="1932"/>
    </row>
    <row r="273" spans="1:9">
      <c r="D273" s="822"/>
      <c r="E273" s="800"/>
      <c r="F273" s="800"/>
    </row>
    <row r="274" spans="1:9">
      <c r="A274" s="1897" t="s">
        <v>1165</v>
      </c>
      <c r="B274" s="1897"/>
      <c r="C274" s="1897"/>
      <c r="D274" s="1897"/>
      <c r="E274" s="1897"/>
      <c r="F274" s="1897"/>
      <c r="G274" s="1897"/>
      <c r="H274" s="1852"/>
      <c r="I274" s="1853"/>
    </row>
    <row r="275" spans="1:9">
      <c r="D275" s="822"/>
      <c r="E275" s="800"/>
      <c r="F275" s="800"/>
    </row>
    <row r="276" spans="1:9">
      <c r="C276" s="793"/>
      <c r="D276" s="1970" t="s">
        <v>1298</v>
      </c>
      <c r="E276" s="1970"/>
      <c r="F276" s="1970"/>
    </row>
    <row r="277" spans="1:9">
      <c r="C277" s="793"/>
      <c r="D277" s="1970"/>
      <c r="E277" s="1970"/>
      <c r="F277" s="1970"/>
    </row>
    <row r="278" spans="1:9">
      <c r="A278" s="795"/>
      <c r="B278" s="795"/>
      <c r="C278" s="795"/>
      <c r="D278" s="622"/>
      <c r="E278" s="672"/>
      <c r="F278" s="672"/>
    </row>
    <row r="279" spans="1:9">
      <c r="C279" s="795"/>
      <c r="D279" s="1887" t="s">
        <v>215</v>
      </c>
      <c r="E279" s="1887"/>
      <c r="F279" s="1887"/>
    </row>
    <row r="280" spans="1:9" ht="15.75" customHeight="1">
      <c r="A280" s="797"/>
      <c r="B280" s="797"/>
      <c r="D280" s="1980" t="s">
        <v>1299</v>
      </c>
      <c r="E280" s="1980"/>
      <c r="F280" s="1980"/>
    </row>
    <row r="281" spans="1:9">
      <c r="E281" s="800"/>
      <c r="F281" s="800"/>
    </row>
    <row r="282" spans="1:9" ht="14.25">
      <c r="A282" s="797"/>
      <c r="B282" s="798" t="s">
        <v>2603</v>
      </c>
      <c r="D282" s="1932" t="s">
        <v>1300</v>
      </c>
      <c r="E282" s="1932"/>
      <c r="F282" s="1932"/>
      <c r="I282" s="1773" t="s">
        <v>2433</v>
      </c>
    </row>
    <row r="283" spans="1:9" ht="14.25">
      <c r="A283" s="797"/>
      <c r="B283" s="797"/>
      <c r="D283" s="1932"/>
      <c r="E283" s="1932"/>
      <c r="F283" s="1932"/>
    </row>
    <row r="284" spans="1:9">
      <c r="D284" s="800"/>
      <c r="E284" s="800"/>
      <c r="F284" s="800"/>
    </row>
    <row r="285" spans="1:9" ht="14.25">
      <c r="A285" s="797"/>
      <c r="B285" s="798" t="s">
        <v>2603</v>
      </c>
      <c r="D285" s="1968" t="s">
        <v>1301</v>
      </c>
      <c r="E285" s="1968"/>
      <c r="F285" s="1968"/>
      <c r="I285" s="1773" t="s">
        <v>2433</v>
      </c>
    </row>
    <row r="286" spans="1:9" ht="14.25">
      <c r="A286" s="797"/>
      <c r="B286" s="797"/>
      <c r="D286" s="1968"/>
      <c r="E286" s="1968"/>
      <c r="F286" s="1968"/>
    </row>
    <row r="287" spans="1:9" ht="14.25">
      <c r="A287" s="797"/>
      <c r="B287" s="797"/>
      <c r="D287" s="1968"/>
      <c r="E287" s="1968"/>
      <c r="F287" s="1968"/>
    </row>
    <row r="288" spans="1:9">
      <c r="D288" s="800"/>
      <c r="E288" s="800"/>
      <c r="F288" s="800"/>
    </row>
    <row r="289" spans="1:9" ht="14.25">
      <c r="A289" s="797"/>
      <c r="B289" s="798" t="s">
        <v>2603</v>
      </c>
      <c r="D289" s="1932" t="s">
        <v>1302</v>
      </c>
      <c r="E289" s="1932"/>
      <c r="F289" s="1932"/>
      <c r="I289" s="1773" t="s">
        <v>2433</v>
      </c>
    </row>
    <row r="290" spans="1:9" ht="14.25">
      <c r="A290" s="797"/>
      <c r="B290" s="797"/>
      <c r="D290" s="1932"/>
      <c r="E290" s="1932"/>
      <c r="F290" s="1932"/>
    </row>
    <row r="291" spans="1:9">
      <c r="A291" s="816"/>
      <c r="B291" s="816"/>
      <c r="E291" s="800"/>
      <c r="F291" s="800"/>
    </row>
    <row r="292" spans="1:9">
      <c r="A292" s="1897" t="s">
        <v>1166</v>
      </c>
      <c r="B292" s="1897"/>
      <c r="C292" s="1897"/>
      <c r="D292" s="1897"/>
      <c r="E292" s="1897"/>
      <c r="F292" s="1897"/>
      <c r="G292" s="1897"/>
      <c r="H292" s="1852"/>
      <c r="I292" s="1853"/>
    </row>
    <row r="293" spans="1:9">
      <c r="A293" s="816"/>
      <c r="B293" s="816"/>
      <c r="D293" s="800"/>
      <c r="E293" s="800"/>
      <c r="F293" s="800"/>
    </row>
    <row r="294" spans="1:9">
      <c r="C294" s="816"/>
      <c r="D294" s="1887" t="s">
        <v>719</v>
      </c>
      <c r="E294" s="1887"/>
      <c r="F294" s="1887"/>
    </row>
    <row r="295" spans="1:9">
      <c r="C295" s="816"/>
      <c r="D295" s="1937" t="s">
        <v>1303</v>
      </c>
      <c r="E295" s="1937"/>
      <c r="F295" s="1937"/>
    </row>
    <row r="296" spans="1:9">
      <c r="C296" s="816"/>
      <c r="D296" s="823"/>
    </row>
    <row r="297" spans="1:9">
      <c r="A297" s="801"/>
      <c r="B297" s="798" t="s">
        <v>2603</v>
      </c>
      <c r="D297" s="1937" t="s">
        <v>1304</v>
      </c>
      <c r="E297" s="1937"/>
      <c r="F297" s="1937"/>
      <c r="I297" s="1773" t="s">
        <v>2434</v>
      </c>
    </row>
    <row r="298" spans="1:9" s="791" customFormat="1" ht="14.25">
      <c r="A298" s="805"/>
      <c r="B298" s="805"/>
      <c r="C298" s="801"/>
      <c r="D298" s="824"/>
      <c r="E298" s="825"/>
      <c r="F298" s="825"/>
      <c r="G298" s="802"/>
      <c r="I298" s="1836"/>
    </row>
    <row r="299" spans="1:9" s="791" customFormat="1" ht="13.7" customHeight="1">
      <c r="A299" s="801"/>
      <c r="B299" s="798" t="s">
        <v>2603</v>
      </c>
      <c r="C299" s="801"/>
      <c r="D299" s="1975" t="s">
        <v>1429</v>
      </c>
      <c r="E299" s="1975"/>
      <c r="F299" s="1975"/>
      <c r="G299" s="802"/>
      <c r="I299" s="1836" t="s">
        <v>2434</v>
      </c>
    </row>
    <row r="300" spans="1:9" s="791" customFormat="1" ht="14.25">
      <c r="A300" s="805"/>
      <c r="B300" s="805"/>
      <c r="C300" s="801"/>
      <c r="D300" s="1975"/>
      <c r="E300" s="1975"/>
      <c r="F300" s="1975"/>
      <c r="G300" s="802"/>
      <c r="I300" s="1836"/>
    </row>
    <row r="301" spans="1:9" s="791" customFormat="1" ht="14.25">
      <c r="A301" s="805"/>
      <c r="B301" s="805"/>
      <c r="C301" s="801"/>
      <c r="D301" s="1975"/>
      <c r="E301" s="1975"/>
      <c r="F301" s="1975"/>
      <c r="G301" s="802"/>
      <c r="I301" s="1836"/>
    </row>
    <row r="302" spans="1:9" s="791" customFormat="1" ht="14.25">
      <c r="A302" s="805"/>
      <c r="B302" s="805"/>
      <c r="C302" s="801"/>
      <c r="D302" s="1975"/>
      <c r="E302" s="1975"/>
      <c r="F302" s="1975"/>
      <c r="G302" s="802"/>
      <c r="I302" s="1836"/>
    </row>
    <row r="303" spans="1:9" s="791" customFormat="1" ht="14.25">
      <c r="A303" s="805"/>
      <c r="B303" s="805"/>
      <c r="C303" s="801"/>
      <c r="D303" s="1975"/>
      <c r="E303" s="1975"/>
      <c r="F303" s="1975"/>
      <c r="G303" s="802"/>
      <c r="I303" s="1836"/>
    </row>
    <row r="304" spans="1:9" s="791" customFormat="1" ht="14.25">
      <c r="A304" s="805"/>
      <c r="B304" s="805"/>
      <c r="C304" s="801"/>
      <c r="D304" s="824"/>
      <c r="E304" s="825"/>
      <c r="F304" s="825"/>
      <c r="G304" s="802"/>
      <c r="I304" s="1836"/>
    </row>
    <row r="305" spans="1:9" s="791" customFormat="1" ht="13.7" customHeight="1">
      <c r="A305" s="801"/>
      <c r="B305" s="798" t="s">
        <v>2603</v>
      </c>
      <c r="C305" s="801"/>
      <c r="D305" s="1975" t="s">
        <v>1306</v>
      </c>
      <c r="E305" s="1975"/>
      <c r="F305" s="1975"/>
      <c r="G305" s="802"/>
      <c r="I305" s="1836" t="s">
        <v>2434</v>
      </c>
    </row>
    <row r="306" spans="1:9" s="791" customFormat="1">
      <c r="A306" s="801"/>
      <c r="B306" s="801"/>
      <c r="C306" s="801"/>
      <c r="D306" s="1975"/>
      <c r="E306" s="1975"/>
      <c r="F306" s="1975"/>
      <c r="G306" s="802"/>
      <c r="I306" s="1836"/>
    </row>
    <row r="307" spans="1:9" s="791" customFormat="1" ht="14.25">
      <c r="A307" s="805"/>
      <c r="B307" s="805"/>
      <c r="C307" s="801"/>
      <c r="D307" s="824"/>
      <c r="E307" s="825"/>
      <c r="F307" s="825"/>
      <c r="G307" s="802"/>
      <c r="I307" s="1836"/>
    </row>
    <row r="308" spans="1:9">
      <c r="A308" s="801"/>
      <c r="B308" s="798" t="s">
        <v>2603</v>
      </c>
      <c r="D308" s="1937" t="s">
        <v>1307</v>
      </c>
      <c r="E308" s="1937"/>
      <c r="F308" s="1937"/>
      <c r="I308" s="1773" t="s">
        <v>2420</v>
      </c>
    </row>
    <row r="309" spans="1:9">
      <c r="E309" s="800"/>
      <c r="F309" s="800"/>
    </row>
    <row r="310" spans="1:9" ht="14.25">
      <c r="A310" s="797"/>
      <c r="B310" s="798" t="s">
        <v>2603</v>
      </c>
      <c r="D310" s="1968" t="s">
        <v>1456</v>
      </c>
      <c r="E310" s="1968"/>
      <c r="F310" s="1968"/>
      <c r="I310" s="1773" t="s">
        <v>2435</v>
      </c>
    </row>
    <row r="311" spans="1:9" ht="14.25">
      <c r="A311" s="797"/>
      <c r="B311" s="797"/>
      <c r="D311" s="1968"/>
      <c r="E311" s="1968"/>
      <c r="F311" s="1968"/>
    </row>
    <row r="312" spans="1:9" ht="14.25">
      <c r="A312" s="797"/>
      <c r="B312" s="797"/>
      <c r="D312" s="1968"/>
      <c r="E312" s="1968"/>
      <c r="F312" s="1968"/>
    </row>
    <row r="313" spans="1:9" ht="14.25">
      <c r="A313" s="797"/>
      <c r="B313" s="797"/>
      <c r="D313" s="1968"/>
      <c r="E313" s="1968"/>
      <c r="F313" s="1968"/>
    </row>
    <row r="314" spans="1:9" ht="14.25">
      <c r="A314" s="797"/>
      <c r="B314" s="797"/>
      <c r="D314" s="1968"/>
      <c r="E314" s="1968"/>
      <c r="F314" s="1968"/>
    </row>
    <row r="315" spans="1:9" ht="14.25">
      <c r="A315" s="797"/>
      <c r="B315" s="797"/>
      <c r="D315" s="1968"/>
      <c r="E315" s="1968"/>
      <c r="F315" s="1968"/>
    </row>
    <row r="316" spans="1:9" ht="14.25">
      <c r="A316" s="797"/>
      <c r="B316" s="797"/>
      <c r="D316" s="1968"/>
      <c r="E316" s="1968"/>
      <c r="F316" s="1968"/>
    </row>
    <row r="317" spans="1:9" ht="14.25">
      <c r="A317" s="797"/>
      <c r="B317" s="797"/>
      <c r="D317" s="1968"/>
      <c r="E317" s="1968"/>
      <c r="F317" s="1968"/>
    </row>
    <row r="318" spans="1:9" ht="14.25">
      <c r="A318" s="797"/>
      <c r="B318" s="797"/>
      <c r="D318" s="1968"/>
      <c r="E318" s="1968"/>
      <c r="F318" s="1968"/>
    </row>
    <row r="319" spans="1:9" ht="14.25">
      <c r="A319" s="797"/>
      <c r="B319" s="797"/>
      <c r="D319" s="1968"/>
      <c r="E319" s="1968"/>
      <c r="F319" s="1968"/>
    </row>
    <row r="320" spans="1:9" ht="14.25">
      <c r="A320" s="797"/>
      <c r="B320" s="797"/>
      <c r="D320" s="1968"/>
      <c r="E320" s="1968"/>
      <c r="F320" s="1968"/>
    </row>
    <row r="321" spans="1:9" ht="14.25">
      <c r="A321" s="797"/>
      <c r="B321" s="797"/>
      <c r="D321" s="1968"/>
      <c r="E321" s="1968"/>
      <c r="F321" s="1968"/>
    </row>
    <row r="322" spans="1:9" ht="14.25">
      <c r="A322" s="797"/>
      <c r="B322" s="797"/>
      <c r="D322" s="1968"/>
      <c r="E322" s="1968"/>
      <c r="F322" s="1968"/>
    </row>
    <row r="323" spans="1:9" ht="14.25">
      <c r="A323" s="797"/>
      <c r="B323" s="797"/>
      <c r="D323" s="1968"/>
      <c r="E323" s="1968"/>
      <c r="F323" s="1968"/>
    </row>
    <row r="324" spans="1:9" ht="14.25">
      <c r="A324" s="797"/>
      <c r="B324" s="797"/>
      <c r="D324" s="1968"/>
      <c r="E324" s="1968"/>
      <c r="F324" s="1968"/>
    </row>
    <row r="325" spans="1:9">
      <c r="D325" s="800"/>
      <c r="E325" s="800"/>
      <c r="F325" s="800"/>
    </row>
    <row r="326" spans="1:9" ht="14.25">
      <c r="A326" s="797"/>
      <c r="B326" s="798" t="s">
        <v>2603</v>
      </c>
      <c r="D326" s="1968" t="s">
        <v>1309</v>
      </c>
      <c r="E326" s="1968"/>
      <c r="F326" s="1968"/>
      <c r="I326" s="1773" t="s">
        <v>2435</v>
      </c>
    </row>
    <row r="327" spans="1:9">
      <c r="D327" s="1968"/>
      <c r="E327" s="1968"/>
      <c r="F327" s="1968"/>
    </row>
    <row r="328" spans="1:9">
      <c r="D328" s="1968"/>
      <c r="E328" s="1968"/>
      <c r="F328" s="1968"/>
    </row>
    <row r="329" spans="1:9">
      <c r="D329" s="1968"/>
      <c r="E329" s="1968"/>
      <c r="F329" s="1968"/>
    </row>
    <row r="330" spans="1:9">
      <c r="D330" s="1968"/>
      <c r="E330" s="1968"/>
      <c r="F330" s="1968"/>
    </row>
    <row r="331" spans="1:9">
      <c r="D331" s="1968"/>
      <c r="E331" s="1968"/>
      <c r="F331" s="1968"/>
    </row>
    <row r="332" spans="1:9">
      <c r="D332" s="1968"/>
      <c r="E332" s="1968"/>
      <c r="F332" s="1968"/>
    </row>
    <row r="333" spans="1:9">
      <c r="D333" s="1968"/>
      <c r="E333" s="1968"/>
      <c r="F333" s="1968"/>
    </row>
    <row r="334" spans="1:9">
      <c r="D334" s="1968"/>
      <c r="E334" s="1968"/>
      <c r="F334" s="1968"/>
    </row>
    <row r="335" spans="1:9">
      <c r="D335" s="800"/>
      <c r="E335" s="800"/>
      <c r="F335" s="800"/>
    </row>
    <row r="336" spans="1:9" ht="14.25">
      <c r="A336" s="797"/>
      <c r="B336" s="798" t="s">
        <v>2603</v>
      </c>
      <c r="D336" s="1932" t="s">
        <v>1506</v>
      </c>
      <c r="E336" s="1932"/>
      <c r="F336" s="1932"/>
      <c r="I336" s="1773" t="s">
        <v>2472</v>
      </c>
    </row>
    <row r="337" spans="1:9">
      <c r="D337" s="1932"/>
      <c r="E337" s="1932"/>
      <c r="F337" s="1932"/>
      <c r="G337" s="790"/>
    </row>
    <row r="338" spans="1:9">
      <c r="D338" s="1932"/>
      <c r="E338" s="1932"/>
      <c r="F338" s="1932"/>
      <c r="G338" s="790"/>
    </row>
    <row r="339" spans="1:9">
      <c r="D339" s="1932"/>
      <c r="E339" s="1932"/>
      <c r="F339" s="1932"/>
      <c r="G339" s="790"/>
    </row>
    <row r="340" spans="1:9">
      <c r="D340" s="1932"/>
      <c r="E340" s="1932"/>
      <c r="F340" s="1932"/>
      <c r="G340" s="790"/>
    </row>
    <row r="341" spans="1:9">
      <c r="D341" s="1932"/>
      <c r="E341" s="1932"/>
      <c r="F341" s="1932"/>
      <c r="G341" s="790"/>
    </row>
    <row r="342" spans="1:9" s="1771" customFormat="1">
      <c r="A342" s="788"/>
      <c r="B342" s="788"/>
      <c r="C342" s="788"/>
      <c r="D342" s="1826"/>
      <c r="E342" s="1826"/>
      <c r="F342" s="1826"/>
      <c r="I342" s="1773"/>
    </row>
    <row r="343" spans="1:9" ht="13.5" thickBot="1">
      <c r="A343" s="1827"/>
      <c r="B343" s="1827"/>
      <c r="C343" s="1827"/>
      <c r="D343" s="1999" t="s">
        <v>1059</v>
      </c>
      <c r="E343" s="1999"/>
      <c r="F343" s="1999"/>
      <c r="G343" s="1850"/>
      <c r="H343" s="1850"/>
      <c r="I343" s="1851"/>
    </row>
    <row r="344" spans="1:9" ht="13.5" thickTop="1">
      <c r="D344" s="1976" t="s">
        <v>1311</v>
      </c>
      <c r="E344" s="1976"/>
      <c r="F344" s="1976"/>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ht="14.25">
      <c r="A347" s="797"/>
      <c r="B347" s="798" t="s">
        <v>2603</v>
      </c>
      <c r="C347" s="829"/>
      <c r="D347" s="1937" t="s">
        <v>1320</v>
      </c>
      <c r="E347" s="1937"/>
      <c r="F347" s="1937"/>
      <c r="I347" s="1965" t="s">
        <v>2487</v>
      </c>
    </row>
    <row r="348" spans="1:9" ht="12.75" customHeight="1">
      <c r="D348" s="1941" t="s">
        <v>1454</v>
      </c>
      <c r="E348" s="1941"/>
      <c r="F348" s="1941"/>
      <c r="I348" s="1966"/>
    </row>
    <row r="349" spans="1:9">
      <c r="D349" s="1968" t="s">
        <v>1453</v>
      </c>
      <c r="E349" s="1968"/>
      <c r="F349" s="1968"/>
      <c r="I349" s="1966"/>
    </row>
    <row r="350" spans="1:9">
      <c r="D350" s="1968"/>
      <c r="E350" s="1968"/>
      <c r="F350" s="1968"/>
      <c r="I350" s="1966"/>
    </row>
    <row r="351" spans="1:9">
      <c r="D351" s="1968"/>
      <c r="E351" s="1968"/>
      <c r="F351" s="1968"/>
      <c r="I351" s="1967"/>
    </row>
    <row r="352" spans="1:9" ht="14.25">
      <c r="A352" s="797"/>
      <c r="B352" s="798" t="s">
        <v>2603</v>
      </c>
      <c r="C352" s="814"/>
      <c r="D352" s="1944" t="s">
        <v>1312</v>
      </c>
      <c r="E352" s="1944"/>
      <c r="F352" s="1944"/>
      <c r="G352" s="790"/>
      <c r="I352" s="619"/>
    </row>
    <row r="353" spans="1:9">
      <c r="A353" s="814"/>
      <c r="B353" s="814"/>
      <c r="C353" s="814"/>
      <c r="D353" s="786"/>
      <c r="E353" s="786"/>
      <c r="F353" s="800"/>
      <c r="G353" s="790"/>
    </row>
    <row r="354" spans="1:9">
      <c r="A354" s="814"/>
      <c r="B354" s="798" t="s">
        <v>2603</v>
      </c>
      <c r="C354" s="814"/>
      <c r="D354" s="1928" t="s">
        <v>1432</v>
      </c>
      <c r="E354" s="1928"/>
      <c r="F354" s="1928"/>
      <c r="G354" s="790"/>
    </row>
    <row r="355" spans="1:9">
      <c r="A355" s="814"/>
      <c r="B355" s="814"/>
      <c r="C355" s="814"/>
      <c r="D355" s="1928"/>
      <c r="E355" s="1928"/>
      <c r="F355" s="1928"/>
      <c r="G355" s="790"/>
    </row>
    <row r="356" spans="1:9">
      <c r="A356" s="814"/>
      <c r="B356" s="814"/>
      <c r="C356" s="814"/>
      <c r="D356" s="1928"/>
      <c r="E356" s="1928"/>
      <c r="F356" s="1928"/>
      <c r="G356" s="790"/>
    </row>
    <row r="357" spans="1:9">
      <c r="A357" s="814"/>
      <c r="B357" s="814"/>
      <c r="C357" s="814"/>
      <c r="D357" s="1928"/>
      <c r="E357" s="1928"/>
      <c r="F357" s="1928"/>
      <c r="G357" s="790"/>
    </row>
    <row r="358" spans="1:9">
      <c r="A358" s="814"/>
      <c r="B358" s="814"/>
      <c r="C358" s="814"/>
      <c r="D358" s="1928"/>
      <c r="E358" s="1928"/>
      <c r="F358" s="1928"/>
      <c r="G358" s="790"/>
    </row>
    <row r="359" spans="1:9">
      <c r="A359" s="814"/>
      <c r="B359" s="814"/>
      <c r="C359" s="814"/>
      <c r="D359" s="1928"/>
      <c r="E359" s="1928"/>
      <c r="F359" s="1928"/>
      <c r="G359" s="790"/>
    </row>
    <row r="360" spans="1:9">
      <c r="A360" s="814"/>
      <c r="B360" s="814"/>
      <c r="C360" s="814"/>
      <c r="D360" s="1928"/>
      <c r="E360" s="1928"/>
      <c r="F360" s="1928"/>
      <c r="G360" s="790"/>
    </row>
    <row r="361" spans="1:9">
      <c r="A361" s="814"/>
      <c r="B361" s="814"/>
      <c r="C361" s="814"/>
      <c r="D361" s="1928"/>
      <c r="E361" s="1928"/>
      <c r="F361" s="1928"/>
      <c r="G361" s="790"/>
    </row>
    <row r="362" spans="1:9">
      <c r="A362" s="814"/>
      <c r="B362" s="814"/>
      <c r="C362" s="814"/>
      <c r="D362" s="1928"/>
      <c r="E362" s="1928"/>
      <c r="F362" s="1928"/>
      <c r="G362" s="790"/>
    </row>
    <row r="363" spans="1:9">
      <c r="A363" s="814"/>
      <c r="B363" s="814"/>
      <c r="C363" s="814"/>
      <c r="D363" s="1928"/>
      <c r="E363" s="1928"/>
      <c r="F363" s="1928"/>
      <c r="G363" s="790"/>
    </row>
    <row r="364" spans="1:9">
      <c r="A364" s="814"/>
      <c r="B364" s="814"/>
      <c r="C364" s="814"/>
      <c r="D364" s="1928"/>
      <c r="E364" s="1928"/>
      <c r="F364" s="1928"/>
      <c r="G364" s="790"/>
    </row>
    <row r="365" spans="1:9">
      <c r="A365" s="814"/>
      <c r="B365" s="814"/>
      <c r="C365" s="814"/>
      <c r="D365" s="1928"/>
      <c r="E365" s="1928"/>
      <c r="F365" s="1928"/>
      <c r="G365" s="790"/>
    </row>
    <row r="366" spans="1:9" s="1771" customFormat="1">
      <c r="A366" s="1776"/>
      <c r="B366" s="1776"/>
      <c r="C366" s="1776"/>
      <c r="D366" s="1778"/>
      <c r="E366" s="1778"/>
      <c r="F366" s="1778"/>
      <c r="I366" s="1773"/>
    </row>
    <row r="367" spans="1:9" ht="12.6" customHeight="1">
      <c r="A367" s="814"/>
      <c r="B367" s="798" t="s">
        <v>2603</v>
      </c>
      <c r="C367" s="814"/>
      <c r="D367" s="1972" t="s">
        <v>1433</v>
      </c>
      <c r="E367" s="1972"/>
      <c r="F367" s="1972"/>
      <c r="G367" s="790"/>
    </row>
    <row r="368" spans="1:9">
      <c r="A368" s="814"/>
      <c r="B368" s="814"/>
      <c r="C368" s="814"/>
      <c r="D368" s="1972"/>
      <c r="E368" s="1972"/>
      <c r="F368" s="1972"/>
      <c r="G368" s="790"/>
    </row>
    <row r="369" spans="1:9">
      <c r="A369" s="814"/>
      <c r="B369" s="814"/>
      <c r="C369" s="814"/>
      <c r="D369" s="1972"/>
      <c r="E369" s="1972"/>
      <c r="F369" s="1972"/>
      <c r="G369" s="790"/>
    </row>
    <row r="370" spans="1:9">
      <c r="A370" s="814"/>
      <c r="B370" s="814"/>
      <c r="C370" s="814"/>
      <c r="D370" s="1972"/>
      <c r="E370" s="1972"/>
      <c r="F370" s="1972"/>
      <c r="G370" s="790"/>
    </row>
    <row r="371" spans="1:9" s="1771" customFormat="1">
      <c r="A371" s="1776"/>
      <c r="B371" s="1776"/>
      <c r="C371" s="1776"/>
      <c r="D371" s="1777"/>
      <c r="E371" s="1777"/>
      <c r="F371" s="1777"/>
      <c r="I371" s="1773"/>
    </row>
    <row r="372" spans="1:9" s="1771" customFormat="1">
      <c r="A372" s="1776"/>
      <c r="B372" s="1774" t="s">
        <v>2603</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ht="14.25">
      <c r="A379" s="797"/>
      <c r="B379" s="798" t="s">
        <v>2603</v>
      </c>
      <c r="C379" s="814"/>
      <c r="D379" s="1947" t="s">
        <v>1314</v>
      </c>
      <c r="E379" s="1947"/>
      <c r="F379" s="1947"/>
      <c r="G379" s="790"/>
    </row>
    <row r="380" spans="1:9">
      <c r="A380" s="814"/>
      <c r="B380" s="814"/>
      <c r="C380" s="814"/>
      <c r="D380" s="1947"/>
      <c r="E380" s="1947"/>
      <c r="F380" s="1947"/>
      <c r="G380" s="790"/>
    </row>
    <row r="381" spans="1:9">
      <c r="A381" s="814"/>
      <c r="B381" s="814"/>
      <c r="C381" s="814"/>
      <c r="D381" s="1947"/>
      <c r="E381" s="1947"/>
      <c r="F381" s="1947"/>
      <c r="G381" s="790"/>
    </row>
    <row r="382" spans="1:9">
      <c r="A382" s="814"/>
      <c r="B382" s="814"/>
      <c r="C382" s="814"/>
      <c r="D382" s="1947"/>
      <c r="E382" s="1947"/>
      <c r="F382" s="1947"/>
      <c r="G382" s="790"/>
    </row>
    <row r="383" spans="1:9">
      <c r="A383" s="814"/>
      <c r="B383" s="814"/>
      <c r="C383" s="814"/>
      <c r="D383" s="826"/>
      <c r="E383" s="786"/>
      <c r="F383" s="800"/>
      <c r="G383" s="790"/>
    </row>
    <row r="384" spans="1:9">
      <c r="A384" s="814"/>
      <c r="B384" s="814"/>
      <c r="C384" s="814"/>
      <c r="D384" s="1947" t="s">
        <v>1315</v>
      </c>
      <c r="E384" s="1947"/>
      <c r="F384" s="1947"/>
      <c r="G384" s="790"/>
    </row>
    <row r="385" spans="1:7">
      <c r="A385" s="814"/>
      <c r="B385" s="814"/>
      <c r="C385" s="814"/>
      <c r="D385" s="1947"/>
      <c r="E385" s="1947"/>
      <c r="F385" s="1947"/>
      <c r="G385" s="790"/>
    </row>
    <row r="386" spans="1:7">
      <c r="A386" s="814"/>
      <c r="B386" s="814"/>
      <c r="C386" s="814"/>
      <c r="D386" s="1947"/>
      <c r="E386" s="1947"/>
      <c r="F386" s="1947"/>
      <c r="G386" s="790"/>
    </row>
    <row r="387" spans="1:7">
      <c r="A387" s="814"/>
      <c r="B387" s="814"/>
      <c r="C387" s="814"/>
      <c r="D387" s="1947"/>
      <c r="E387" s="1947"/>
      <c r="F387" s="1947"/>
      <c r="G387" s="790"/>
    </row>
    <row r="388" spans="1:7" ht="18" customHeight="1">
      <c r="A388" s="814"/>
      <c r="B388" s="814"/>
      <c r="C388" s="814"/>
      <c r="D388" s="1947"/>
      <c r="E388" s="1947"/>
      <c r="F388" s="1947"/>
      <c r="G388" s="790"/>
    </row>
    <row r="389" spans="1:7">
      <c r="A389" s="814"/>
      <c r="B389" s="814"/>
      <c r="C389" s="814"/>
      <c r="D389" s="1947"/>
      <c r="E389" s="1947"/>
      <c r="F389" s="1947"/>
      <c r="G389" s="790"/>
    </row>
    <row r="390" spans="1:7">
      <c r="A390" s="814"/>
      <c r="B390" s="814"/>
      <c r="C390" s="814"/>
      <c r="D390" s="1947"/>
      <c r="E390" s="1947"/>
      <c r="F390" s="1947"/>
      <c r="G390" s="790"/>
    </row>
    <row r="391" spans="1:7">
      <c r="A391" s="814"/>
      <c r="B391" s="814"/>
      <c r="C391" s="814"/>
      <c r="D391" s="1947"/>
      <c r="E391" s="1947"/>
      <c r="F391" s="1947"/>
      <c r="G391" s="790"/>
    </row>
    <row r="392" spans="1:7" ht="8.25" customHeight="1">
      <c r="A392" s="814"/>
      <c r="B392" s="814"/>
      <c r="C392" s="814"/>
      <c r="D392" s="1947"/>
      <c r="E392" s="1947"/>
      <c r="F392" s="1947"/>
      <c r="G392" s="790"/>
    </row>
    <row r="393" spans="1:7" ht="13.7" customHeight="1">
      <c r="A393" s="814"/>
      <c r="B393" s="814"/>
      <c r="C393" s="814"/>
      <c r="D393" s="1940" t="s">
        <v>1316</v>
      </c>
      <c r="E393" s="1940"/>
      <c r="F393" s="1940"/>
      <c r="G393" s="790"/>
    </row>
    <row r="394" spans="1:7">
      <c r="A394" s="814"/>
      <c r="B394" s="814"/>
      <c r="C394" s="814"/>
      <c r="D394" s="1940"/>
      <c r="E394" s="1940"/>
      <c r="F394" s="1940"/>
      <c r="G394" s="790"/>
    </row>
    <row r="395" spans="1:7">
      <c r="A395" s="814"/>
      <c r="B395" s="814"/>
      <c r="C395" s="814"/>
      <c r="D395" s="1940"/>
      <c r="E395" s="1940"/>
      <c r="F395" s="1940"/>
      <c r="G395" s="790"/>
    </row>
    <row r="396" spans="1:7">
      <c r="A396" s="814"/>
      <c r="B396" s="814"/>
      <c r="C396" s="814"/>
      <c r="D396" s="1940"/>
      <c r="E396" s="1940"/>
      <c r="F396" s="1940"/>
      <c r="G396" s="790"/>
    </row>
    <row r="397" spans="1:7">
      <c r="A397" s="814"/>
      <c r="B397" s="814"/>
      <c r="C397" s="814"/>
      <c r="D397" s="1940"/>
      <c r="E397" s="1940"/>
      <c r="F397" s="1940"/>
      <c r="G397" s="790"/>
    </row>
    <row r="398" spans="1:7">
      <c r="A398" s="814"/>
      <c r="B398" s="814"/>
      <c r="C398" s="814"/>
      <c r="D398" s="1940"/>
      <c r="E398" s="1940"/>
      <c r="F398" s="1940"/>
      <c r="G398" s="790"/>
    </row>
    <row r="399" spans="1:7">
      <c r="A399" s="814"/>
      <c r="B399" s="814"/>
      <c r="C399" s="814"/>
      <c r="D399" s="1940"/>
      <c r="E399" s="1940"/>
      <c r="F399" s="1940"/>
      <c r="G399" s="790"/>
    </row>
    <row r="400" spans="1:7">
      <c r="A400" s="814"/>
      <c r="B400" s="814"/>
      <c r="C400" s="814"/>
      <c r="D400" s="1940"/>
      <c r="E400" s="1940"/>
      <c r="F400" s="1940"/>
      <c r="G400" s="790"/>
    </row>
    <row r="401" spans="1:7">
      <c r="A401" s="814"/>
      <c r="B401" s="814"/>
      <c r="C401" s="814"/>
      <c r="D401" s="1940"/>
      <c r="E401" s="1940"/>
      <c r="F401" s="1940"/>
      <c r="G401" s="790"/>
    </row>
    <row r="402" spans="1:7">
      <c r="A402" s="814"/>
      <c r="B402" s="814"/>
      <c r="C402" s="814"/>
      <c r="D402" s="1940"/>
      <c r="E402" s="1940"/>
      <c r="F402" s="1940"/>
      <c r="G402" s="790"/>
    </row>
    <row r="403" spans="1:7">
      <c r="A403" s="814"/>
      <c r="B403" s="814"/>
      <c r="C403" s="814"/>
      <c r="D403" s="1940"/>
      <c r="E403" s="1940"/>
      <c r="F403" s="1940"/>
      <c r="G403" s="790"/>
    </row>
    <row r="404" spans="1:7">
      <c r="A404" s="814"/>
      <c r="B404" s="814"/>
      <c r="C404" s="814"/>
      <c r="D404" s="1940"/>
      <c r="E404" s="1940"/>
      <c r="F404" s="1940"/>
      <c r="G404" s="790"/>
    </row>
    <row r="405" spans="1:7">
      <c r="A405" s="814"/>
      <c r="B405" s="814"/>
      <c r="C405" s="827"/>
      <c r="D405" s="1940"/>
      <c r="E405" s="1940"/>
      <c r="F405" s="1940"/>
      <c r="G405" s="790"/>
    </row>
    <row r="406" spans="1:7">
      <c r="A406" s="814"/>
      <c r="B406" s="814"/>
      <c r="C406" s="827"/>
      <c r="D406" s="1940"/>
      <c r="E406" s="1940"/>
      <c r="F406" s="1940"/>
      <c r="G406" s="790"/>
    </row>
    <row r="407" spans="1:7">
      <c r="A407" s="814"/>
      <c r="B407" s="814"/>
      <c r="C407" s="814"/>
      <c r="D407" s="1940"/>
      <c r="E407" s="1940"/>
      <c r="F407" s="1940"/>
      <c r="G407" s="790"/>
    </row>
    <row r="408" spans="1:7">
      <c r="A408" s="814"/>
      <c r="B408" s="814"/>
      <c r="C408" s="827"/>
      <c r="D408" s="1940"/>
      <c r="E408" s="1940"/>
      <c r="F408" s="1940"/>
      <c r="G408" s="790"/>
    </row>
    <row r="409" spans="1:7">
      <c r="A409" s="814"/>
      <c r="B409" s="814"/>
      <c r="C409" s="827"/>
      <c r="D409" s="1940"/>
      <c r="E409" s="1940"/>
      <c r="F409" s="1940"/>
      <c r="G409" s="790"/>
    </row>
    <row r="410" spans="1:7">
      <c r="A410" s="814"/>
      <c r="B410" s="814"/>
      <c r="C410" s="827"/>
      <c r="D410" s="1940"/>
      <c r="E410" s="1940"/>
      <c r="F410" s="1940"/>
      <c r="G410" s="790"/>
    </row>
    <row r="411" spans="1:7">
      <c r="A411" s="814"/>
      <c r="B411" s="814"/>
      <c r="C411" s="814"/>
      <c r="D411" s="826"/>
      <c r="E411" s="786"/>
      <c r="F411" s="800"/>
      <c r="G411" s="790"/>
    </row>
    <row r="412" spans="1:7">
      <c r="A412" s="814"/>
      <c r="B412" s="798" t="s">
        <v>2603</v>
      </c>
      <c r="C412" s="814"/>
      <c r="D412" s="1940" t="s">
        <v>1317</v>
      </c>
      <c r="E412" s="1940"/>
      <c r="F412" s="1940"/>
      <c r="G412" s="790"/>
    </row>
    <row r="413" spans="1:7">
      <c r="A413" s="814"/>
      <c r="B413" s="814"/>
      <c r="C413" s="814"/>
      <c r="D413" s="1940"/>
      <c r="E413" s="1940"/>
      <c r="F413" s="1940"/>
      <c r="G413" s="790"/>
    </row>
    <row r="414" spans="1:7">
      <c r="A414" s="814"/>
      <c r="B414" s="814"/>
      <c r="C414" s="814"/>
      <c r="D414" s="903"/>
      <c r="E414" s="903"/>
      <c r="F414" s="903"/>
      <c r="G414" s="790"/>
    </row>
    <row r="415" spans="1:7" ht="14.45" customHeight="1">
      <c r="A415" s="797"/>
      <c r="B415" s="798" t="s">
        <v>2603</v>
      </c>
      <c r="D415" s="1940" t="s">
        <v>2473</v>
      </c>
      <c r="E415" s="1940"/>
      <c r="F415" s="1940"/>
    </row>
    <row r="416" spans="1:7" ht="14.45" customHeight="1">
      <c r="A416" s="797"/>
      <c r="D416" s="1940"/>
      <c r="E416" s="1940"/>
      <c r="F416" s="1940"/>
    </row>
    <row r="417" spans="1:7" ht="14.45" customHeight="1">
      <c r="A417" s="797"/>
      <c r="D417" s="1940"/>
      <c r="E417" s="1940"/>
      <c r="F417" s="1940"/>
    </row>
    <row r="418" spans="1:7" ht="14.45" customHeight="1">
      <c r="A418" s="797"/>
      <c r="D418" s="1940"/>
      <c r="E418" s="1940"/>
      <c r="F418" s="1940"/>
    </row>
    <row r="419" spans="1:7" ht="14.45" customHeight="1">
      <c r="A419" s="797"/>
      <c r="D419" s="1940"/>
      <c r="E419" s="1940"/>
      <c r="F419" s="1940"/>
    </row>
    <row r="420" spans="1:7" ht="14.45" customHeight="1">
      <c r="A420" s="797"/>
      <c r="D420" s="878"/>
      <c r="E420" s="878"/>
      <c r="F420" s="878"/>
    </row>
    <row r="421" spans="1:7" ht="13.7" customHeight="1">
      <c r="A421" s="797"/>
      <c r="B421" s="798" t="s">
        <v>2603</v>
      </c>
      <c r="C421" s="814"/>
      <c r="D421" s="1928" t="s">
        <v>1457</v>
      </c>
      <c r="E421" s="1928"/>
      <c r="F421" s="1928"/>
      <c r="G421" s="790"/>
    </row>
    <row r="422" spans="1:7" ht="14.25">
      <c r="A422" s="828"/>
      <c r="B422" s="828"/>
      <c r="C422" s="814"/>
      <c r="D422" s="1928"/>
      <c r="E422" s="1928"/>
      <c r="F422" s="1928"/>
      <c r="G422" s="790"/>
    </row>
    <row r="423" spans="1:7" ht="14.25">
      <c r="A423" s="828"/>
      <c r="B423" s="828"/>
      <c r="C423" s="814"/>
      <c r="D423" s="1928"/>
      <c r="E423" s="1928"/>
      <c r="F423" s="1928"/>
      <c r="G423" s="790"/>
    </row>
    <row r="424" spans="1:7" ht="14.25">
      <c r="A424" s="828"/>
      <c r="B424" s="828"/>
      <c r="C424" s="814"/>
      <c r="D424" s="1928"/>
      <c r="E424" s="1928"/>
      <c r="F424" s="1928"/>
      <c r="G424" s="790"/>
    </row>
    <row r="425" spans="1:7" ht="15.75" customHeight="1">
      <c r="A425" s="828"/>
      <c r="B425" s="828"/>
      <c r="C425" s="814"/>
      <c r="D425" s="1978" t="s">
        <v>1507</v>
      </c>
      <c r="E425" s="1928"/>
      <c r="F425" s="1928"/>
      <c r="G425" s="790"/>
    </row>
    <row r="426" spans="1:7">
      <c r="D426" s="800"/>
      <c r="E426" s="800"/>
      <c r="F426" s="800"/>
      <c r="G426" s="790"/>
    </row>
    <row r="427" spans="1:7" ht="14.25">
      <c r="A427" s="797"/>
      <c r="B427" s="798" t="s">
        <v>2603</v>
      </c>
      <c r="C427" s="829"/>
      <c r="D427" s="1932" t="s">
        <v>1319</v>
      </c>
      <c r="E427" s="1932"/>
      <c r="F427" s="1932"/>
      <c r="G427" s="790"/>
    </row>
    <row r="428" spans="1:7" ht="14.25">
      <c r="A428" s="797"/>
      <c r="B428" s="797"/>
      <c r="D428" s="1932"/>
      <c r="E428" s="1932"/>
      <c r="F428" s="1932"/>
      <c r="G428" s="790"/>
    </row>
    <row r="429" spans="1:7">
      <c r="D429" s="1932"/>
      <c r="E429" s="1932"/>
      <c r="F429" s="1932"/>
      <c r="G429" s="790"/>
    </row>
    <row r="430" spans="1:7">
      <c r="D430" s="1932"/>
      <c r="E430" s="1932"/>
      <c r="F430" s="1932"/>
      <c r="G430" s="790"/>
    </row>
    <row r="431" spans="1:7">
      <c r="D431" s="1932"/>
      <c r="E431" s="1932"/>
      <c r="F431" s="1932"/>
      <c r="G431" s="790"/>
    </row>
    <row r="432" spans="1:7">
      <c r="D432" s="1932"/>
      <c r="E432" s="1932"/>
      <c r="F432" s="1932"/>
      <c r="G432" s="790"/>
    </row>
    <row r="433" spans="1:7">
      <c r="D433" s="1932"/>
      <c r="E433" s="1932"/>
      <c r="F433" s="1932"/>
      <c r="G433" s="790"/>
    </row>
    <row r="434" spans="1:7">
      <c r="D434" s="1932"/>
      <c r="E434" s="1932"/>
      <c r="F434" s="1932"/>
      <c r="G434" s="790"/>
    </row>
    <row r="435" spans="1:7">
      <c r="D435" s="1932"/>
      <c r="E435" s="1932"/>
      <c r="F435" s="1932"/>
      <c r="G435" s="790"/>
    </row>
    <row r="436" spans="1:7">
      <c r="D436" s="1932"/>
      <c r="E436" s="1932"/>
      <c r="F436" s="1932"/>
      <c r="G436" s="790"/>
    </row>
    <row r="437" spans="1:7">
      <c r="D437" s="1932"/>
      <c r="E437" s="1932"/>
      <c r="F437" s="1932"/>
      <c r="G437" s="790"/>
    </row>
    <row r="438" spans="1:7">
      <c r="D438" s="1932"/>
      <c r="E438" s="1932"/>
      <c r="F438" s="1932"/>
      <c r="G438" s="790"/>
    </row>
    <row r="439" spans="1:7">
      <c r="D439" s="1932"/>
      <c r="E439" s="1932"/>
      <c r="F439" s="1932"/>
      <c r="G439" s="790"/>
    </row>
    <row r="440" spans="1:7">
      <c r="A440" s="790"/>
      <c r="B440" s="790"/>
      <c r="C440" s="790"/>
      <c r="D440" s="1932"/>
      <c r="E440" s="1932"/>
      <c r="F440" s="1932"/>
      <c r="G440" s="790"/>
    </row>
    <row r="441" spans="1:7">
      <c r="A441" s="790"/>
      <c r="B441" s="790"/>
      <c r="C441" s="790"/>
      <c r="D441" s="1932"/>
      <c r="E441" s="1932"/>
      <c r="F441" s="1932"/>
      <c r="G441" s="790"/>
    </row>
    <row r="442" spans="1:7">
      <c r="A442" s="790"/>
      <c r="B442" s="790"/>
      <c r="C442" s="790"/>
      <c r="D442" s="1932"/>
      <c r="E442" s="1932"/>
      <c r="F442" s="1932"/>
      <c r="G442" s="790"/>
    </row>
    <row r="443" spans="1:7">
      <c r="A443" s="790"/>
      <c r="B443" s="790"/>
      <c r="C443" s="790"/>
      <c r="D443" s="1932"/>
      <c r="E443" s="1932"/>
      <c r="F443" s="1932"/>
      <c r="G443" s="790"/>
    </row>
    <row r="444" spans="1:7">
      <c r="A444" s="790"/>
      <c r="B444" s="790"/>
      <c r="C444" s="790"/>
      <c r="D444" s="1932"/>
      <c r="E444" s="1932"/>
      <c r="F444" s="1932"/>
      <c r="G444" s="790"/>
    </row>
    <row r="445" spans="1:7">
      <c r="A445" s="790"/>
      <c r="B445" s="790"/>
      <c r="C445" s="790"/>
      <c r="D445" s="1932"/>
      <c r="E445" s="1932"/>
      <c r="F445" s="1932"/>
      <c r="G445" s="790"/>
    </row>
    <row r="446" spans="1:7">
      <c r="A446" s="790"/>
      <c r="B446" s="790"/>
      <c r="C446" s="790"/>
      <c r="D446" s="1932"/>
      <c r="E446" s="1932"/>
      <c r="F446" s="1932"/>
      <c r="G446" s="790"/>
    </row>
    <row r="447" spans="1:7">
      <c r="A447" s="790"/>
      <c r="B447" s="790"/>
      <c r="C447" s="790"/>
      <c r="D447" s="1932"/>
      <c r="E447" s="1932"/>
      <c r="F447" s="1932"/>
      <c r="G447" s="790"/>
    </row>
    <row r="448" spans="1:7">
      <c r="A448" s="790"/>
      <c r="B448" s="790"/>
      <c r="C448" s="790"/>
      <c r="D448" s="1932"/>
      <c r="E448" s="1932"/>
      <c r="F448" s="1932"/>
      <c r="G448" s="790"/>
    </row>
    <row r="449" spans="1:9">
      <c r="A449" s="790"/>
      <c r="B449" s="790"/>
      <c r="C449" s="790"/>
      <c r="D449" s="1932"/>
      <c r="E449" s="1932"/>
      <c r="F449" s="1932"/>
      <c r="G449" s="790"/>
    </row>
    <row r="450" spans="1:9">
      <c r="A450" s="790"/>
      <c r="B450" s="790"/>
      <c r="C450" s="790"/>
      <c r="D450" s="1932"/>
      <c r="E450" s="1932"/>
      <c r="F450" s="1932"/>
      <c r="G450" s="790"/>
    </row>
    <row r="451" spans="1:9">
      <c r="A451" s="790"/>
      <c r="B451" s="790"/>
      <c r="C451" s="790"/>
      <c r="D451" s="1932"/>
      <c r="E451" s="1932"/>
      <c r="F451" s="1932"/>
      <c r="G451" s="790"/>
    </row>
    <row r="452" spans="1:9">
      <c r="A452" s="790"/>
      <c r="B452" s="790"/>
      <c r="C452" s="790"/>
      <c r="D452" s="1932"/>
      <c r="E452" s="1932"/>
      <c r="F452" s="1932"/>
      <c r="G452" s="790"/>
    </row>
    <row r="453" spans="1:9">
      <c r="A453" s="790"/>
      <c r="B453" s="790"/>
      <c r="C453" s="790"/>
      <c r="D453" s="1932"/>
      <c r="E453" s="1932"/>
      <c r="F453" s="1932"/>
      <c r="G453" s="790"/>
    </row>
    <row r="454" spans="1:9">
      <c r="A454" s="790"/>
      <c r="B454" s="790"/>
      <c r="C454" s="790"/>
      <c r="D454" s="1932"/>
      <c r="E454" s="1932"/>
      <c r="F454" s="1932"/>
      <c r="G454" s="790"/>
    </row>
    <row r="455" spans="1:9">
      <c r="A455" s="790"/>
      <c r="B455" s="790"/>
      <c r="C455" s="790"/>
      <c r="D455" s="1932"/>
      <c r="E455" s="1932"/>
      <c r="F455" s="1932"/>
      <c r="G455" s="790"/>
    </row>
    <row r="456" spans="1:9" s="831" customFormat="1">
      <c r="A456" s="788"/>
      <c r="B456" s="788"/>
      <c r="C456" s="788"/>
      <c r="D456" s="1932"/>
      <c r="E456" s="1932"/>
      <c r="F456" s="1932"/>
      <c r="G456" s="830"/>
      <c r="I456" s="1839"/>
    </row>
    <row r="457" spans="1:9" s="831" customFormat="1" ht="40.700000000000003" customHeight="1">
      <c r="A457" s="788"/>
      <c r="B457" s="788"/>
      <c r="C457" s="788"/>
      <c r="D457" s="1932"/>
      <c r="E457" s="1932"/>
      <c r="F457" s="1932"/>
      <c r="G457" s="830"/>
      <c r="I457" s="1839"/>
    </row>
    <row r="458" spans="1:9">
      <c r="D458" s="800"/>
      <c r="E458" s="800"/>
      <c r="F458" s="800"/>
      <c r="G458" s="790"/>
    </row>
    <row r="459" spans="1:9" ht="14.25">
      <c r="A459" s="797"/>
      <c r="B459" s="798" t="s">
        <v>2603</v>
      </c>
      <c r="C459" s="829"/>
      <c r="D459" s="1932" t="s">
        <v>1322</v>
      </c>
      <c r="E459" s="1932"/>
      <c r="F459" s="1932"/>
      <c r="G459" s="790"/>
    </row>
    <row r="460" spans="1:9">
      <c r="D460" s="1932"/>
      <c r="E460" s="1932"/>
      <c r="F460" s="1932"/>
      <c r="G460" s="790"/>
    </row>
    <row r="461" spans="1:9">
      <c r="D461" s="1932"/>
      <c r="E461" s="1932"/>
      <c r="F461" s="1932"/>
      <c r="G461" s="790"/>
    </row>
    <row r="462" spans="1:9">
      <c r="D462" s="784"/>
      <c r="E462" s="784"/>
      <c r="F462" s="784"/>
      <c r="G462" s="790"/>
    </row>
    <row r="463" spans="1:9" ht="14.25">
      <c r="B463" s="798" t="s">
        <v>2603</v>
      </c>
      <c r="C463" s="797"/>
      <c r="D463" s="1968" t="s">
        <v>1401</v>
      </c>
      <c r="E463" s="1968"/>
      <c r="F463" s="1968"/>
      <c r="G463" s="790"/>
    </row>
    <row r="464" spans="1:9">
      <c r="D464" s="1968"/>
      <c r="E464" s="1968"/>
      <c r="F464" s="1968"/>
      <c r="G464" s="790"/>
    </row>
    <row r="465" spans="1:7">
      <c r="D465" s="800"/>
      <c r="E465" s="800"/>
      <c r="F465" s="800"/>
      <c r="G465" s="790"/>
    </row>
    <row r="466" spans="1:7" ht="14.25">
      <c r="B466" s="798" t="s">
        <v>2603</v>
      </c>
      <c r="C466" s="797"/>
      <c r="D466" s="1968" t="s">
        <v>1324</v>
      </c>
      <c r="E466" s="1968"/>
      <c r="F466" s="1968"/>
      <c r="G466" s="790"/>
    </row>
    <row r="467" spans="1:7">
      <c r="D467" s="1968"/>
      <c r="E467" s="1968"/>
      <c r="F467" s="1968"/>
      <c r="G467" s="790"/>
    </row>
    <row r="468" spans="1:7">
      <c r="D468" s="1968"/>
      <c r="E468" s="1968"/>
      <c r="F468" s="1968"/>
      <c r="G468" s="790"/>
    </row>
    <row r="469" spans="1:7">
      <c r="D469" s="1968"/>
      <c r="E469" s="1968"/>
      <c r="F469" s="1968"/>
      <c r="G469" s="790"/>
    </row>
    <row r="470" spans="1:7">
      <c r="B470" s="798" t="s">
        <v>2603</v>
      </c>
      <c r="D470" s="1968"/>
      <c r="E470" s="1968"/>
      <c r="F470" s="1968"/>
      <c r="G470" s="790"/>
    </row>
    <row r="471" spans="1:7">
      <c r="A471" s="790"/>
      <c r="B471" s="790"/>
      <c r="C471" s="790"/>
      <c r="D471" s="1968"/>
      <c r="E471" s="1968"/>
      <c r="F471" s="1968"/>
      <c r="G471" s="790"/>
    </row>
    <row r="472" spans="1:7">
      <c r="A472" s="790"/>
      <c r="C472" s="790"/>
      <c r="D472" s="1968"/>
      <c r="E472" s="1968"/>
      <c r="F472" s="1968"/>
      <c r="G472" s="790"/>
    </row>
    <row r="473" spans="1:7">
      <c r="A473" s="790"/>
      <c r="B473" s="798" t="s">
        <v>2603</v>
      </c>
      <c r="C473" s="790"/>
      <c r="D473" s="1968"/>
      <c r="E473" s="1968"/>
      <c r="F473" s="1968"/>
      <c r="G473" s="790"/>
    </row>
    <row r="474" spans="1:7">
      <c r="A474" s="790"/>
      <c r="B474" s="790"/>
      <c r="C474" s="790"/>
      <c r="D474" s="1968"/>
      <c r="E474" s="1968"/>
      <c r="F474" s="1968"/>
      <c r="G474" s="790"/>
    </row>
    <row r="475" spans="1:7">
      <c r="A475" s="790"/>
      <c r="C475" s="790"/>
      <c r="D475" s="1968"/>
      <c r="E475" s="1968"/>
      <c r="F475" s="1968"/>
      <c r="G475" s="790"/>
    </row>
    <row r="476" spans="1:7">
      <c r="A476" s="790"/>
      <c r="C476" s="790"/>
      <c r="D476" s="1968"/>
      <c r="E476" s="1968"/>
      <c r="F476" s="1968"/>
      <c r="G476" s="790"/>
    </row>
    <row r="477" spans="1:7">
      <c r="A477" s="790"/>
      <c r="C477" s="790"/>
      <c r="D477" s="1968"/>
      <c r="E477" s="1968"/>
      <c r="F477" s="1968"/>
      <c r="G477" s="790"/>
    </row>
    <row r="478" spans="1:7">
      <c r="A478" s="790"/>
      <c r="B478" s="798" t="s">
        <v>2603</v>
      </c>
      <c r="C478" s="790"/>
      <c r="D478" s="1968"/>
      <c r="E478" s="1968"/>
      <c r="F478" s="1968"/>
      <c r="G478" s="790"/>
    </row>
    <row r="479" spans="1:7">
      <c r="A479" s="790"/>
      <c r="C479" s="790"/>
      <c r="D479" s="1968"/>
      <c r="E479" s="1968"/>
      <c r="F479" s="1968"/>
      <c r="G479" s="790"/>
    </row>
    <row r="480" spans="1:7">
      <c r="A480" s="790"/>
      <c r="B480" s="798" t="s">
        <v>2603</v>
      </c>
      <c r="C480" s="790"/>
      <c r="D480" s="1968" t="s">
        <v>1325</v>
      </c>
      <c r="E480" s="1968"/>
      <c r="F480" s="1968"/>
      <c r="G480" s="790"/>
    </row>
    <row r="481" spans="1:9">
      <c r="A481" s="790"/>
      <c r="B481" s="790"/>
      <c r="C481" s="790"/>
      <c r="D481" s="1968"/>
      <c r="E481" s="1968"/>
      <c r="F481" s="1968"/>
      <c r="G481" s="790"/>
    </row>
    <row r="482" spans="1:9">
      <c r="A482" s="790"/>
      <c r="B482" s="790"/>
      <c r="C482" s="790"/>
      <c r="D482" s="1968"/>
      <c r="E482" s="1968"/>
      <c r="F482" s="1968"/>
      <c r="G482" s="790"/>
    </row>
    <row r="483" spans="1:9">
      <c r="A483" s="790"/>
      <c r="B483" s="790"/>
      <c r="C483" s="790"/>
      <c r="D483" s="1968"/>
      <c r="E483" s="1968"/>
      <c r="F483" s="1968"/>
      <c r="G483" s="790"/>
    </row>
    <row r="484" spans="1:9">
      <c r="D484" s="1968"/>
      <c r="E484" s="1968"/>
      <c r="F484" s="1968"/>
    </row>
    <row r="485" spans="1:9">
      <c r="D485" s="800"/>
      <c r="E485" s="800"/>
      <c r="F485" s="800"/>
    </row>
    <row r="486" spans="1:9">
      <c r="B486" s="798" t="s">
        <v>2603</v>
      </c>
      <c r="D486" s="1971" t="s">
        <v>1326</v>
      </c>
      <c r="E486" s="1971"/>
      <c r="F486" s="1971"/>
    </row>
    <row r="487" spans="1:9">
      <c r="A487" s="800"/>
      <c r="B487" s="800"/>
    </row>
    <row r="488" spans="1:9">
      <c r="A488" s="1897" t="s">
        <v>1167</v>
      </c>
      <c r="B488" s="1897"/>
      <c r="C488" s="1897"/>
      <c r="D488" s="1897"/>
      <c r="E488" s="1897"/>
      <c r="F488" s="1897"/>
      <c r="G488" s="1897"/>
      <c r="H488" s="1852"/>
      <c r="I488" s="1853"/>
    </row>
    <row r="489" spans="1:9">
      <c r="A489" s="800"/>
      <c r="B489" s="800"/>
    </row>
    <row r="490" spans="1:9">
      <c r="D490" s="1948" t="s">
        <v>948</v>
      </c>
      <c r="E490" s="1948"/>
      <c r="F490" s="1948"/>
    </row>
    <row r="491" spans="1:9" s="791" customFormat="1" ht="14.25">
      <c r="A491" s="805"/>
      <c r="B491" s="805"/>
      <c r="C491" s="801"/>
      <c r="D491" s="1949" t="s">
        <v>1327</v>
      </c>
      <c r="E491" s="1949"/>
      <c r="F491" s="1949"/>
      <c r="G491" s="802"/>
      <c r="I491" s="1836"/>
    </row>
    <row r="492" spans="1:9" s="791" customFormat="1" ht="14.25">
      <c r="A492" s="805"/>
      <c r="B492" s="805"/>
      <c r="C492" s="801"/>
      <c r="D492" s="787"/>
      <c r="E492" s="672"/>
      <c r="F492" s="672"/>
      <c r="G492" s="802"/>
      <c r="I492" s="1836"/>
    </row>
    <row r="493" spans="1:9" s="791" customFormat="1" ht="14.25">
      <c r="A493" s="797"/>
      <c r="B493" s="798" t="s">
        <v>2603</v>
      </c>
      <c r="C493" s="801"/>
      <c r="D493" s="1950" t="s">
        <v>1328</v>
      </c>
      <c r="E493" s="1950"/>
      <c r="F493" s="1950"/>
      <c r="G493" s="802"/>
      <c r="I493" s="1836" t="s">
        <v>2437</v>
      </c>
    </row>
    <row r="494" spans="1:9" s="791" customFormat="1" ht="14.25">
      <c r="A494" s="797"/>
      <c r="B494" s="797"/>
      <c r="C494" s="801"/>
      <c r="D494" s="1950"/>
      <c r="E494" s="1950"/>
      <c r="F494" s="1950"/>
      <c r="G494" s="802"/>
      <c r="I494" s="1836"/>
    </row>
    <row r="495" spans="1:9" s="791" customFormat="1" ht="14.25">
      <c r="A495" s="797"/>
      <c r="B495" s="797"/>
      <c r="C495" s="801"/>
      <c r="D495" s="785"/>
      <c r="E495" s="672"/>
      <c r="F495" s="672"/>
      <c r="G495" s="802"/>
      <c r="I495" s="1836"/>
    </row>
    <row r="496" spans="1:9" ht="12.75" customHeight="1">
      <c r="B496" s="798" t="s">
        <v>2603</v>
      </c>
      <c r="D496" s="1920" t="s">
        <v>1508</v>
      </c>
      <c r="E496" s="1920"/>
      <c r="F496" s="1920"/>
      <c r="I496" s="1773" t="s">
        <v>2438</v>
      </c>
    </row>
    <row r="497" spans="1:9" ht="14.25">
      <c r="A497" s="797"/>
      <c r="D497" s="1920"/>
      <c r="E497" s="1920"/>
      <c r="F497" s="1920"/>
    </row>
    <row r="498" spans="1:9" ht="14.25">
      <c r="A498" s="797"/>
      <c r="B498" s="797"/>
      <c r="D498" s="1920"/>
      <c r="E498" s="1920"/>
      <c r="F498" s="1920"/>
    </row>
    <row r="499" spans="1:9" ht="14.25">
      <c r="A499" s="797"/>
      <c r="B499" s="797"/>
      <c r="D499" s="1920"/>
      <c r="E499" s="1920"/>
      <c r="F499" s="1920"/>
    </row>
    <row r="500" spans="1:9" ht="14.25">
      <c r="A500" s="797"/>
      <c r="D500" s="893"/>
      <c r="E500" s="893"/>
      <c r="F500" s="893"/>
      <c r="G500" s="790"/>
    </row>
    <row r="501" spans="1:9" ht="14.25">
      <c r="A501" s="797"/>
      <c r="B501" s="798" t="s">
        <v>2603</v>
      </c>
      <c r="D501" s="1937" t="s">
        <v>1331</v>
      </c>
      <c r="E501" s="1937"/>
      <c r="F501" s="1937"/>
      <c r="G501" s="790"/>
      <c r="I501" s="1773" t="s">
        <v>2439</v>
      </c>
    </row>
    <row r="502" spans="1:9" ht="14.25">
      <c r="A502" s="797"/>
      <c r="B502" s="797"/>
      <c r="D502" s="785"/>
      <c r="E502" s="672"/>
      <c r="F502" s="672"/>
      <c r="G502" s="790"/>
    </row>
    <row r="503" spans="1:9" ht="14.25">
      <c r="A503" s="797"/>
      <c r="B503" s="798" t="s">
        <v>2603</v>
      </c>
      <c r="D503" s="1932" t="s">
        <v>1332</v>
      </c>
      <c r="E503" s="1932"/>
      <c r="F503" s="1932"/>
      <c r="G503" s="790"/>
      <c r="I503" s="1773" t="s">
        <v>2439</v>
      </c>
    </row>
    <row r="504" spans="1:9" ht="14.25">
      <c r="A504" s="797"/>
      <c r="D504" s="1932"/>
      <c r="E504" s="1932"/>
      <c r="F504" s="1932"/>
      <c r="G504" s="790"/>
    </row>
    <row r="505" spans="1:9">
      <c r="A505" s="816"/>
      <c r="B505" s="816"/>
      <c r="D505" s="733"/>
      <c r="E505" s="672"/>
      <c r="F505" s="672"/>
      <c r="G505" s="790"/>
    </row>
    <row r="506" spans="1:9">
      <c r="A506" s="816"/>
      <c r="B506" s="798" t="s">
        <v>2603</v>
      </c>
      <c r="D506" s="1937" t="s">
        <v>1333</v>
      </c>
      <c r="E506" s="1937"/>
      <c r="F506" s="1937"/>
      <c r="G506" s="790"/>
      <c r="I506" s="1773" t="s">
        <v>2494</v>
      </c>
    </row>
    <row r="507" spans="1:9" ht="14.25">
      <c r="A507" s="797"/>
      <c r="B507" s="797"/>
      <c r="D507" s="800"/>
    </row>
    <row r="508" spans="1:9">
      <c r="A508" s="1897" t="s">
        <v>1168</v>
      </c>
      <c r="B508" s="1897"/>
      <c r="C508" s="1897"/>
      <c r="D508" s="1897"/>
      <c r="E508" s="1897"/>
      <c r="F508" s="1897"/>
      <c r="G508" s="1897"/>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73" t="s">
        <v>851</v>
      </c>
      <c r="E510" s="1973"/>
      <c r="F510" s="197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2604</v>
      </c>
      <c r="C514" s="799"/>
      <c r="D514" s="1931" t="s">
        <v>2265</v>
      </c>
      <c r="E514" s="1931"/>
      <c r="F514" s="1931"/>
      <c r="G514" s="672"/>
      <c r="I514" s="622" t="s">
        <v>2474</v>
      </c>
    </row>
    <row r="515" spans="1:9" s="722" customFormat="1">
      <c r="A515" s="795"/>
      <c r="B515" s="795"/>
      <c r="C515" s="799"/>
      <c r="D515" s="1931"/>
      <c r="E515" s="1931"/>
      <c r="F515" s="1931"/>
      <c r="G515" s="672"/>
      <c r="I515" s="622"/>
    </row>
    <row r="516" spans="1:9" s="722" customFormat="1">
      <c r="A516" s="795"/>
      <c r="B516" s="795"/>
      <c r="C516" s="799"/>
      <c r="D516" s="1706"/>
      <c r="E516" s="1706"/>
      <c r="F516" s="1706"/>
      <c r="G516" s="672"/>
    </row>
    <row r="517" spans="1:9" s="722" customFormat="1">
      <c r="A517" s="795"/>
      <c r="B517" s="798" t="s">
        <v>2603</v>
      </c>
      <c r="C517" s="804"/>
      <c r="D517" s="1931" t="s">
        <v>1206</v>
      </c>
      <c r="E517" s="1931"/>
      <c r="F517" s="1931"/>
      <c r="G517" s="672"/>
      <c r="I517" s="622" t="s">
        <v>2440</v>
      </c>
    </row>
    <row r="518" spans="1:9" s="722" customFormat="1">
      <c r="A518" s="795"/>
      <c r="B518" s="795"/>
      <c r="C518" s="804"/>
      <c r="D518" s="1931"/>
      <c r="E518" s="1931"/>
      <c r="F518" s="1931"/>
      <c r="G518" s="672"/>
      <c r="I518" s="622"/>
    </row>
    <row r="519" spans="1:9" s="722" customFormat="1">
      <c r="A519" s="795"/>
      <c r="B519" s="795"/>
      <c r="C519" s="799"/>
      <c r="D519" s="1931"/>
      <c r="E519" s="1931"/>
      <c r="F519" s="1931"/>
      <c r="G519" s="672"/>
      <c r="I519" s="622"/>
    </row>
    <row r="520" spans="1:9" s="722" customFormat="1">
      <c r="A520" s="795"/>
      <c r="B520" s="795"/>
      <c r="C520" s="799"/>
      <c r="D520" s="833"/>
      <c r="E520" s="672"/>
      <c r="F520" s="785"/>
      <c r="G520" s="672"/>
      <c r="I520" s="622"/>
    </row>
    <row r="521" spans="1:9" s="722" customFormat="1" ht="13.35" customHeight="1">
      <c r="A521" s="795"/>
      <c r="B521" s="798" t="s">
        <v>2603</v>
      </c>
      <c r="C521" s="799"/>
      <c r="D521" s="1977" t="s">
        <v>1232</v>
      </c>
      <c r="E521" s="1977"/>
      <c r="F521" s="1977"/>
      <c r="G521" s="672"/>
      <c r="I521" s="622" t="s">
        <v>2440</v>
      </c>
    </row>
    <row r="522" spans="1:9" s="722" customFormat="1">
      <c r="A522" s="795"/>
      <c r="B522" s="795"/>
      <c r="C522" s="799"/>
      <c r="D522" s="1977"/>
      <c r="E522" s="1977"/>
      <c r="F522" s="1977"/>
      <c r="G522" s="672"/>
      <c r="I522" s="622"/>
    </row>
    <row r="523" spans="1:9" s="722" customFormat="1" ht="12" customHeight="1">
      <c r="A523" s="800"/>
      <c r="B523" s="800"/>
      <c r="C523" s="808"/>
      <c r="D523" s="800"/>
      <c r="E523" s="672"/>
      <c r="F523" s="835"/>
      <c r="G523" s="672"/>
      <c r="I523" s="622"/>
    </row>
    <row r="524" spans="1:9">
      <c r="A524" s="1897" t="s">
        <v>1169</v>
      </c>
      <c r="B524" s="1897"/>
      <c r="C524" s="1897"/>
      <c r="D524" s="1897"/>
      <c r="E524" s="1897"/>
      <c r="F524" s="1897"/>
      <c r="G524" s="1897"/>
      <c r="H524" s="1852"/>
      <c r="I524" s="1853"/>
    </row>
    <row r="525" spans="1:9">
      <c r="A525" s="800"/>
      <c r="B525" s="800"/>
      <c r="C525" s="829"/>
      <c r="F525" s="836"/>
    </row>
    <row r="526" spans="1:9">
      <c r="B526" s="1969" t="s">
        <v>470</v>
      </c>
      <c r="C526" s="1969"/>
      <c r="D526" s="1969"/>
      <c r="E526" s="1969"/>
      <c r="F526" s="1969"/>
    </row>
    <row r="527" spans="1:9">
      <c r="A527" s="800"/>
      <c r="B527" s="800"/>
      <c r="C527" s="829"/>
      <c r="D527" s="800"/>
      <c r="F527" s="800"/>
    </row>
    <row r="528" spans="1:9">
      <c r="A528" s="1898" t="s">
        <v>1170</v>
      </c>
      <c r="B528" s="1898"/>
      <c r="C528" s="1898"/>
      <c r="D528" s="1898"/>
      <c r="E528" s="1898"/>
      <c r="F528" s="1898"/>
      <c r="G528" s="1898"/>
      <c r="H528" s="1852"/>
      <c r="I528" s="1853"/>
    </row>
    <row r="529" spans="1:9">
      <c r="A529" s="800"/>
      <c r="B529" s="800"/>
      <c r="C529" s="829"/>
      <c r="D529" s="800"/>
      <c r="F529" s="800"/>
    </row>
    <row r="530" spans="1:9">
      <c r="C530" s="829"/>
      <c r="D530" s="1887" t="s">
        <v>720</v>
      </c>
      <c r="E530" s="1887"/>
      <c r="F530" s="1887"/>
    </row>
    <row r="531" spans="1:9">
      <c r="C531" s="829"/>
      <c r="D531" s="1937" t="s">
        <v>1227</v>
      </c>
      <c r="E531" s="1937"/>
      <c r="F531" s="1937"/>
    </row>
    <row r="532" spans="1:9">
      <c r="C532" s="829"/>
      <c r="D532" s="785"/>
      <c r="E532" s="785"/>
      <c r="F532" s="785"/>
    </row>
    <row r="533" spans="1:9" ht="13.7" customHeight="1">
      <c r="A533" s="797"/>
      <c r="B533" s="798" t="s">
        <v>2604</v>
      </c>
      <c r="C533" s="829"/>
      <c r="D533" s="1937" t="s">
        <v>949</v>
      </c>
      <c r="E533" s="1937"/>
      <c r="F533" s="1937"/>
      <c r="G533" s="790"/>
      <c r="I533" s="1773" t="s">
        <v>2492</v>
      </c>
    </row>
    <row r="534" spans="1:9" ht="13.7" customHeight="1">
      <c r="A534" s="829"/>
      <c r="B534" s="829"/>
      <c r="C534" s="829"/>
      <c r="D534" s="785"/>
      <c r="E534" s="618"/>
      <c r="F534" s="618"/>
      <c r="G534" s="790"/>
    </row>
    <row r="535" spans="1:9" ht="14.25">
      <c r="A535" s="797"/>
      <c r="B535" s="798" t="s">
        <v>2604</v>
      </c>
      <c r="C535" s="829"/>
      <c r="D535" s="1932" t="s">
        <v>1228</v>
      </c>
      <c r="E535" s="1932"/>
      <c r="F535" s="1932"/>
      <c r="G535" s="790"/>
      <c r="I535" s="1773" t="s">
        <v>2492</v>
      </c>
    </row>
    <row r="536" spans="1:9">
      <c r="A536" s="829"/>
      <c r="B536" s="829"/>
      <c r="C536" s="829"/>
      <c r="D536" s="1932"/>
      <c r="E536" s="1932"/>
      <c r="F536" s="1932"/>
      <c r="G536" s="790"/>
    </row>
    <row r="537" spans="1:9">
      <c r="A537" s="829"/>
      <c r="B537" s="829"/>
      <c r="C537" s="829"/>
      <c r="D537" s="800"/>
      <c r="E537" s="800"/>
      <c r="F537" s="800"/>
      <c r="G537" s="790"/>
    </row>
    <row r="538" spans="1:9" ht="14.25">
      <c r="A538" s="797"/>
      <c r="B538" s="798" t="s">
        <v>2604</v>
      </c>
      <c r="C538" s="829"/>
      <c r="D538" s="1932" t="s">
        <v>1229</v>
      </c>
      <c r="E538" s="1932"/>
      <c r="F538" s="1932"/>
      <c r="G538" s="790"/>
      <c r="I538" s="1773" t="s">
        <v>2441</v>
      </c>
    </row>
    <row r="539" spans="1:9">
      <c r="A539" s="829"/>
      <c r="B539" s="829"/>
      <c r="C539" s="829"/>
      <c r="D539" s="1932"/>
      <c r="E539" s="1932"/>
      <c r="F539" s="1932"/>
      <c r="G539" s="790"/>
    </row>
    <row r="540" spans="1:9">
      <c r="A540" s="829"/>
      <c r="B540" s="829"/>
      <c r="C540" s="829"/>
      <c r="D540" s="800"/>
      <c r="E540" s="800"/>
      <c r="F540" s="800"/>
      <c r="G540" s="790"/>
    </row>
    <row r="541" spans="1:9" ht="14.25">
      <c r="A541" s="797"/>
      <c r="B541" s="798" t="s">
        <v>2604</v>
      </c>
      <c r="C541" s="829"/>
      <c r="D541" s="1932" t="s">
        <v>1230</v>
      </c>
      <c r="E541" s="1932"/>
      <c r="F541" s="1932"/>
      <c r="G541" s="790"/>
      <c r="I541" s="1773" t="s">
        <v>2442</v>
      </c>
    </row>
    <row r="542" spans="1:9">
      <c r="A542" s="829"/>
      <c r="B542" s="829"/>
      <c r="C542" s="829"/>
      <c r="D542" s="1932"/>
      <c r="E542" s="1932"/>
      <c r="F542" s="1932"/>
      <c r="G542" s="790"/>
    </row>
    <row r="543" spans="1:9">
      <c r="A543" s="829"/>
      <c r="B543" s="829"/>
      <c r="C543" s="829"/>
      <c r="D543" s="800"/>
      <c r="E543" s="800"/>
      <c r="F543" s="800"/>
      <c r="G543" s="790"/>
    </row>
    <row r="544" spans="1:9" ht="14.25">
      <c r="A544" s="797"/>
      <c r="B544" s="798" t="s">
        <v>2603</v>
      </c>
      <c r="C544" s="829"/>
      <c r="D544" s="1932" t="s">
        <v>1231</v>
      </c>
      <c r="E544" s="1932"/>
      <c r="F544" s="1932"/>
      <c r="G544" s="790"/>
      <c r="I544" s="1773" t="s">
        <v>2493</v>
      </c>
    </row>
    <row r="545" spans="1:9">
      <c r="A545" s="829"/>
      <c r="B545" s="829"/>
      <c r="C545" s="829"/>
      <c r="D545" s="1932"/>
      <c r="E545" s="1932"/>
      <c r="F545" s="1932"/>
      <c r="G545" s="790"/>
    </row>
    <row r="546" spans="1:9">
      <c r="A546" s="829"/>
      <c r="B546" s="829"/>
      <c r="C546" s="829"/>
      <c r="D546" s="1932"/>
      <c r="E546" s="1932"/>
      <c r="F546" s="1932"/>
      <c r="G546" s="790"/>
    </row>
    <row r="547" spans="1:9">
      <c r="A547" s="829"/>
      <c r="B547" s="829"/>
      <c r="C547" s="829"/>
      <c r="D547" s="800"/>
      <c r="E547" s="800"/>
      <c r="F547" s="800"/>
    </row>
    <row r="548" spans="1:9" ht="14.25">
      <c r="A548" s="797"/>
      <c r="B548" s="798" t="s">
        <v>2603</v>
      </c>
      <c r="C548" s="829"/>
      <c r="D548" s="1977" t="s">
        <v>1349</v>
      </c>
      <c r="E548" s="1977"/>
      <c r="F548" s="1977"/>
      <c r="I548" s="1773" t="s">
        <v>2492</v>
      </c>
    </row>
    <row r="549" spans="1:9">
      <c r="A549" s="829"/>
      <c r="B549" s="829"/>
      <c r="C549" s="829"/>
      <c r="D549" s="1977"/>
      <c r="E549" s="1977"/>
      <c r="F549" s="1977"/>
    </row>
    <row r="550" spans="1:9">
      <c r="A550" s="829"/>
      <c r="B550" s="829"/>
      <c r="C550" s="829"/>
      <c r="D550" s="800"/>
      <c r="E550" s="800"/>
      <c r="F550" s="800"/>
    </row>
    <row r="551" spans="1:9" ht="14.25">
      <c r="A551" s="797"/>
      <c r="B551" s="798" t="s">
        <v>2603</v>
      </c>
      <c r="C551" s="829"/>
      <c r="D551" s="1932" t="s">
        <v>1233</v>
      </c>
      <c r="E551" s="1932"/>
      <c r="F551" s="1932"/>
      <c r="I551" s="1773" t="s">
        <v>2492</v>
      </c>
    </row>
    <row r="552" spans="1:9">
      <c r="A552" s="829"/>
      <c r="B552" s="829"/>
      <c r="C552" s="829"/>
      <c r="D552" s="1932"/>
      <c r="E552" s="1932"/>
      <c r="F552" s="1932"/>
      <c r="G552" s="819"/>
    </row>
    <row r="553" spans="1:9">
      <c r="A553" s="829"/>
      <c r="B553" s="829"/>
      <c r="C553" s="829"/>
      <c r="D553" s="800"/>
      <c r="E553" s="800"/>
      <c r="F553" s="800"/>
      <c r="G553" s="819"/>
    </row>
    <row r="554" spans="1:9" ht="14.25">
      <c r="A554" s="797"/>
      <c r="B554" s="798" t="s">
        <v>2604</v>
      </c>
      <c r="C554" s="829"/>
      <c r="D554" s="1937" t="s">
        <v>1234</v>
      </c>
      <c r="E554" s="1937"/>
      <c r="F554" s="1937"/>
      <c r="G554" s="819"/>
      <c r="I554" s="1773" t="s">
        <v>2495</v>
      </c>
    </row>
    <row r="555" spans="1:9">
      <c r="A555" s="816"/>
      <c r="B555" s="816"/>
      <c r="C555" s="829"/>
      <c r="D555" s="1937" t="s">
        <v>881</v>
      </c>
      <c r="E555" s="1937"/>
      <c r="F555" s="1937"/>
      <c r="G555" s="819"/>
    </row>
    <row r="556" spans="1:9">
      <c r="A556" s="816"/>
      <c r="B556" s="816"/>
      <c r="C556" s="829"/>
      <c r="D556" s="672"/>
      <c r="E556" s="1980" t="s">
        <v>1235</v>
      </c>
      <c r="F556" s="1980"/>
      <c r="G556" s="819"/>
    </row>
    <row r="557" spans="1:9" ht="14.25">
      <c r="A557" s="797"/>
      <c r="B557" s="797"/>
      <c r="C557" s="829"/>
      <c r="E557" s="800"/>
      <c r="F557" s="800"/>
      <c r="G557" s="819"/>
    </row>
    <row r="558" spans="1:9" ht="14.25">
      <c r="A558" s="797"/>
      <c r="B558" s="798" t="s">
        <v>2604</v>
      </c>
      <c r="C558" s="829"/>
      <c r="D558" s="1979" t="s">
        <v>1236</v>
      </c>
      <c r="E558" s="1979"/>
      <c r="F558" s="1979"/>
      <c r="G558" s="819"/>
      <c r="I558" s="1773" t="s">
        <v>2443</v>
      </c>
    </row>
    <row r="559" spans="1:9">
      <c r="C559" s="829"/>
      <c r="D559" s="1932" t="s">
        <v>1237</v>
      </c>
      <c r="E559" s="1932"/>
      <c r="F559" s="1932"/>
      <c r="G559" s="819"/>
    </row>
    <row r="560" spans="1:9">
      <c r="A560" s="829"/>
      <c r="B560" s="829"/>
      <c r="C560" s="829"/>
      <c r="D560" s="1932"/>
      <c r="E560" s="1932"/>
      <c r="F560" s="1932"/>
      <c r="G560" s="819"/>
    </row>
    <row r="561" spans="1:9">
      <c r="A561" s="829"/>
      <c r="B561" s="829"/>
      <c r="C561" s="829"/>
      <c r="D561" s="1932"/>
      <c r="E561" s="1932"/>
      <c r="F561" s="1932"/>
      <c r="G561" s="819"/>
    </row>
    <row r="562" spans="1:9">
      <c r="A562" s="829"/>
      <c r="B562" s="829"/>
      <c r="C562" s="829"/>
      <c r="D562" s="800"/>
      <c r="E562" s="800"/>
      <c r="F562" s="800"/>
      <c r="G562" s="819"/>
    </row>
    <row r="563" spans="1:9" ht="14.25">
      <c r="A563" s="797"/>
      <c r="B563" s="798" t="s">
        <v>2604</v>
      </c>
      <c r="C563" s="829"/>
      <c r="D563" s="1932" t="s">
        <v>1238</v>
      </c>
      <c r="E563" s="1932"/>
      <c r="F563" s="1932"/>
      <c r="G563" s="819"/>
      <c r="I563" s="1773" t="s">
        <v>2444</v>
      </c>
    </row>
    <row r="564" spans="1:9" ht="14.25">
      <c r="A564" s="797"/>
      <c r="B564" s="797"/>
      <c r="C564" s="829"/>
      <c r="D564" s="1932"/>
      <c r="E564" s="1932"/>
      <c r="F564" s="1932"/>
      <c r="G564" s="819"/>
    </row>
    <row r="565" spans="1:9" ht="14.25">
      <c r="A565" s="797"/>
      <c r="B565" s="797"/>
      <c r="C565" s="829"/>
      <c r="D565" s="1932"/>
      <c r="E565" s="1932"/>
      <c r="F565" s="1932"/>
      <c r="G565" s="819"/>
    </row>
    <row r="566" spans="1:9" ht="14.25">
      <c r="A566" s="797"/>
      <c r="B566" s="797"/>
      <c r="C566" s="829"/>
      <c r="D566" s="1932"/>
      <c r="E566" s="1932"/>
      <c r="F566" s="1932"/>
      <c r="G566" s="819"/>
    </row>
    <row r="567" spans="1:9" ht="14.25">
      <c r="A567" s="797"/>
      <c r="B567" s="797"/>
      <c r="C567" s="829"/>
      <c r="D567" s="800"/>
      <c r="E567" s="800"/>
      <c r="F567" s="800"/>
      <c r="G567" s="819"/>
    </row>
    <row r="568" spans="1:9">
      <c r="A568" s="1897" t="s">
        <v>1171</v>
      </c>
      <c r="B568" s="1897"/>
      <c r="C568" s="1897"/>
      <c r="D568" s="1897"/>
      <c r="E568" s="1897"/>
      <c r="F568" s="1897"/>
      <c r="G568" s="1897"/>
      <c r="H568" s="1852"/>
      <c r="I568" s="1853"/>
    </row>
    <row r="569" spans="1:9">
      <c r="A569" s="829"/>
      <c r="B569" s="829"/>
      <c r="C569" s="829"/>
      <c r="E569" s="800"/>
      <c r="F569" s="800"/>
      <c r="G569" s="819"/>
    </row>
    <row r="570" spans="1:9" ht="12.75" customHeight="1">
      <c r="C570" s="793"/>
      <c r="D570" s="1970" t="s">
        <v>216</v>
      </c>
      <c r="E570" s="1970"/>
      <c r="F570" s="1970"/>
      <c r="G570" s="819"/>
    </row>
    <row r="571" spans="1:9">
      <c r="A571" s="795"/>
      <c r="B571" s="795"/>
      <c r="C571" s="795"/>
      <c r="D571" s="1919" t="s">
        <v>1187</v>
      </c>
      <c r="E571" s="1919"/>
      <c r="F571" s="1919"/>
      <c r="G571" s="819"/>
    </row>
    <row r="572" spans="1:9">
      <c r="A572" s="790"/>
      <c r="B572" s="790"/>
      <c r="C572" s="795"/>
      <c r="D572" s="837"/>
      <c r="G572" s="819"/>
      <c r="I572" s="1773" t="s">
        <v>2445</v>
      </c>
    </row>
    <row r="573" spans="1:9">
      <c r="A573" s="795"/>
      <c r="B573" s="798" t="s">
        <v>2604</v>
      </c>
      <c r="D573" s="1919" t="s">
        <v>955</v>
      </c>
      <c r="E573" s="1919"/>
      <c r="F573" s="1919"/>
      <c r="G573" s="819"/>
    </row>
    <row r="574" spans="1:9">
      <c r="A574" s="816"/>
      <c r="B574" s="816"/>
      <c r="D574" s="814"/>
    </row>
    <row r="575" spans="1:9">
      <c r="A575" s="816"/>
      <c r="B575" s="798" t="s">
        <v>2604</v>
      </c>
      <c r="D575" s="1920" t="s">
        <v>1188</v>
      </c>
      <c r="E575" s="1920"/>
      <c r="F575" s="1920"/>
      <c r="I575" s="1773" t="s">
        <v>2447</v>
      </c>
    </row>
    <row r="576" spans="1:9">
      <c r="A576" s="816"/>
      <c r="B576" s="816"/>
      <c r="D576" s="1920"/>
      <c r="E576" s="1920"/>
      <c r="F576" s="1920"/>
      <c r="G576" s="790"/>
      <c r="I576" s="1773" t="s">
        <v>2446</v>
      </c>
    </row>
    <row r="577" spans="1:9">
      <c r="A577" s="816"/>
      <c r="B577" s="816"/>
      <c r="D577" s="1920"/>
      <c r="E577" s="1920"/>
      <c r="F577" s="1920"/>
      <c r="G577" s="790"/>
    </row>
    <row r="578" spans="1:9">
      <c r="A578" s="816"/>
      <c r="B578" s="816"/>
      <c r="D578" s="1920"/>
      <c r="E578" s="1920"/>
      <c r="F578" s="1920"/>
      <c r="G578" s="790"/>
    </row>
    <row r="579" spans="1:9">
      <c r="A579" s="816"/>
      <c r="B579" s="798" t="s">
        <v>2603</v>
      </c>
      <c r="D579" s="1920" t="s">
        <v>1189</v>
      </c>
      <c r="E579" s="1920"/>
      <c r="F579" s="1920"/>
      <c r="G579" s="790"/>
    </row>
    <row r="580" spans="1:9">
      <c r="A580" s="816"/>
      <c r="B580" s="816"/>
      <c r="D580" s="1920"/>
      <c r="E580" s="1920"/>
      <c r="F580" s="1920"/>
      <c r="G580" s="790"/>
    </row>
    <row r="581" spans="1:9">
      <c r="A581" s="816"/>
      <c r="B581" s="816"/>
      <c r="D581" s="1920"/>
      <c r="E581" s="1920"/>
      <c r="F581" s="1920"/>
      <c r="G581" s="790"/>
    </row>
    <row r="582" spans="1:9">
      <c r="A582" s="816"/>
      <c r="B582" s="816"/>
      <c r="D582" s="1920"/>
      <c r="E582" s="1920"/>
      <c r="F582" s="1920"/>
      <c r="G582" s="790"/>
    </row>
    <row r="583" spans="1:9">
      <c r="A583" s="816"/>
      <c r="B583" s="816"/>
      <c r="D583" s="783"/>
      <c r="E583" s="783"/>
      <c r="F583" s="783"/>
      <c r="G583" s="790"/>
    </row>
    <row r="584" spans="1:9">
      <c r="A584" s="816"/>
      <c r="B584" s="798" t="s">
        <v>2604</v>
      </c>
      <c r="D584" s="1920" t="s">
        <v>1190</v>
      </c>
      <c r="E584" s="1920"/>
      <c r="F584" s="1920"/>
      <c r="G584" s="790"/>
    </row>
    <row r="585" spans="1:9">
      <c r="A585" s="816"/>
      <c r="B585" s="816"/>
      <c r="D585" s="1920"/>
      <c r="E585" s="1920"/>
      <c r="F585" s="1920"/>
      <c r="G585" s="790"/>
    </row>
    <row r="586" spans="1:9">
      <c r="A586" s="816"/>
      <c r="B586" s="816"/>
      <c r="D586" s="837"/>
      <c r="G586" s="790"/>
    </row>
    <row r="587" spans="1:9">
      <c r="A587" s="816"/>
      <c r="B587" s="798" t="s">
        <v>2603</v>
      </c>
      <c r="D587" s="1919" t="s">
        <v>1191</v>
      </c>
      <c r="E587" s="1919"/>
      <c r="F587" s="1919"/>
      <c r="G587" s="790"/>
      <c r="I587" s="1773" t="s">
        <v>2496</v>
      </c>
    </row>
    <row r="588" spans="1:9">
      <c r="A588" s="816"/>
      <c r="B588" s="816"/>
      <c r="D588" s="1919"/>
      <c r="E588" s="1919"/>
      <c r="F588" s="1919"/>
      <c r="G588" s="790"/>
    </row>
    <row r="589" spans="1:9" ht="14.25">
      <c r="A589" s="797"/>
      <c r="B589" s="797"/>
      <c r="D589" s="837"/>
      <c r="G589" s="790"/>
    </row>
    <row r="590" spans="1:9">
      <c r="A590" s="1897" t="s">
        <v>1172</v>
      </c>
      <c r="B590" s="1897"/>
      <c r="C590" s="1897"/>
      <c r="D590" s="1897"/>
      <c r="E590" s="1897"/>
      <c r="F590" s="1897"/>
      <c r="G590" s="1897"/>
      <c r="H590" s="1852"/>
      <c r="I590" s="1853"/>
    </row>
    <row r="591" spans="1:9"/>
    <row r="592" spans="1:9">
      <c r="D592" s="1887" t="s">
        <v>1272</v>
      </c>
      <c r="E592" s="1887"/>
      <c r="F592" s="1887"/>
    </row>
    <row r="593" spans="1:9">
      <c r="D593" s="1888" t="s">
        <v>1273</v>
      </c>
      <c r="E593" s="1888"/>
      <c r="F593" s="1888"/>
    </row>
    <row r="594" spans="1:9">
      <c r="D594" s="780"/>
      <c r="E594" s="722"/>
      <c r="F594" s="722"/>
    </row>
    <row r="595" spans="1:9" s="791" customFormat="1" ht="14.25">
      <c r="A595" s="805"/>
      <c r="B595" s="798" t="s">
        <v>2604</v>
      </c>
      <c r="C595" s="801"/>
      <c r="D595" s="1889" t="s">
        <v>1274</v>
      </c>
      <c r="E595" s="1889"/>
      <c r="F595" s="1889"/>
      <c r="G595" s="802"/>
      <c r="I595" s="1836" t="s">
        <v>2475</v>
      </c>
    </row>
    <row r="596" spans="1:9">
      <c r="D596" s="1889"/>
      <c r="E596" s="1889"/>
      <c r="F596" s="1889"/>
    </row>
    <row r="597" spans="1:9">
      <c r="D597" s="1889"/>
      <c r="E597" s="1889"/>
      <c r="F597" s="1889"/>
    </row>
    <row r="598" spans="1:9"/>
    <row r="599" spans="1:9">
      <c r="A599" s="1897" t="s">
        <v>1173</v>
      </c>
      <c r="B599" s="1897"/>
      <c r="C599" s="1897"/>
      <c r="D599" s="1897"/>
      <c r="E599" s="1897"/>
      <c r="F599" s="1897"/>
      <c r="G599" s="1897"/>
      <c r="H599" s="1852"/>
      <c r="I599" s="1853"/>
    </row>
    <row r="600" spans="1:9">
      <c r="A600" s="800"/>
      <c r="B600" s="800"/>
      <c r="G600" s="819"/>
    </row>
    <row r="601" spans="1:9">
      <c r="A601" s="838"/>
      <c r="B601" s="838"/>
      <c r="C601" s="793"/>
      <c r="D601" s="1890" t="s">
        <v>1275</v>
      </c>
      <c r="E601" s="1890"/>
      <c r="F601" s="1890"/>
      <c r="G601" s="819"/>
    </row>
    <row r="602" spans="1:9">
      <c r="A602" s="838"/>
      <c r="B602" s="838"/>
      <c r="C602" s="793"/>
      <c r="D602" s="1890"/>
      <c r="E602" s="1890"/>
      <c r="F602" s="1890"/>
      <c r="G602" s="819"/>
    </row>
    <row r="603" spans="1:9">
      <c r="C603" s="795"/>
      <c r="D603" s="1888" t="s">
        <v>1276</v>
      </c>
      <c r="E603" s="1888"/>
      <c r="F603" s="1888"/>
      <c r="G603" s="819"/>
    </row>
    <row r="604" spans="1:9">
      <c r="C604" s="795"/>
      <c r="D604" s="780"/>
      <c r="E604" s="780"/>
      <c r="F604" s="780"/>
      <c r="G604" s="819"/>
    </row>
    <row r="605" spans="1:9" ht="12.75" customHeight="1">
      <c r="A605" s="816"/>
      <c r="B605" s="798" t="s">
        <v>2604</v>
      </c>
      <c r="D605" s="1891" t="s">
        <v>1277</v>
      </c>
      <c r="E605" s="1891"/>
      <c r="F605" s="1891"/>
      <c r="G605" s="819"/>
      <c r="I605" s="1773" t="s">
        <v>2497</v>
      </c>
    </row>
    <row r="606" spans="1:9">
      <c r="D606" s="1891"/>
      <c r="E606" s="1891"/>
      <c r="F606" s="1891"/>
      <c r="G606" s="819"/>
    </row>
    <row r="607" spans="1:9">
      <c r="D607" s="790"/>
      <c r="G607" s="819"/>
    </row>
    <row r="608" spans="1:9">
      <c r="B608" s="798" t="s">
        <v>2604</v>
      </c>
      <c r="D608" s="1891" t="s">
        <v>1278</v>
      </c>
      <c r="E608" s="1891"/>
      <c r="F608" s="1891"/>
      <c r="G608" s="819"/>
      <c r="I608" s="1773" t="s">
        <v>2448</v>
      </c>
    </row>
    <row r="609" spans="1:9">
      <c r="C609" s="839"/>
      <c r="D609" s="1891"/>
      <c r="E609" s="1891"/>
      <c r="F609" s="1891"/>
      <c r="G609" s="819"/>
    </row>
    <row r="610" spans="1:9">
      <c r="C610" s="839"/>
      <c r="G610" s="819"/>
    </row>
    <row r="611" spans="1:9">
      <c r="B611" s="798" t="s">
        <v>2603</v>
      </c>
      <c r="C611" s="839"/>
      <c r="D611" s="1891" t="s">
        <v>1279</v>
      </c>
      <c r="E611" s="1891"/>
      <c r="F611" s="1891"/>
      <c r="G611" s="819"/>
      <c r="I611" s="1773" t="s">
        <v>2498</v>
      </c>
    </row>
    <row r="612" spans="1:9">
      <c r="C612" s="839"/>
      <c r="D612" s="1891"/>
      <c r="E612" s="1891"/>
      <c r="F612" s="1891"/>
      <c r="G612" s="819"/>
      <c r="I612" s="1849" t="s">
        <v>2499</v>
      </c>
    </row>
    <row r="613" spans="1:9">
      <c r="C613" s="839"/>
      <c r="G613" s="819"/>
    </row>
    <row r="614" spans="1:9">
      <c r="A614" s="1897" t="s">
        <v>1174</v>
      </c>
      <c r="B614" s="1897"/>
      <c r="C614" s="1897"/>
      <c r="D614" s="1897"/>
      <c r="E614" s="1897"/>
      <c r="F614" s="1897"/>
      <c r="G614" s="1897"/>
      <c r="H614" s="1852"/>
      <c r="I614" s="1853"/>
    </row>
    <row r="615" spans="1:9">
      <c r="A615" s="840"/>
      <c r="B615" s="840"/>
      <c r="C615" s="840"/>
      <c r="G615" s="819"/>
    </row>
    <row r="616" spans="1:9">
      <c r="C616" s="816"/>
      <c r="D616" s="1887" t="s">
        <v>1280</v>
      </c>
      <c r="E616" s="1887"/>
      <c r="F616" s="1887"/>
      <c r="G616" s="819"/>
    </row>
    <row r="617" spans="1:9">
      <c r="A617" s="816"/>
      <c r="B617" s="816"/>
      <c r="C617" s="818"/>
      <c r="D617" s="794"/>
      <c r="G617" s="819"/>
    </row>
    <row r="618" spans="1:9" ht="14.25">
      <c r="A618" s="797"/>
      <c r="B618" s="798" t="s">
        <v>2604</v>
      </c>
      <c r="C618" s="818"/>
      <c r="D618" s="1932" t="s">
        <v>1502</v>
      </c>
      <c r="E618" s="1932"/>
      <c r="F618" s="1932"/>
      <c r="G618" s="819"/>
      <c r="I618" s="1773" t="s">
        <v>2476</v>
      </c>
    </row>
    <row r="619" spans="1:9">
      <c r="C619" s="818"/>
      <c r="D619" s="1932"/>
      <c r="E619" s="1932"/>
      <c r="F619" s="1932"/>
      <c r="G619" s="819"/>
    </row>
    <row r="620" spans="1:9">
      <c r="C620" s="818"/>
      <c r="D620" s="1932"/>
      <c r="E620" s="1932"/>
      <c r="F620" s="1932"/>
      <c r="G620" s="819"/>
    </row>
    <row r="621" spans="1:9">
      <c r="C621" s="818"/>
      <c r="D621" s="1932"/>
      <c r="E621" s="1932"/>
      <c r="F621" s="1932"/>
      <c r="G621" s="819"/>
    </row>
    <row r="622" spans="1:9">
      <c r="C622" s="818"/>
      <c r="D622" s="1932"/>
      <c r="E622" s="1932"/>
      <c r="F622" s="1932"/>
      <c r="G622" s="819"/>
    </row>
    <row r="623" spans="1:9">
      <c r="C623" s="818"/>
      <c r="D623" s="1932"/>
      <c r="E623" s="1932"/>
      <c r="F623" s="1932"/>
      <c r="G623" s="819"/>
    </row>
    <row r="624" spans="1:9">
      <c r="C624" s="818"/>
      <c r="D624" s="784"/>
      <c r="E624" s="784"/>
      <c r="F624" s="784"/>
      <c r="G624" s="819"/>
    </row>
    <row r="625" spans="1:9" ht="14.25">
      <c r="A625" s="797"/>
      <c r="B625" s="798" t="s">
        <v>2603</v>
      </c>
      <c r="C625" s="818"/>
      <c r="D625" s="1932" t="s">
        <v>1282</v>
      </c>
      <c r="E625" s="1932"/>
      <c r="F625" s="1932"/>
      <c r="G625" s="819"/>
      <c r="I625" s="1773" t="s">
        <v>2500</v>
      </c>
    </row>
    <row r="626" spans="1:9">
      <c r="A626" s="829"/>
      <c r="B626" s="829"/>
      <c r="C626" s="829"/>
      <c r="D626" s="1932"/>
      <c r="E626" s="1932"/>
      <c r="F626" s="1932"/>
      <c r="G626" s="819"/>
    </row>
    <row r="627" spans="1:9">
      <c r="A627" s="829"/>
      <c r="B627" s="829"/>
      <c r="C627" s="829"/>
      <c r="D627" s="785"/>
      <c r="E627" s="841"/>
      <c r="F627" s="841"/>
      <c r="G627" s="819"/>
    </row>
    <row r="628" spans="1:9" ht="14.25">
      <c r="A628" s="797"/>
      <c r="B628" s="798" t="s">
        <v>2603</v>
      </c>
      <c r="C628" s="829"/>
      <c r="D628" s="1889" t="s">
        <v>1439</v>
      </c>
      <c r="E628" s="1889"/>
      <c r="F628" s="1889"/>
      <c r="G628" s="819"/>
      <c r="I628" s="1773" t="s">
        <v>2449</v>
      </c>
    </row>
    <row r="629" spans="1:9" ht="14.25">
      <c r="A629" s="797"/>
      <c r="B629" s="797"/>
      <c r="C629" s="829"/>
      <c r="D629" s="1889"/>
      <c r="E629" s="1889"/>
      <c r="F629" s="1889"/>
      <c r="G629" s="819"/>
    </row>
    <row r="630" spans="1:9" ht="14.25">
      <c r="A630" s="797"/>
      <c r="B630" s="797"/>
      <c r="C630" s="829"/>
      <c r="D630" s="1889"/>
      <c r="E630" s="1889"/>
      <c r="F630" s="1889"/>
      <c r="G630" s="819"/>
    </row>
    <row r="631" spans="1:9">
      <c r="A631" s="829"/>
      <c r="B631" s="798" t="s">
        <v>2603</v>
      </c>
      <c r="C631" s="829"/>
      <c r="D631" s="1937" t="s">
        <v>1284</v>
      </c>
      <c r="E631" s="1937"/>
      <c r="F631" s="1937"/>
      <c r="G631" s="819"/>
      <c r="I631" s="1773" t="s">
        <v>2449</v>
      </c>
    </row>
    <row r="632" spans="1:9">
      <c r="A632" s="829"/>
      <c r="B632" s="829"/>
      <c r="C632" s="829"/>
      <c r="D632" s="727"/>
      <c r="E632" s="727"/>
      <c r="F632" s="727"/>
      <c r="G632" s="819"/>
    </row>
    <row r="633" spans="1:9">
      <c r="A633" s="1897" t="s">
        <v>1175</v>
      </c>
      <c r="B633" s="1897"/>
      <c r="C633" s="1897"/>
      <c r="D633" s="1897"/>
      <c r="E633" s="1897"/>
      <c r="F633" s="1897"/>
      <c r="G633" s="1897"/>
      <c r="H633" s="1852"/>
      <c r="I633" s="1853"/>
    </row>
    <row r="634" spans="1:9">
      <c r="A634" s="800"/>
      <c r="B634" s="800"/>
      <c r="C634" s="829"/>
      <c r="D634" s="841"/>
      <c r="E634" s="841"/>
      <c r="F634" s="841"/>
      <c r="G634" s="819"/>
    </row>
    <row r="635" spans="1:9">
      <c r="C635" s="840"/>
      <c r="D635" s="1997" t="s">
        <v>1334</v>
      </c>
      <c r="E635" s="1997"/>
      <c r="F635" s="1997"/>
      <c r="G635" s="819"/>
    </row>
    <row r="636" spans="1:9">
      <c r="A636" s="795"/>
      <c r="B636" s="795"/>
      <c r="C636" s="795"/>
      <c r="D636" s="1998" t="s">
        <v>1335</v>
      </c>
      <c r="E636" s="1998"/>
      <c r="F636" s="1998"/>
      <c r="G636" s="819"/>
    </row>
    <row r="637" spans="1:9">
      <c r="A637" s="795"/>
      <c r="B637" s="795"/>
      <c r="C637" s="795"/>
      <c r="D637" s="727"/>
      <c r="E637" s="727"/>
      <c r="F637" s="727"/>
      <c r="G637" s="819"/>
    </row>
    <row r="638" spans="1:9" ht="12.75" customHeight="1">
      <c r="B638" s="798" t="s">
        <v>2604</v>
      </c>
      <c r="C638" s="829"/>
      <c r="D638" s="1974" t="s">
        <v>1523</v>
      </c>
      <c r="E638" s="1974"/>
      <c r="F638" s="1974"/>
      <c r="I638" s="1773" t="s">
        <v>2503</v>
      </c>
    </row>
    <row r="639" spans="1:9">
      <c r="D639" s="1974"/>
      <c r="E639" s="1974"/>
      <c r="F639" s="1974"/>
    </row>
    <row r="640" spans="1:9">
      <c r="D640" s="1974"/>
      <c r="E640" s="1974"/>
      <c r="F640" s="1974"/>
    </row>
    <row r="641" spans="1:9">
      <c r="D641" s="1974"/>
      <c r="E641" s="1974"/>
      <c r="F641" s="1974"/>
    </row>
    <row r="642" spans="1:9" ht="14.45" customHeight="1">
      <c r="A642" s="797"/>
      <c r="B642" s="797"/>
      <c r="C642" s="829"/>
      <c r="D642" s="900"/>
      <c r="E642" s="900"/>
      <c r="F642" s="900"/>
      <c r="G642" s="819"/>
    </row>
    <row r="643" spans="1:9" ht="12.75" customHeight="1">
      <c r="A643" s="795"/>
      <c r="B643" s="798" t="s">
        <v>2603</v>
      </c>
      <c r="C643" s="829"/>
      <c r="D643" s="1974" t="s">
        <v>1526</v>
      </c>
      <c r="E643" s="1974"/>
      <c r="F643" s="1974"/>
      <c r="G643" s="819"/>
      <c r="I643" s="1773" t="s">
        <v>2503</v>
      </c>
    </row>
    <row r="644" spans="1:9" ht="14.25">
      <c r="A644" s="795"/>
      <c r="B644" s="797"/>
      <c r="C644" s="829"/>
      <c r="D644" s="1974"/>
      <c r="E644" s="1974"/>
      <c r="F644" s="1974"/>
      <c r="G644" s="819"/>
    </row>
    <row r="645" spans="1:9" ht="14.25">
      <c r="A645" s="795"/>
      <c r="B645" s="797"/>
      <c r="C645" s="829"/>
      <c r="D645" s="1974"/>
      <c r="E645" s="1974"/>
      <c r="F645" s="1974"/>
      <c r="G645" s="819"/>
    </row>
    <row r="646" spans="1:9" ht="14.25">
      <c r="A646" s="795"/>
      <c r="B646" s="797"/>
      <c r="C646" s="829"/>
      <c r="D646" s="1974"/>
      <c r="E646" s="1974"/>
      <c r="F646" s="1974"/>
      <c r="G646" s="819"/>
    </row>
    <row r="647" spans="1:9" ht="14.25">
      <c r="A647" s="795"/>
      <c r="B647" s="797"/>
      <c r="C647" s="829"/>
      <c r="D647" s="1974"/>
      <c r="E647" s="1974"/>
      <c r="F647" s="1974"/>
      <c r="G647" s="819"/>
    </row>
    <row r="648" spans="1:9" ht="14.25" customHeight="1">
      <c r="A648" s="795"/>
      <c r="B648" s="797"/>
      <c r="C648" s="829"/>
      <c r="F648" s="901"/>
      <c r="G648" s="819"/>
    </row>
    <row r="649" spans="1:9" ht="12.75" customHeight="1">
      <c r="A649" s="795"/>
      <c r="B649" s="798" t="s">
        <v>2603</v>
      </c>
      <c r="C649" s="829"/>
      <c r="D649" s="1974" t="s">
        <v>1524</v>
      </c>
      <c r="E649" s="1974"/>
      <c r="F649" s="1974"/>
      <c r="G649" s="819"/>
      <c r="I649" s="1773" t="s">
        <v>2503</v>
      </c>
    </row>
    <row r="650" spans="1:9" ht="14.25">
      <c r="A650" s="795"/>
      <c r="B650" s="797"/>
      <c r="C650" s="829"/>
      <c r="D650" s="1974"/>
      <c r="E650" s="1974"/>
      <c r="F650" s="1974"/>
      <c r="G650" s="819"/>
    </row>
    <row r="651" spans="1:9" ht="14.25">
      <c r="A651" s="797"/>
      <c r="B651" s="797"/>
      <c r="C651" s="829"/>
      <c r="D651" s="1974"/>
      <c r="E651" s="1974"/>
      <c r="F651" s="1974"/>
      <c r="G651" s="819"/>
    </row>
    <row r="652" spans="1:9" ht="14.25">
      <c r="A652" s="797"/>
      <c r="B652" s="797"/>
      <c r="C652" s="829"/>
      <c r="D652" s="1974"/>
      <c r="E652" s="1974"/>
      <c r="F652" s="1974"/>
      <c r="G652" s="819"/>
    </row>
    <row r="653" spans="1:9" ht="14.25">
      <c r="A653" s="797"/>
      <c r="B653" s="797"/>
      <c r="C653" s="829"/>
      <c r="D653" s="892"/>
      <c r="E653" s="892"/>
      <c r="F653" s="892"/>
      <c r="G653" s="819"/>
    </row>
    <row r="654" spans="1:9" ht="12.75" customHeight="1">
      <c r="A654" s="795"/>
      <c r="B654" s="798" t="s">
        <v>2603</v>
      </c>
      <c r="C654" s="829"/>
      <c r="D654" s="1974" t="s">
        <v>1525</v>
      </c>
      <c r="E654" s="1974"/>
      <c r="F654" s="1974"/>
      <c r="G654" s="819"/>
      <c r="I654" s="1773" t="s">
        <v>2503</v>
      </c>
    </row>
    <row r="655" spans="1:9" ht="12.75" customHeight="1">
      <c r="A655" s="795"/>
      <c r="B655" s="797"/>
      <c r="C655" s="829"/>
      <c r="D655" s="1974"/>
      <c r="E655" s="1974"/>
      <c r="F655" s="1974"/>
      <c r="G655" s="819"/>
    </row>
    <row r="656" spans="1:9" ht="12.75" customHeight="1">
      <c r="A656" s="795"/>
      <c r="B656" s="797"/>
      <c r="C656" s="829"/>
      <c r="D656" s="1974"/>
      <c r="E656" s="1974"/>
      <c r="F656" s="1974"/>
      <c r="G656" s="819"/>
    </row>
    <row r="657" spans="1:11" ht="12.75" customHeight="1">
      <c r="A657" s="795"/>
      <c r="B657" s="797"/>
      <c r="C657" s="829"/>
      <c r="D657" s="1974"/>
      <c r="E657" s="1974"/>
      <c r="F657" s="1974"/>
      <c r="G657" s="819"/>
    </row>
    <row r="658" spans="1:11" ht="12.75" customHeight="1">
      <c r="A658" s="795"/>
      <c r="B658" s="797"/>
      <c r="C658" s="829"/>
      <c r="D658" s="1974"/>
      <c r="E658" s="1974"/>
      <c r="F658" s="1974"/>
      <c r="G658" s="819"/>
    </row>
    <row r="659" spans="1:11" ht="12.75" customHeight="1">
      <c r="A659" s="795"/>
      <c r="B659" s="797"/>
      <c r="C659" s="829"/>
      <c r="D659" s="1974"/>
      <c r="E659" s="1974"/>
      <c r="F659" s="1974"/>
      <c r="G659" s="819"/>
    </row>
    <row r="660" spans="1:11" ht="12.75" customHeight="1">
      <c r="A660" s="795"/>
      <c r="B660" s="797"/>
      <c r="C660" s="829"/>
      <c r="D660" s="1974"/>
      <c r="E660" s="1974"/>
      <c r="F660" s="1974"/>
      <c r="G660" s="819"/>
    </row>
    <row r="661" spans="1:11" ht="12.75" customHeight="1">
      <c r="A661" s="795"/>
      <c r="B661" s="797"/>
      <c r="C661" s="829"/>
      <c r="D661" s="1974"/>
      <c r="E661" s="1974"/>
      <c r="F661" s="1974"/>
      <c r="G661" s="819"/>
    </row>
    <row r="662" spans="1:11" ht="12.75" customHeight="1">
      <c r="A662" s="795"/>
      <c r="B662" s="797"/>
      <c r="C662" s="829"/>
      <c r="D662" s="1974"/>
      <c r="E662" s="1974"/>
      <c r="F662" s="1974"/>
      <c r="G662" s="819"/>
    </row>
    <row r="663" spans="1:11">
      <c r="A663" s="829"/>
      <c r="B663" s="829"/>
      <c r="C663" s="829"/>
      <c r="D663" s="841"/>
      <c r="E663" s="841"/>
      <c r="F663" s="841"/>
      <c r="G663" s="819"/>
    </row>
    <row r="664" spans="1:11">
      <c r="A664" s="1897" t="s">
        <v>1176</v>
      </c>
      <c r="B664" s="1897"/>
      <c r="C664" s="1897"/>
      <c r="D664" s="1897"/>
      <c r="E664" s="1897"/>
      <c r="F664" s="1897"/>
      <c r="G664" s="1897"/>
      <c r="H664" s="1854"/>
      <c r="I664" s="1855"/>
      <c r="J664" s="842"/>
      <c r="K664" s="842"/>
    </row>
    <row r="665" spans="1:11">
      <c r="A665" s="735"/>
      <c r="B665" s="735"/>
      <c r="C665" s="735"/>
      <c r="D665" s="735"/>
      <c r="E665" s="735"/>
      <c r="F665" s="735"/>
      <c r="G665" s="735"/>
      <c r="H665" s="842"/>
      <c r="I665" s="1840"/>
      <c r="J665" s="842"/>
      <c r="K665" s="842"/>
    </row>
    <row r="666" spans="1:11">
      <c r="C666" s="840"/>
      <c r="D666" s="1887" t="s">
        <v>104</v>
      </c>
      <c r="E666" s="1887"/>
      <c r="F666" s="1887"/>
      <c r="G666" s="819"/>
      <c r="H666" s="842"/>
      <c r="I666" s="1840"/>
      <c r="J666" s="842"/>
      <c r="K666" s="842"/>
    </row>
    <row r="667" spans="1:11">
      <c r="A667" s="840"/>
      <c r="B667" s="840"/>
      <c r="C667" s="840"/>
      <c r="D667" s="1887" t="s">
        <v>128</v>
      </c>
      <c r="E667" s="1887"/>
      <c r="F667" s="1887"/>
      <c r="G667" s="819"/>
      <c r="H667" s="842"/>
      <c r="I667" s="1840"/>
      <c r="J667" s="842"/>
      <c r="K667" s="842"/>
    </row>
    <row r="668" spans="1:11">
      <c r="A668" s="795"/>
      <c r="B668" s="795"/>
      <c r="C668" s="795"/>
      <c r="D668" s="1937" t="s">
        <v>1212</v>
      </c>
      <c r="E668" s="1937"/>
      <c r="F668" s="1937"/>
      <c r="G668" s="819"/>
      <c r="H668" s="842"/>
      <c r="I668" s="1840"/>
      <c r="J668" s="842"/>
      <c r="K668" s="842"/>
    </row>
    <row r="669" spans="1:11">
      <c r="A669" s="795"/>
      <c r="B669" s="795"/>
      <c r="C669" s="795"/>
      <c r="G669" s="819"/>
      <c r="H669" s="842"/>
      <c r="I669" s="1840"/>
      <c r="J669" s="842"/>
      <c r="K669" s="842"/>
    </row>
    <row r="670" spans="1:11" ht="14.25">
      <c r="A670" s="797"/>
      <c r="B670" s="798" t="s">
        <v>2604</v>
      </c>
      <c r="C670" s="795"/>
      <c r="D670" s="1937" t="s">
        <v>951</v>
      </c>
      <c r="E670" s="1937"/>
      <c r="F670" s="1937"/>
      <c r="G670" s="819"/>
      <c r="H670" s="842"/>
      <c r="I670" s="1840" t="s">
        <v>2477</v>
      </c>
      <c r="J670" s="842"/>
      <c r="K670" s="842"/>
    </row>
    <row r="671" spans="1:11">
      <c r="A671" s="795"/>
      <c r="B671" s="795"/>
      <c r="C671" s="795"/>
      <c r="D671" s="1937" t="s">
        <v>962</v>
      </c>
      <c r="E671" s="1937"/>
      <c r="F671" s="1937"/>
      <c r="G671" s="819"/>
      <c r="H671" s="842"/>
      <c r="I671" s="1840"/>
      <c r="J671" s="842"/>
      <c r="K671" s="842"/>
    </row>
    <row r="672" spans="1:11">
      <c r="A672" s="795"/>
      <c r="B672" s="795"/>
      <c r="C672" s="795"/>
      <c r="D672" s="672"/>
      <c r="E672" s="1983" t="s">
        <v>1213</v>
      </c>
      <c r="F672" s="1983"/>
      <c r="G672" s="819"/>
      <c r="H672" s="842"/>
      <c r="I672" s="1840"/>
      <c r="J672" s="842"/>
      <c r="K672" s="842"/>
    </row>
    <row r="673" spans="1:11">
      <c r="A673" s="795"/>
      <c r="B673" s="795"/>
      <c r="C673" s="795"/>
      <c r="D673" s="672"/>
      <c r="E673" s="1983"/>
      <c r="F673" s="1983"/>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2603</v>
      </c>
      <c r="C675" s="795"/>
      <c r="D675" s="1932" t="s">
        <v>1405</v>
      </c>
      <c r="E675" s="1932"/>
      <c r="F675" s="1932"/>
      <c r="G675" s="819"/>
      <c r="H675" s="842"/>
      <c r="I675" s="1840" t="s">
        <v>2501</v>
      </c>
      <c r="J675" s="842"/>
      <c r="K675" s="842"/>
    </row>
    <row r="676" spans="1:11">
      <c r="A676" s="816"/>
      <c r="B676" s="816"/>
      <c r="C676" s="795"/>
      <c r="D676" s="1932"/>
      <c r="E676" s="1932"/>
      <c r="F676" s="1932"/>
      <c r="G676" s="819"/>
      <c r="H676" s="842"/>
      <c r="I676" s="1840"/>
      <c r="J676" s="842"/>
      <c r="K676" s="842"/>
    </row>
    <row r="677" spans="1:11">
      <c r="A677" s="795"/>
      <c r="B677" s="795"/>
      <c r="C677" s="795"/>
      <c r="D677" s="1932"/>
      <c r="E677" s="1932"/>
      <c r="F677" s="1932"/>
      <c r="G677" s="819"/>
      <c r="H677" s="842"/>
      <c r="I677" s="1840"/>
      <c r="J677" s="842"/>
      <c r="K677" s="842"/>
    </row>
    <row r="678" spans="1:11">
      <c r="A678" s="795"/>
      <c r="B678" s="795"/>
      <c r="C678" s="795"/>
      <c r="G678" s="819"/>
      <c r="H678" s="842"/>
      <c r="I678" s="1840" t="s">
        <v>2478</v>
      </c>
      <c r="J678" s="842"/>
      <c r="K678" s="842"/>
    </row>
    <row r="679" spans="1:11" ht="14.25">
      <c r="A679" s="797"/>
      <c r="B679" s="798" t="s">
        <v>2604</v>
      </c>
      <c r="C679" s="795"/>
      <c r="D679" s="1937" t="s">
        <v>991</v>
      </c>
      <c r="E679" s="1937"/>
      <c r="F679" s="1937"/>
      <c r="G679" s="819"/>
      <c r="H679" s="842"/>
      <c r="I679" s="1840"/>
      <c r="J679" s="842"/>
      <c r="K679" s="842"/>
    </row>
    <row r="680" spans="1:11" ht="14.25">
      <c r="A680" s="797"/>
      <c r="B680" s="797"/>
      <c r="C680" s="795"/>
      <c r="D680" s="1937" t="s">
        <v>962</v>
      </c>
      <c r="E680" s="1937"/>
      <c r="F680" s="1937"/>
      <c r="G680" s="819"/>
      <c r="H680" s="842"/>
      <c r="I680" s="1840"/>
      <c r="J680" s="842"/>
      <c r="K680" s="842"/>
    </row>
    <row r="681" spans="1:11">
      <c r="A681" s="795"/>
      <c r="B681" s="795"/>
      <c r="C681" s="795"/>
      <c r="D681" s="672"/>
      <c r="E681" s="1980" t="s">
        <v>1215</v>
      </c>
      <c r="F681" s="1980"/>
      <c r="G681" s="819"/>
      <c r="H681" s="842"/>
      <c r="I681" s="1840"/>
      <c r="J681" s="842"/>
      <c r="K681" s="842"/>
    </row>
    <row r="682" spans="1:11">
      <c r="A682" s="795"/>
      <c r="B682" s="795"/>
      <c r="C682" s="795"/>
      <c r="D682" s="794"/>
      <c r="G682" s="819"/>
      <c r="H682" s="842"/>
      <c r="I682" s="1840"/>
      <c r="J682" s="842"/>
      <c r="K682" s="842"/>
    </row>
    <row r="683" spans="1:11" ht="14.25">
      <c r="A683" s="797"/>
      <c r="B683" s="798" t="s">
        <v>2603</v>
      </c>
      <c r="C683" s="795"/>
      <c r="D683" s="1977" t="s">
        <v>1225</v>
      </c>
      <c r="E683" s="1977"/>
      <c r="F683" s="1977"/>
      <c r="G683" s="819"/>
      <c r="H683" s="842"/>
      <c r="I683" s="1840" t="s">
        <v>2450</v>
      </c>
      <c r="J683" s="842"/>
      <c r="K683" s="842"/>
    </row>
    <row r="684" spans="1:11">
      <c r="A684" s="795"/>
      <c r="B684" s="795"/>
      <c r="C684" s="795"/>
      <c r="D684" s="1977"/>
      <c r="E684" s="1977"/>
      <c r="F684" s="1977"/>
      <c r="G684" s="819"/>
      <c r="H684" s="842"/>
      <c r="I684" s="1840"/>
      <c r="J684" s="842"/>
      <c r="K684" s="842"/>
    </row>
    <row r="685" spans="1:11">
      <c r="A685" s="795"/>
      <c r="B685" s="795"/>
      <c r="C685" s="795"/>
      <c r="D685" s="1977"/>
      <c r="E685" s="1977"/>
      <c r="F685" s="1977"/>
      <c r="G685" s="819"/>
      <c r="H685" s="842"/>
      <c r="I685" s="1840"/>
      <c r="J685" s="842"/>
      <c r="K685" s="842"/>
    </row>
    <row r="686" spans="1:11">
      <c r="A686" s="795"/>
      <c r="B686" s="795"/>
      <c r="C686" s="795"/>
      <c r="D686" s="1977"/>
      <c r="E686" s="1977"/>
      <c r="F686" s="1977"/>
      <c r="G686" s="819"/>
      <c r="H686" s="842"/>
      <c r="I686" s="1840"/>
      <c r="J686" s="842"/>
      <c r="K686" s="842"/>
    </row>
    <row r="687" spans="1:11">
      <c r="A687" s="795"/>
      <c r="B687" s="795"/>
      <c r="C687" s="795"/>
      <c r="D687" s="1977"/>
      <c r="E687" s="1977"/>
      <c r="F687" s="1977"/>
      <c r="G687" s="819"/>
      <c r="H687" s="842"/>
      <c r="I687" s="1840"/>
      <c r="J687" s="842"/>
      <c r="K687" s="842"/>
    </row>
    <row r="688" spans="1:11" s="791" customFormat="1">
      <c r="A688" s="834"/>
      <c r="B688" s="834"/>
      <c r="C688" s="834"/>
      <c r="D688" s="1977"/>
      <c r="E688" s="1977"/>
      <c r="F688" s="1977"/>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2603</v>
      </c>
      <c r="C690" s="834"/>
      <c r="D690" s="1977" t="s">
        <v>1407</v>
      </c>
      <c r="E690" s="1977"/>
      <c r="F690" s="1977"/>
      <c r="G690" s="844"/>
      <c r="H690" s="845"/>
      <c r="I690" s="1841" t="s">
        <v>2450</v>
      </c>
      <c r="J690" s="845"/>
      <c r="K690" s="845"/>
    </row>
    <row r="691" spans="1:11" s="791" customFormat="1">
      <c r="A691" s="834"/>
      <c r="B691" s="834"/>
      <c r="C691" s="834"/>
      <c r="D691" s="1977"/>
      <c r="E691" s="1977"/>
      <c r="F691" s="1977"/>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2603</v>
      </c>
      <c r="C693" s="795"/>
      <c r="D693" s="1977" t="s">
        <v>1216</v>
      </c>
      <c r="E693" s="1977"/>
      <c r="F693" s="1977"/>
      <c r="G693" s="819"/>
      <c r="H693" s="842"/>
      <c r="I693" s="1840" t="s">
        <v>2450</v>
      </c>
      <c r="J693" s="842"/>
      <c r="K693" s="842"/>
    </row>
    <row r="694" spans="1:11">
      <c r="A694" s="795"/>
      <c r="B694" s="795"/>
      <c r="C694" s="795"/>
      <c r="D694" s="1977"/>
      <c r="E694" s="1977"/>
      <c r="F694" s="1977"/>
      <c r="G694" s="819"/>
      <c r="H694" s="842"/>
      <c r="I694" s="1840"/>
      <c r="J694" s="842"/>
      <c r="K694" s="842"/>
    </row>
    <row r="695" spans="1:11">
      <c r="A695" s="795"/>
      <c r="B695" s="795"/>
      <c r="C695" s="795"/>
      <c r="D695" s="1977"/>
      <c r="E695" s="1977"/>
      <c r="F695" s="1977"/>
      <c r="G695" s="819"/>
      <c r="H695" s="842"/>
      <c r="I695" s="1840"/>
      <c r="J695" s="842"/>
      <c r="K695" s="842"/>
    </row>
    <row r="696" spans="1:11" ht="15" customHeight="1">
      <c r="A696" s="795"/>
      <c r="B696" s="795"/>
      <c r="C696" s="795"/>
      <c r="D696" s="1977"/>
      <c r="E696" s="1977"/>
      <c r="F696" s="1977"/>
      <c r="G696" s="819"/>
      <c r="H696" s="842"/>
      <c r="I696" s="1840"/>
      <c r="J696" s="842"/>
      <c r="K696" s="842"/>
    </row>
    <row r="697" spans="1:11" ht="15" customHeight="1">
      <c r="A697" s="795"/>
      <c r="B697" s="795"/>
      <c r="C697" s="795"/>
      <c r="D697" s="1977"/>
      <c r="E697" s="1977"/>
      <c r="F697" s="1977"/>
      <c r="G697" s="819"/>
      <c r="H697" s="842"/>
      <c r="I697" s="1840"/>
      <c r="J697" s="842"/>
      <c r="K697" s="842"/>
    </row>
    <row r="698" spans="1:11">
      <c r="A698" s="795"/>
      <c r="B698" s="795"/>
      <c r="C698" s="795"/>
      <c r="D698" s="1977"/>
      <c r="E698" s="1977"/>
      <c r="F698" s="1977"/>
      <c r="G698" s="819"/>
      <c r="H698" s="842"/>
      <c r="I698" s="1840"/>
      <c r="J698" s="842"/>
      <c r="K698" s="842"/>
    </row>
    <row r="699" spans="1:11">
      <c r="A699" s="795"/>
      <c r="B699" s="795"/>
      <c r="C699" s="795"/>
      <c r="D699" s="1977"/>
      <c r="E699" s="1977"/>
      <c r="F699" s="1977"/>
      <c r="G699" s="819"/>
      <c r="H699" s="842"/>
      <c r="I699" s="1840"/>
      <c r="J699" s="842"/>
      <c r="K699" s="842"/>
    </row>
    <row r="700" spans="1:11">
      <c r="A700" s="795"/>
      <c r="B700" s="795"/>
      <c r="C700" s="795"/>
      <c r="D700" s="1977"/>
      <c r="E700" s="1977"/>
      <c r="F700" s="1977"/>
      <c r="G700" s="819"/>
      <c r="H700" s="842"/>
      <c r="I700" s="1840"/>
      <c r="J700" s="842"/>
      <c r="K700" s="842"/>
    </row>
    <row r="701" spans="1:11" ht="15" customHeight="1">
      <c r="A701" s="795"/>
      <c r="B701" s="795"/>
      <c r="C701" s="795"/>
      <c r="D701" s="1977"/>
      <c r="E701" s="1977"/>
      <c r="F701" s="1977"/>
      <c r="G701" s="819"/>
      <c r="H701" s="842"/>
      <c r="I701" s="1840"/>
      <c r="J701" s="842"/>
      <c r="K701" s="842"/>
    </row>
    <row r="702" spans="1:11">
      <c r="A702" s="795"/>
      <c r="B702" s="795"/>
      <c r="C702" s="795"/>
      <c r="D702" s="1977"/>
      <c r="E702" s="1977"/>
      <c r="F702" s="1977"/>
      <c r="G702" s="819"/>
      <c r="H702" s="842"/>
      <c r="I702" s="1840"/>
      <c r="J702" s="842"/>
      <c r="K702" s="842"/>
    </row>
    <row r="703" spans="1:11">
      <c r="A703" s="795"/>
      <c r="B703" s="795"/>
      <c r="C703" s="795"/>
      <c r="D703" s="1977"/>
      <c r="E703" s="1977"/>
      <c r="F703" s="1977"/>
      <c r="G703" s="819"/>
      <c r="H703" s="842"/>
      <c r="I703" s="1840"/>
      <c r="J703" s="842"/>
      <c r="K703" s="842"/>
    </row>
    <row r="704" spans="1:11">
      <c r="A704" s="795"/>
      <c r="B704" s="795"/>
      <c r="C704" s="795"/>
      <c r="D704" s="1977"/>
      <c r="E704" s="1977"/>
      <c r="F704" s="1977"/>
      <c r="G704" s="819"/>
      <c r="H704" s="842"/>
      <c r="I704" s="1840"/>
      <c r="J704" s="842"/>
      <c r="K704" s="842"/>
    </row>
    <row r="705" spans="1:11">
      <c r="A705" s="795"/>
      <c r="B705" s="795"/>
      <c r="C705" s="795"/>
      <c r="D705" s="1977"/>
      <c r="E705" s="1977"/>
      <c r="F705" s="1977"/>
      <c r="G705" s="819"/>
      <c r="H705" s="842"/>
      <c r="I705" s="1840"/>
      <c r="J705" s="842"/>
      <c r="K705" s="842"/>
    </row>
    <row r="706" spans="1:11">
      <c r="A706" s="795"/>
      <c r="B706" s="798" t="s">
        <v>2603</v>
      </c>
      <c r="C706" s="795"/>
      <c r="D706" s="1977" t="s">
        <v>1223</v>
      </c>
      <c r="E706" s="1977"/>
      <c r="F706" s="1977"/>
      <c r="G706" s="819"/>
      <c r="H706" s="842"/>
      <c r="I706" s="1840" t="s">
        <v>2502</v>
      </c>
      <c r="J706" s="842"/>
      <c r="K706" s="842"/>
    </row>
    <row r="707" spans="1:11">
      <c r="A707" s="795"/>
      <c r="B707" s="795"/>
      <c r="C707" s="795"/>
      <c r="D707" s="1977"/>
      <c r="E707" s="1977"/>
      <c r="F707" s="1977"/>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2603</v>
      </c>
      <c r="C709" s="795"/>
      <c r="D709" s="1977" t="s">
        <v>1217</v>
      </c>
      <c r="E709" s="1977"/>
      <c r="F709" s="1977"/>
      <c r="G709" s="819"/>
      <c r="H709" s="842"/>
      <c r="I709" s="1840" t="s">
        <v>2502</v>
      </c>
      <c r="J709" s="842"/>
      <c r="K709" s="842"/>
    </row>
    <row r="710" spans="1:11">
      <c r="A710" s="795"/>
      <c r="B710" s="795"/>
      <c r="C710" s="795"/>
      <c r="D710" s="1977"/>
      <c r="E710" s="1977"/>
      <c r="F710" s="1977"/>
      <c r="G710" s="819"/>
      <c r="H710" s="842"/>
      <c r="I710" s="1840"/>
      <c r="J710" s="842"/>
      <c r="K710" s="842"/>
    </row>
    <row r="711" spans="1:11">
      <c r="A711" s="795"/>
      <c r="B711" s="795"/>
      <c r="C711" s="795"/>
      <c r="D711" s="1977"/>
      <c r="E711" s="1977"/>
      <c r="F711" s="1977"/>
      <c r="G711" s="819"/>
      <c r="H711" s="842"/>
      <c r="I711" s="1840"/>
      <c r="J711" s="842"/>
      <c r="K711" s="842"/>
    </row>
    <row r="712" spans="1:11">
      <c r="A712" s="795"/>
      <c r="B712" s="795"/>
      <c r="C712" s="795"/>
      <c r="D712" s="802"/>
      <c r="G712" s="819"/>
      <c r="H712" s="842"/>
      <c r="I712" s="1840"/>
      <c r="J712" s="842"/>
      <c r="K712" s="842"/>
    </row>
    <row r="713" spans="1:11">
      <c r="A713" s="795"/>
      <c r="B713" s="798" t="s">
        <v>2603</v>
      </c>
      <c r="C713" s="795"/>
      <c r="D713" s="1977" t="s">
        <v>1218</v>
      </c>
      <c r="E713" s="1977"/>
      <c r="F713" s="1977"/>
      <c r="G713" s="819"/>
      <c r="H713" s="842"/>
      <c r="I713" s="1840" t="s">
        <v>2502</v>
      </c>
      <c r="J713" s="842"/>
      <c r="K713" s="842"/>
    </row>
    <row r="714" spans="1:11">
      <c r="A714" s="795"/>
      <c r="B714" s="795"/>
      <c r="C714" s="795"/>
      <c r="D714" s="1977"/>
      <c r="E714" s="1977"/>
      <c r="F714" s="1977"/>
      <c r="G714" s="819"/>
      <c r="H714" s="842"/>
      <c r="I714" s="1840"/>
      <c r="J714" s="842"/>
      <c r="K714" s="842"/>
    </row>
    <row r="715" spans="1:11">
      <c r="A715" s="795"/>
      <c r="B715" s="795"/>
      <c r="C715" s="795"/>
      <c r="D715" s="1977"/>
      <c r="E715" s="1977"/>
      <c r="F715" s="1977"/>
      <c r="G715" s="819"/>
      <c r="H715" s="842"/>
      <c r="I715" s="1840"/>
      <c r="J715" s="842"/>
      <c r="K715" s="842"/>
    </row>
    <row r="716" spans="1:11">
      <c r="A716" s="795"/>
      <c r="B716" s="795"/>
      <c r="C716" s="795"/>
      <c r="D716" s="790"/>
      <c r="G716" s="819"/>
      <c r="H716" s="842"/>
      <c r="I716" s="1840"/>
      <c r="J716" s="842"/>
      <c r="K716" s="842"/>
    </row>
    <row r="717" spans="1:11" ht="14.25">
      <c r="A717" s="797"/>
      <c r="B717" s="798" t="s">
        <v>2603</v>
      </c>
      <c r="C717" s="795"/>
      <c r="D717" s="1932" t="s">
        <v>1219</v>
      </c>
      <c r="E717" s="1932"/>
      <c r="F717" s="1932"/>
      <c r="G717" s="819"/>
      <c r="H717" s="842"/>
      <c r="I717" s="1840" t="s">
        <v>2451</v>
      </c>
      <c r="J717" s="842"/>
      <c r="K717" s="842"/>
    </row>
    <row r="718" spans="1:11">
      <c r="A718" s="795"/>
      <c r="B718" s="795"/>
      <c r="C718" s="795"/>
      <c r="D718" s="1932"/>
      <c r="E718" s="1932"/>
      <c r="F718" s="1932"/>
      <c r="G718" s="819"/>
      <c r="H718" s="842"/>
      <c r="I718" s="1840"/>
      <c r="J718" s="842"/>
      <c r="K718" s="842"/>
    </row>
    <row r="719" spans="1:11">
      <c r="A719" s="795"/>
      <c r="B719" s="795"/>
      <c r="C719" s="795"/>
      <c r="D719" s="1932"/>
      <c r="E719" s="1932"/>
      <c r="F719" s="1932"/>
      <c r="G719" s="819"/>
      <c r="H719" s="842"/>
      <c r="I719" s="1840"/>
      <c r="J719" s="842"/>
      <c r="K719" s="842"/>
    </row>
    <row r="720" spans="1:11">
      <c r="A720" s="795"/>
      <c r="B720" s="795"/>
      <c r="C720" s="795"/>
      <c r="D720" s="1932"/>
      <c r="E720" s="1932"/>
      <c r="F720" s="1932"/>
      <c r="G720" s="819"/>
      <c r="H720" s="842"/>
      <c r="I720" s="1840"/>
      <c r="J720" s="842"/>
      <c r="K720" s="842"/>
    </row>
    <row r="721" spans="1:11">
      <c r="A721" s="795"/>
      <c r="B721" s="795"/>
      <c r="C721" s="795"/>
      <c r="D721" s="822"/>
      <c r="G721" s="819"/>
      <c r="H721" s="842"/>
      <c r="I721" s="1840"/>
      <c r="J721" s="842"/>
      <c r="K721" s="842"/>
    </row>
    <row r="722" spans="1:11" ht="14.25">
      <c r="A722" s="797"/>
      <c r="B722" s="798" t="s">
        <v>2603</v>
      </c>
      <c r="C722" s="795"/>
      <c r="D722" s="1977" t="s">
        <v>1352</v>
      </c>
      <c r="E722" s="1977"/>
      <c r="F722" s="1977"/>
      <c r="G722" s="819"/>
      <c r="H722" s="842"/>
      <c r="I722" s="1840" t="s">
        <v>2467</v>
      </c>
      <c r="J722" s="842"/>
      <c r="K722" s="842"/>
    </row>
    <row r="723" spans="1:11">
      <c r="A723" s="795"/>
      <c r="B723" s="795"/>
      <c r="C723" s="795"/>
      <c r="D723" s="1977"/>
      <c r="E723" s="1977"/>
      <c r="F723" s="1977"/>
      <c r="G723" s="819"/>
      <c r="H723" s="842"/>
      <c r="I723" s="1840"/>
      <c r="J723" s="842"/>
      <c r="K723" s="842"/>
    </row>
    <row r="724" spans="1:11">
      <c r="A724" s="795"/>
      <c r="B724" s="795"/>
      <c r="C724" s="795"/>
      <c r="D724" s="1977"/>
      <c r="E724" s="1977"/>
      <c r="F724" s="1977"/>
      <c r="G724" s="819"/>
      <c r="H724" s="842"/>
      <c r="I724" s="1840"/>
      <c r="J724" s="842"/>
      <c r="K724" s="842"/>
    </row>
    <row r="725" spans="1:11">
      <c r="A725" s="795"/>
      <c r="B725" s="795"/>
      <c r="C725" s="795"/>
      <c r="D725" s="1977"/>
      <c r="E725" s="1977"/>
      <c r="F725" s="1977"/>
      <c r="G725" s="819"/>
      <c r="H725" s="842"/>
      <c r="I725" s="1840"/>
      <c r="J725" s="842"/>
      <c r="K725" s="842"/>
    </row>
    <row r="726" spans="1:11">
      <c r="A726" s="795"/>
      <c r="B726" s="795"/>
      <c r="C726" s="795"/>
      <c r="D726" s="1977"/>
      <c r="E726" s="1977"/>
      <c r="F726" s="1977"/>
      <c r="G726" s="819"/>
      <c r="H726" s="842"/>
      <c r="I726" s="1840"/>
      <c r="J726" s="842"/>
      <c r="K726" s="842"/>
    </row>
    <row r="727" spans="1:11">
      <c r="A727" s="795"/>
      <c r="B727" s="795"/>
      <c r="C727" s="795"/>
      <c r="D727" s="1977"/>
      <c r="E727" s="1977"/>
      <c r="F727" s="1977"/>
      <c r="G727" s="819"/>
      <c r="H727" s="842"/>
      <c r="I727" s="1840"/>
      <c r="J727" s="842"/>
      <c r="K727" s="842"/>
    </row>
    <row r="728" spans="1:11">
      <c r="A728" s="795"/>
      <c r="B728" s="795"/>
      <c r="C728" s="795"/>
      <c r="D728" s="1977"/>
      <c r="E728" s="1977"/>
      <c r="F728" s="1977"/>
      <c r="G728" s="819"/>
      <c r="H728" s="842"/>
      <c r="I728" s="1840"/>
      <c r="J728" s="842"/>
      <c r="K728" s="842"/>
    </row>
    <row r="729" spans="1:11">
      <c r="A729" s="795"/>
      <c r="B729" s="795"/>
      <c r="C729" s="795"/>
      <c r="D729" s="1905" t="s">
        <v>1220</v>
      </c>
      <c r="E729" s="1905"/>
      <c r="F729" s="1905"/>
      <c r="G729" s="819"/>
      <c r="H729" s="842"/>
      <c r="I729" s="1840"/>
      <c r="J729" s="842"/>
      <c r="K729" s="842"/>
    </row>
    <row r="730" spans="1:11">
      <c r="A730" s="795"/>
      <c r="B730" s="795"/>
      <c r="C730" s="795"/>
      <c r="D730" s="782"/>
      <c r="G730" s="819"/>
      <c r="H730" s="842"/>
      <c r="I730" s="1840"/>
      <c r="J730" s="842"/>
      <c r="K730" s="842"/>
    </row>
    <row r="731" spans="1:11">
      <c r="A731" s="1898" t="s">
        <v>1177</v>
      </c>
      <c r="B731" s="1898"/>
      <c r="C731" s="1898"/>
      <c r="D731" s="1898"/>
      <c r="E731" s="1898"/>
      <c r="F731" s="1898"/>
      <c r="G731" s="1898"/>
      <c r="H731" s="1854"/>
      <c r="I731" s="1855"/>
      <c r="J731" s="842"/>
      <c r="K731" s="842"/>
    </row>
    <row r="732" spans="1:11">
      <c r="A732" s="795"/>
      <c r="B732" s="795"/>
      <c r="C732" s="795"/>
      <c r="D732" s="822"/>
      <c r="G732" s="847"/>
      <c r="H732" s="842"/>
      <c r="I732" s="1840"/>
      <c r="J732" s="842"/>
      <c r="K732" s="842"/>
    </row>
    <row r="733" spans="1:11" ht="13.7" customHeight="1">
      <c r="C733" s="795"/>
      <c r="D733" s="1970" t="s">
        <v>1193</v>
      </c>
      <c r="E733" s="1970"/>
      <c r="F733" s="1970"/>
      <c r="G733" s="847"/>
      <c r="H733" s="842"/>
      <c r="I733" s="1840"/>
      <c r="J733" s="842"/>
      <c r="K733" s="842"/>
    </row>
    <row r="734" spans="1:11">
      <c r="A734" s="795"/>
      <c r="B734" s="795"/>
      <c r="C734" s="795"/>
      <c r="D734" s="1911" t="s">
        <v>1194</v>
      </c>
      <c r="E734" s="1911"/>
      <c r="F734" s="1911"/>
      <c r="G734" s="847"/>
      <c r="H734" s="842"/>
      <c r="I734" s="1840"/>
      <c r="J734" s="842"/>
      <c r="K734" s="842"/>
    </row>
    <row r="735" spans="1:11">
      <c r="A735" s="795"/>
      <c r="B735" s="795"/>
      <c r="C735" s="795"/>
      <c r="G735" s="847"/>
      <c r="H735" s="842"/>
      <c r="I735" s="1840"/>
      <c r="J735" s="842"/>
      <c r="K735" s="842"/>
    </row>
    <row r="736" spans="1:11" s="791" customFormat="1" ht="14.25">
      <c r="A736" s="797"/>
      <c r="B736" s="798" t="s">
        <v>2604</v>
      </c>
      <c r="C736" s="788"/>
      <c r="D736" s="1932" t="s">
        <v>1195</v>
      </c>
      <c r="E736" s="1932"/>
      <c r="F736" s="1932"/>
      <c r="G736" s="847"/>
      <c r="H736" s="845"/>
      <c r="I736" s="1841" t="s">
        <v>2452</v>
      </c>
      <c r="J736" s="845"/>
      <c r="K736" s="845"/>
    </row>
    <row r="737" spans="1:11" s="791" customFormat="1" ht="10.5" customHeight="1">
      <c r="A737" s="788"/>
      <c r="B737" s="788"/>
      <c r="C737" s="788"/>
      <c r="D737" s="1932"/>
      <c r="E737" s="1932"/>
      <c r="F737" s="1932"/>
      <c r="G737" s="847"/>
      <c r="H737" s="845"/>
      <c r="I737" s="1841"/>
      <c r="J737" s="845"/>
      <c r="K737" s="845"/>
    </row>
    <row r="738" spans="1:11" s="791" customFormat="1">
      <c r="A738" s="788"/>
      <c r="B738" s="788"/>
      <c r="C738" s="788"/>
      <c r="D738" s="1932"/>
      <c r="E738" s="1932"/>
      <c r="F738" s="1932"/>
      <c r="G738" s="847"/>
      <c r="H738" s="845"/>
      <c r="I738" s="1841"/>
      <c r="J738" s="845"/>
      <c r="K738" s="845"/>
    </row>
    <row r="739" spans="1:11">
      <c r="D739" s="1932"/>
      <c r="E739" s="1932"/>
      <c r="F739" s="1932"/>
      <c r="G739" s="847"/>
      <c r="H739" s="842"/>
      <c r="I739" s="1840"/>
      <c r="J739" s="842"/>
      <c r="K739" s="842"/>
    </row>
    <row r="740" spans="1:11">
      <c r="A740" s="801"/>
      <c r="B740" s="801"/>
      <c r="C740" s="801"/>
      <c r="D740" s="1932"/>
      <c r="E740" s="1932"/>
      <c r="F740" s="1932"/>
      <c r="G740" s="848"/>
      <c r="H740" s="842"/>
      <c r="I740" s="1840"/>
      <c r="J740" s="842"/>
      <c r="K740" s="842"/>
    </row>
    <row r="741" spans="1:11" ht="15.6" customHeight="1">
      <c r="A741" s="801"/>
      <c r="B741" s="801"/>
      <c r="C741" s="801"/>
      <c r="D741" s="1932"/>
      <c r="E741" s="1932"/>
      <c r="F741" s="1932"/>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2604</v>
      </c>
      <c r="C743" s="851"/>
      <c r="D743" s="1889" t="s">
        <v>1458</v>
      </c>
      <c r="E743" s="1889"/>
      <c r="F743" s="1889"/>
      <c r="G743" s="852"/>
      <c r="I743" s="1842" t="s">
        <v>2452</v>
      </c>
    </row>
    <row r="744" spans="1:11" s="853" customFormat="1">
      <c r="A744" s="851"/>
      <c r="B744" s="851"/>
      <c r="C744" s="851"/>
      <c r="D744" s="1889"/>
      <c r="E744" s="1889"/>
      <c r="F744" s="1889"/>
      <c r="G744" s="852"/>
      <c r="I744" s="1842"/>
    </row>
    <row r="745" spans="1:11" s="853" customFormat="1">
      <c r="A745" s="851"/>
      <c r="B745" s="851"/>
      <c r="C745" s="851"/>
      <c r="D745" s="1889"/>
      <c r="E745" s="1889"/>
      <c r="F745" s="1889"/>
      <c r="G745" s="852"/>
      <c r="I745" s="1842"/>
    </row>
    <row r="746" spans="1:11" s="853" customFormat="1">
      <c r="A746" s="851"/>
      <c r="B746" s="851"/>
      <c r="C746" s="851"/>
      <c r="D746" s="1889"/>
      <c r="E746" s="1889"/>
      <c r="F746" s="1889"/>
      <c r="G746" s="852"/>
      <c r="I746" s="1842"/>
    </row>
    <row r="747" spans="1:11" s="853" customFormat="1">
      <c r="A747" s="851"/>
      <c r="B747" s="851"/>
      <c r="C747" s="851"/>
      <c r="D747" s="837"/>
      <c r="E747" s="852"/>
      <c r="F747" s="852"/>
      <c r="G747" s="852"/>
      <c r="I747" s="1842"/>
    </row>
    <row r="748" spans="1:11" s="853" customFormat="1" ht="14.25">
      <c r="A748" s="797"/>
      <c r="B748" s="798" t="s">
        <v>2603</v>
      </c>
      <c r="C748" s="851"/>
      <c r="D748" s="1984" t="s">
        <v>1459</v>
      </c>
      <c r="E748" s="1984"/>
      <c r="F748" s="1984"/>
      <c r="G748" s="852"/>
      <c r="I748" s="1842" t="s">
        <v>2453</v>
      </c>
    </row>
    <row r="749" spans="1:11" s="853" customFormat="1">
      <c r="A749" s="851"/>
      <c r="B749" s="851"/>
      <c r="C749" s="851"/>
      <c r="D749" s="1984"/>
      <c r="E749" s="1984"/>
      <c r="F749" s="1984"/>
      <c r="G749" s="852"/>
      <c r="I749" s="1842"/>
    </row>
    <row r="750" spans="1:11" s="853" customFormat="1">
      <c r="A750" s="851"/>
      <c r="B750" s="851"/>
      <c r="C750" s="851"/>
      <c r="D750" s="1984"/>
      <c r="E750" s="1984"/>
      <c r="F750" s="1984"/>
      <c r="G750" s="852"/>
      <c r="I750" s="1842"/>
    </row>
    <row r="751" spans="1:11">
      <c r="A751" s="801"/>
      <c r="B751" s="801"/>
      <c r="C751" s="801"/>
      <c r="D751" s="837"/>
      <c r="E751" s="849"/>
      <c r="F751" s="849"/>
      <c r="G751" s="848"/>
      <c r="H751" s="842"/>
      <c r="I751" s="1840"/>
      <c r="J751" s="842"/>
      <c r="K751" s="842"/>
    </row>
    <row r="752" spans="1:11" ht="14.25">
      <c r="A752" s="797"/>
      <c r="B752" s="798" t="s">
        <v>2603</v>
      </c>
      <c r="C752" s="801"/>
      <c r="D752" s="1889" t="s">
        <v>1402</v>
      </c>
      <c r="E752" s="1889"/>
      <c r="F752" s="1889"/>
      <c r="G752" s="848"/>
      <c r="H752" s="842"/>
      <c r="I752" s="1840" t="s">
        <v>2452</v>
      </c>
      <c r="J752" s="842"/>
      <c r="K752" s="842"/>
    </row>
    <row r="753" spans="1:11">
      <c r="A753" s="801"/>
      <c r="B753" s="801"/>
      <c r="C753" s="801"/>
      <c r="D753" s="1889"/>
      <c r="E753" s="1889"/>
      <c r="F753" s="1889"/>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2603</v>
      </c>
      <c r="C755" s="801"/>
      <c r="D755" s="1889" t="s">
        <v>1424</v>
      </c>
      <c r="E755" s="1889"/>
      <c r="F755" s="1889"/>
      <c r="G755" s="848"/>
      <c r="H755" s="842"/>
      <c r="I755" s="1840" t="s">
        <v>2452</v>
      </c>
      <c r="J755" s="842"/>
      <c r="K755" s="842"/>
    </row>
    <row r="756" spans="1:11">
      <c r="A756" s="801"/>
      <c r="B756" s="801"/>
      <c r="C756" s="801"/>
      <c r="D756" s="1889"/>
      <c r="E756" s="1889"/>
      <c r="F756" s="1889"/>
      <c r="G756" s="848"/>
      <c r="H756" s="842"/>
      <c r="I756" s="1840"/>
      <c r="J756" s="842"/>
      <c r="K756" s="842"/>
    </row>
    <row r="757" spans="1:11">
      <c r="A757" s="801"/>
      <c r="B757" s="801"/>
      <c r="C757" s="801"/>
      <c r="D757" s="1889"/>
      <c r="E757" s="1889"/>
      <c r="F757" s="1889"/>
      <c r="G757" s="848"/>
      <c r="H757" s="842"/>
      <c r="I757" s="1840"/>
      <c r="J757" s="842"/>
      <c r="K757" s="842"/>
    </row>
    <row r="758" spans="1:11">
      <c r="A758" s="801"/>
      <c r="B758" s="801"/>
      <c r="C758" s="801"/>
      <c r="D758" s="781"/>
      <c r="E758" s="781"/>
      <c r="F758" s="781"/>
      <c r="G758" s="848"/>
      <c r="H758" s="842"/>
      <c r="I758" s="1840"/>
      <c r="J758" s="842"/>
      <c r="K758" s="842"/>
    </row>
    <row r="759" spans="1:11">
      <c r="A759" s="1981" t="s">
        <v>2321</v>
      </c>
      <c r="B759" s="1981"/>
      <c r="C759" s="1981"/>
      <c r="D759" s="1981"/>
      <c r="E759" s="1981"/>
      <c r="F759" s="1981"/>
      <c r="G759" s="1981"/>
      <c r="H759" s="1852"/>
      <c r="I759" s="1853"/>
    </row>
    <row r="760" spans="1:11">
      <c r="A760" s="93"/>
      <c r="B760" s="93"/>
      <c r="C760" s="1731"/>
      <c r="D760" s="155"/>
      <c r="E760" s="155"/>
      <c r="F760" s="155"/>
      <c r="G760" s="686"/>
    </row>
    <row r="761" spans="1:11">
      <c r="A761" s="93"/>
      <c r="B761" s="93"/>
      <c r="C761" s="1731"/>
      <c r="D761" s="1982" t="s">
        <v>2380</v>
      </c>
      <c r="E761" s="1982"/>
      <c r="F761" s="1982"/>
      <c r="G761" s="686"/>
    </row>
    <row r="762" spans="1:11">
      <c r="A762" s="93"/>
      <c r="B762" s="93"/>
      <c r="C762" s="1731"/>
      <c r="D762" s="1996" t="s">
        <v>2266</v>
      </c>
      <c r="E762" s="1996"/>
      <c r="F762" s="1996"/>
      <c r="G762" s="686"/>
    </row>
    <row r="763" spans="1:11">
      <c r="A763" s="93"/>
      <c r="B763" s="93"/>
      <c r="C763" s="1731"/>
      <c r="D763" s="733"/>
      <c r="E763" s="733"/>
      <c r="F763" s="733"/>
      <c r="G763" s="686"/>
    </row>
    <row r="764" spans="1:11">
      <c r="A764" s="93"/>
      <c r="B764" s="798" t="s">
        <v>2604</v>
      </c>
      <c r="C764" s="1731"/>
      <c r="D764" s="1916" t="s">
        <v>2267</v>
      </c>
      <c r="E764" s="1916"/>
      <c r="F764" s="1916"/>
      <c r="G764" s="686"/>
      <c r="I764" s="1840" t="s">
        <v>2504</v>
      </c>
    </row>
    <row r="765" spans="1:11">
      <c r="A765" s="93"/>
      <c r="B765" s="93"/>
      <c r="C765" s="1731"/>
      <c r="D765" s="1916"/>
      <c r="E765" s="1916"/>
      <c r="F765" s="1916"/>
      <c r="G765" s="686"/>
    </row>
    <row r="766" spans="1:11">
      <c r="A766" s="720"/>
      <c r="B766" s="720"/>
      <c r="C766" s="313"/>
      <c r="D766" s="1916"/>
      <c r="E766" s="1916"/>
      <c r="F766" s="1916"/>
      <c r="G766" s="1732"/>
    </row>
    <row r="767" spans="1:11">
      <c r="A767" s="1725"/>
      <c r="B767" s="1725"/>
      <c r="C767" s="1733"/>
      <c r="D767" s="1709"/>
      <c r="E767" s="686"/>
      <c r="F767" s="686"/>
      <c r="G767" s="686"/>
    </row>
    <row r="768" spans="1:11">
      <c r="A768" s="267"/>
      <c r="B768" s="798" t="s">
        <v>2604</v>
      </c>
      <c r="C768" s="1734"/>
      <c r="D768" s="1916" t="s">
        <v>2268</v>
      </c>
      <c r="E768" s="1916"/>
      <c r="F768" s="1916"/>
      <c r="G768" s="686"/>
      <c r="I768" s="1840" t="s">
        <v>2504</v>
      </c>
    </row>
    <row r="769" spans="1:9">
      <c r="A769" s="1735"/>
      <c r="B769" s="1735"/>
      <c r="C769" s="1736"/>
      <c r="D769" s="1916"/>
      <c r="E769" s="1916"/>
      <c r="F769" s="1916"/>
      <c r="G769" s="686"/>
    </row>
    <row r="770" spans="1:9">
      <c r="A770" s="267"/>
      <c r="B770" s="267"/>
      <c r="C770" s="1734"/>
      <c r="D770" s="1916"/>
      <c r="E770" s="1916"/>
      <c r="F770" s="1916"/>
      <c r="G770" s="686"/>
    </row>
    <row r="771" spans="1:9">
      <c r="A771" s="720"/>
      <c r="B771" s="720"/>
      <c r="C771" s="313"/>
      <c r="D771" s="6"/>
      <c r="E771" s="1737"/>
      <c r="F771" s="1737"/>
      <c r="G771" s="1738"/>
    </row>
    <row r="772" spans="1:9" ht="14.25">
      <c r="A772" s="714"/>
      <c r="B772" s="798" t="s">
        <v>2603</v>
      </c>
      <c r="C772" s="1739"/>
      <c r="D772" s="1916" t="s">
        <v>2269</v>
      </c>
      <c r="E772" s="1916"/>
      <c r="F772" s="1916"/>
      <c r="G772" s="1738"/>
      <c r="I772" s="1840" t="s">
        <v>2504</v>
      </c>
    </row>
    <row r="773" spans="1:9" ht="14.25">
      <c r="A773" s="714"/>
      <c r="B773" s="714"/>
      <c r="C773" s="1739"/>
      <c r="D773" s="1916"/>
      <c r="E773" s="1916"/>
      <c r="F773" s="1916"/>
      <c r="G773" s="1738"/>
    </row>
    <row r="774" spans="1:9" ht="14.25">
      <c r="A774" s="714"/>
      <c r="B774" s="714"/>
      <c r="C774" s="1739"/>
      <c r="D774" s="1916"/>
      <c r="E774" s="1916"/>
      <c r="F774" s="1916"/>
      <c r="G774" s="1738"/>
    </row>
    <row r="775" spans="1:9" ht="14.25">
      <c r="A775" s="714"/>
      <c r="B775" s="714"/>
      <c r="C775" s="1739"/>
      <c r="D775" s="1707"/>
      <c r="E775" s="6"/>
      <c r="F775" s="6"/>
      <c r="G775" s="1738"/>
    </row>
    <row r="776" spans="1:9" ht="14.25">
      <c r="A776" s="714"/>
      <c r="B776" s="798" t="s">
        <v>2603</v>
      </c>
      <c r="C776" s="1739"/>
      <c r="D776" s="1916" t="s">
        <v>2270</v>
      </c>
      <c r="E776" s="1916"/>
      <c r="F776" s="1916"/>
      <c r="G776" s="1738"/>
      <c r="I776" s="1840" t="s">
        <v>2504</v>
      </c>
    </row>
    <row r="777" spans="1:9" ht="14.25">
      <c r="A777" s="714"/>
      <c r="B777" s="714"/>
      <c r="C777" s="1739"/>
      <c r="D777" s="1916"/>
      <c r="E777" s="1916"/>
      <c r="F777" s="1916"/>
      <c r="G777" s="1738"/>
    </row>
    <row r="778" spans="1:9" ht="14.25">
      <c r="A778" s="714"/>
      <c r="B778" s="714"/>
      <c r="C778" s="1739"/>
      <c r="D778" s="1916"/>
      <c r="E778" s="1916"/>
      <c r="F778" s="1916"/>
      <c r="G778" s="1738"/>
    </row>
    <row r="779" spans="1:9" ht="14.25">
      <c r="A779" s="714"/>
      <c r="B779" s="714"/>
      <c r="C779" s="1739"/>
      <c r="D779" s="1916"/>
      <c r="E779" s="1916"/>
      <c r="F779" s="1916"/>
      <c r="G779" s="1738"/>
    </row>
    <row r="780" spans="1:9" ht="14.25">
      <c r="A780" s="714"/>
      <c r="B780" s="714"/>
      <c r="C780" s="1739"/>
      <c r="D780" s="1916"/>
      <c r="E780" s="1916"/>
      <c r="F780" s="1916"/>
      <c r="G780" s="1738"/>
    </row>
    <row r="781" spans="1:9" ht="14.25">
      <c r="A781" s="714"/>
      <c r="B781" s="714"/>
      <c r="C781" s="1739"/>
      <c r="D781" s="1916"/>
      <c r="E781" s="1916"/>
      <c r="F781" s="1916"/>
      <c r="G781" s="1738"/>
    </row>
    <row r="782" spans="1:9" ht="14.25">
      <c r="A782" s="714"/>
      <c r="B782" s="714"/>
      <c r="C782" s="1739"/>
      <c r="D782" s="1916" t="s">
        <v>2322</v>
      </c>
      <c r="E782" s="1916"/>
      <c r="F782" s="1916"/>
      <c r="G782" s="1738"/>
    </row>
    <row r="783" spans="1:9" ht="14.25">
      <c r="A783" s="714"/>
      <c r="B783" s="714"/>
      <c r="C783" s="1739"/>
      <c r="D783" s="1916"/>
      <c r="E783" s="1916"/>
      <c r="F783" s="1916"/>
      <c r="G783" s="1738"/>
    </row>
    <row r="784" spans="1:9" ht="14.25">
      <c r="A784" s="714"/>
      <c r="B784" s="714"/>
      <c r="C784" s="1739"/>
      <c r="D784" s="1916"/>
      <c r="E784" s="1916"/>
      <c r="F784" s="1916"/>
      <c r="G784" s="1738"/>
    </row>
    <row r="785" spans="1:9" ht="14.25">
      <c r="A785" s="714"/>
      <c r="B785" s="556"/>
      <c r="C785" s="1739"/>
      <c r="D785" s="1740"/>
      <c r="E785" s="1740"/>
      <c r="F785" s="1740"/>
      <c r="G785" s="1738"/>
    </row>
    <row r="786" spans="1:9" ht="14.25">
      <c r="A786" s="714"/>
      <c r="B786" s="798" t="s">
        <v>2603</v>
      </c>
      <c r="C786" s="1739"/>
      <c r="D786" s="1916" t="s">
        <v>2271</v>
      </c>
      <c r="E786" s="1916"/>
      <c r="F786" s="1916"/>
      <c r="G786" s="1738"/>
      <c r="I786" s="1840" t="s">
        <v>2504</v>
      </c>
    </row>
    <row r="787" spans="1:9" ht="14.25">
      <c r="A787" s="714"/>
      <c r="B787" s="714"/>
      <c r="C787" s="1739"/>
      <c r="D787" s="1916"/>
      <c r="E787" s="1916"/>
      <c r="F787" s="1916"/>
      <c r="G787" s="1738"/>
    </row>
    <row r="788" spans="1:9" ht="14.25">
      <c r="A788" s="714"/>
      <c r="B788" s="714"/>
      <c r="C788" s="1739"/>
      <c r="D788" s="1916"/>
      <c r="E788" s="1916"/>
      <c r="F788" s="1916"/>
      <c r="G788" s="1738"/>
    </row>
    <row r="789" spans="1:9" ht="14.25">
      <c r="A789" s="714"/>
      <c r="B789" s="714"/>
      <c r="C789" s="1739"/>
      <c r="D789" s="1916"/>
      <c r="E789" s="1916"/>
      <c r="F789" s="1916"/>
      <c r="G789" s="1738"/>
    </row>
    <row r="790" spans="1:9" ht="14.25">
      <c r="A790" s="714"/>
      <c r="B790" s="714"/>
      <c r="C790" s="1739"/>
      <c r="D790" s="1916"/>
      <c r="E790" s="1916"/>
      <c r="F790" s="1916"/>
      <c r="G790" s="1738"/>
    </row>
    <row r="791" spans="1:9" ht="14.25">
      <c r="A791" s="714"/>
      <c r="B791" s="714"/>
      <c r="C791" s="1739"/>
      <c r="D791" s="1916"/>
      <c r="E791" s="1916"/>
      <c r="F791" s="1916"/>
      <c r="G791" s="1738"/>
    </row>
    <row r="792" spans="1:9" ht="14.25">
      <c r="A792" s="714"/>
      <c r="B792" s="714"/>
      <c r="C792" s="1739"/>
      <c r="D792" s="1716"/>
      <c r="E792" s="1716"/>
      <c r="F792" s="1716"/>
      <c r="G792" s="1738"/>
    </row>
    <row r="793" spans="1:9" ht="14.25">
      <c r="A793" s="714"/>
      <c r="B793" s="798" t="s">
        <v>2603</v>
      </c>
      <c r="C793" s="1739"/>
      <c r="D793" s="1916" t="s">
        <v>2272</v>
      </c>
      <c r="E793" s="1916"/>
      <c r="F793" s="1916"/>
      <c r="G793" s="1738"/>
      <c r="I793" s="1840" t="s">
        <v>2504</v>
      </c>
    </row>
    <row r="794" spans="1:9" ht="14.25">
      <c r="A794" s="714"/>
      <c r="B794" s="714"/>
      <c r="C794" s="1739"/>
      <c r="D794" s="1916"/>
      <c r="E794" s="1916"/>
      <c r="F794" s="1916"/>
      <c r="G794" s="1738"/>
    </row>
    <row r="795" spans="1:9" ht="14.25">
      <c r="A795" s="714"/>
      <c r="B795" s="714"/>
      <c r="C795" s="1739"/>
      <c r="D795" s="1916"/>
      <c r="E795" s="1916"/>
      <c r="F795" s="1916"/>
      <c r="G795" s="1738"/>
    </row>
    <row r="796" spans="1:9" ht="14.25">
      <c r="A796" s="714"/>
      <c r="B796" s="714"/>
      <c r="C796" s="1739"/>
      <c r="D796" s="1916"/>
      <c r="E796" s="1916"/>
      <c r="F796" s="1916"/>
      <c r="G796" s="1738"/>
    </row>
    <row r="797" spans="1:9" ht="14.25">
      <c r="A797" s="714"/>
      <c r="B797" s="714"/>
      <c r="C797" s="1739"/>
      <c r="D797" s="1916"/>
      <c r="E797" s="1916"/>
      <c r="F797" s="1916"/>
      <c r="G797" s="1738"/>
    </row>
    <row r="798" spans="1:9" ht="14.25">
      <c r="A798" s="714"/>
      <c r="B798" s="714"/>
      <c r="C798" s="1739"/>
      <c r="D798" s="1916"/>
      <c r="E798" s="1916"/>
      <c r="F798" s="1916"/>
      <c r="G798" s="1738"/>
    </row>
    <row r="799" spans="1:9" ht="14.25">
      <c r="A799" s="714"/>
      <c r="B799" s="714"/>
      <c r="C799" s="1739"/>
      <c r="D799" s="1716"/>
      <c r="E799" s="1716"/>
      <c r="F799" s="1716"/>
      <c r="G799" s="1738"/>
    </row>
    <row r="800" spans="1:9" ht="14.25">
      <c r="A800" s="714"/>
      <c r="B800" s="798" t="s">
        <v>2603</v>
      </c>
      <c r="C800" s="1739"/>
      <c r="D800" s="1929" t="s">
        <v>2273</v>
      </c>
      <c r="E800" s="1929"/>
      <c r="F800" s="1929"/>
      <c r="G800" s="1738"/>
      <c r="I800" s="1840" t="s">
        <v>2504</v>
      </c>
    </row>
    <row r="801" spans="1:9" ht="14.25">
      <c r="A801" s="714"/>
      <c r="B801" s="714"/>
      <c r="C801" s="1739"/>
      <c r="D801" s="1929"/>
      <c r="E801" s="1929"/>
      <c r="F801" s="1929"/>
      <c r="G801" s="1738"/>
    </row>
    <row r="802" spans="1:9">
      <c r="A802" s="1724"/>
      <c r="B802" s="1724"/>
      <c r="C802" s="1739"/>
      <c r="D802" s="1929"/>
      <c r="E802" s="1929"/>
      <c r="F802" s="1929"/>
      <c r="G802" s="1738"/>
    </row>
    <row r="803" spans="1:9" ht="14.25">
      <c r="A803" s="714"/>
      <c r="B803" s="1724"/>
      <c r="C803" s="1739"/>
      <c r="D803" s="1929"/>
      <c r="E803" s="1929"/>
      <c r="F803" s="1929"/>
      <c r="G803" s="1738"/>
    </row>
    <row r="804" spans="1:9" ht="12.75" customHeight="1">
      <c r="A804" s="714"/>
      <c r="B804" s="1724"/>
      <c r="C804" s="1739"/>
      <c r="D804" s="1929"/>
      <c r="E804" s="1929"/>
      <c r="F804" s="1929"/>
      <c r="G804" s="1738"/>
    </row>
    <row r="805" spans="1:9" ht="12.75" customHeight="1">
      <c r="A805" s="714"/>
      <c r="B805" s="1724"/>
      <c r="C805" s="1739"/>
      <c r="D805" s="1929"/>
      <c r="E805" s="1929"/>
      <c r="F805" s="1929"/>
      <c r="G805" s="1738"/>
    </row>
    <row r="806" spans="1:9" ht="12.75" customHeight="1">
      <c r="A806" s="1724"/>
      <c r="B806" s="1724"/>
      <c r="C806" s="1739"/>
      <c r="D806" s="1737"/>
      <c r="E806" s="6"/>
      <c r="F806" s="6"/>
      <c r="G806" s="1738"/>
    </row>
    <row r="807" spans="1:9" ht="12.75" customHeight="1">
      <c r="A807" s="1906" t="s">
        <v>2274</v>
      </c>
      <c r="B807" s="1906"/>
      <c r="C807" s="1906"/>
      <c r="D807" s="1906"/>
      <c r="E807" s="1906"/>
      <c r="F807" s="1906"/>
      <c r="G807" s="1906"/>
      <c r="H807" s="1852"/>
      <c r="I807" s="1853"/>
    </row>
    <row r="808" spans="1:9" ht="12.75" customHeight="1">
      <c r="A808" s="1713"/>
      <c r="B808" s="1713"/>
      <c r="C808" s="1739"/>
      <c r="D808" s="1737"/>
      <c r="E808" s="1737"/>
      <c r="F808" s="1737"/>
      <c r="G808" s="1738"/>
    </row>
    <row r="809" spans="1:9" ht="12.75" customHeight="1">
      <c r="A809" s="714"/>
      <c r="B809" s="714"/>
      <c r="C809" s="556"/>
      <c r="D809" s="1913" t="s">
        <v>2323</v>
      </c>
      <c r="E809" s="1913"/>
      <c r="F809" s="1913"/>
      <c r="G809" s="678"/>
    </row>
    <row r="810" spans="1:9" ht="14.25" customHeight="1">
      <c r="A810" s="714"/>
      <c r="B810" s="714"/>
      <c r="C810" s="556"/>
      <c r="D810" s="1871" t="s">
        <v>2275</v>
      </c>
      <c r="E810" s="1871"/>
      <c r="F810" s="1871"/>
      <c r="G810" s="678"/>
    </row>
    <row r="811" spans="1:9" ht="12.75" customHeight="1">
      <c r="A811" s="714"/>
      <c r="B811" s="714"/>
      <c r="C811" s="556"/>
      <c r="D811" s="1702"/>
      <c r="E811" s="1702"/>
      <c r="F811" s="1702"/>
      <c r="G811" s="678"/>
    </row>
    <row r="812" spans="1:9" ht="12.75" customHeight="1">
      <c r="A812" s="1741"/>
      <c r="B812" s="798" t="s">
        <v>2604</v>
      </c>
      <c r="C812" s="1739"/>
      <c r="D812" s="1871" t="s">
        <v>2276</v>
      </c>
      <c r="E812" s="1871"/>
      <c r="F812" s="1871"/>
      <c r="G812" s="678"/>
      <c r="I812" s="1773" t="s">
        <v>2470</v>
      </c>
    </row>
    <row r="813" spans="1:9" ht="14.25" customHeight="1">
      <c r="A813" s="1724"/>
      <c r="B813" s="1724"/>
      <c r="C813" s="1739"/>
      <c r="D813" s="5" t="s">
        <v>2252</v>
      </c>
      <c r="E813" s="1875" t="s">
        <v>2277</v>
      </c>
      <c r="F813" s="1875"/>
      <c r="G813" s="678"/>
    </row>
    <row r="814" spans="1:9" ht="12.75" customHeight="1">
      <c r="A814" s="1724"/>
      <c r="B814" s="1724"/>
      <c r="C814" s="1739"/>
      <c r="D814" s="1742"/>
      <c r="E814" s="6"/>
      <c r="F814" s="6"/>
      <c r="G814" s="678"/>
    </row>
    <row r="815" spans="1:9" ht="14.25" hidden="1" customHeight="1">
      <c r="A815" s="1724"/>
      <c r="B815" s="798" t="s">
        <v>316</v>
      </c>
      <c r="C815" s="1739"/>
      <c r="D815" s="2001" t="s">
        <v>2278</v>
      </c>
      <c r="E815" s="2001"/>
      <c r="F815" s="2001"/>
      <c r="G815" s="678"/>
    </row>
    <row r="816" spans="1:9" ht="12.75" hidden="1" customHeight="1">
      <c r="A816" s="1724"/>
      <c r="B816" s="1724"/>
      <c r="C816" s="1739"/>
      <c r="D816" s="2001"/>
      <c r="E816" s="2001"/>
      <c r="F816" s="2001"/>
      <c r="G816" s="678"/>
    </row>
    <row r="817" spans="1:9" ht="12.75" hidden="1" customHeight="1">
      <c r="A817" s="1724"/>
      <c r="B817" s="1724"/>
      <c r="C817" s="1739"/>
      <c r="D817" s="2001"/>
      <c r="E817" s="2001"/>
      <c r="F817" s="2001"/>
      <c r="G817" s="678"/>
    </row>
    <row r="818" spans="1:9" ht="12.75" hidden="1" customHeight="1">
      <c r="A818" s="1724"/>
      <c r="B818" s="1724"/>
      <c r="C818" s="1739"/>
      <c r="D818" s="2001"/>
      <c r="E818" s="2001"/>
      <c r="F818" s="2001"/>
      <c r="G818" s="678"/>
    </row>
    <row r="819" spans="1:9" ht="12.75" hidden="1" customHeight="1">
      <c r="A819" s="1724"/>
      <c r="B819" s="1724"/>
      <c r="C819" s="1739"/>
      <c r="D819" s="2001"/>
      <c r="E819" s="2001"/>
      <c r="F819" s="2001"/>
      <c r="G819" s="678"/>
    </row>
    <row r="820" spans="1:9" ht="12.75" hidden="1" customHeight="1">
      <c r="A820" s="1724"/>
      <c r="B820" s="1724"/>
      <c r="C820" s="1739"/>
      <c r="D820" s="2001"/>
      <c r="E820" s="2001"/>
      <c r="F820" s="2001"/>
      <c r="G820" s="678"/>
    </row>
    <row r="821" spans="1:9" ht="12.75" hidden="1" customHeight="1">
      <c r="A821" s="1724"/>
      <c r="B821" s="1724"/>
      <c r="C821" s="1739"/>
      <c r="D821" s="2001"/>
      <c r="E821" s="2001"/>
      <c r="F821" s="2001"/>
      <c r="G821" s="678"/>
    </row>
    <row r="822" spans="1:9" ht="12.75" hidden="1" customHeight="1">
      <c r="A822" s="1724"/>
      <c r="B822" s="1724"/>
      <c r="C822" s="1739"/>
      <c r="D822" s="2001"/>
      <c r="E822" s="2001"/>
      <c r="F822" s="2001"/>
      <c r="G822" s="678"/>
    </row>
    <row r="823" spans="1:9" ht="12.75" hidden="1" customHeight="1">
      <c r="A823" s="1724"/>
      <c r="B823" s="1724"/>
      <c r="C823" s="1739"/>
      <c r="D823" s="2001"/>
      <c r="E823" s="2001"/>
      <c r="F823" s="2001"/>
      <c r="G823" s="678"/>
    </row>
    <row r="824" spans="1:9" ht="12.75" hidden="1" customHeight="1">
      <c r="A824" s="1724"/>
      <c r="B824" s="1724"/>
      <c r="C824" s="1739"/>
      <c r="D824" s="2001"/>
      <c r="E824" s="2001"/>
      <c r="F824" s="2001"/>
      <c r="G824" s="678"/>
    </row>
    <row r="825" spans="1:9" ht="12.75" hidden="1" customHeight="1">
      <c r="A825" s="1724"/>
      <c r="B825" s="1724"/>
      <c r="C825" s="1739"/>
      <c r="D825" s="1742"/>
      <c r="E825" s="6"/>
      <c r="F825" s="6"/>
      <c r="G825" s="678"/>
    </row>
    <row r="826" spans="1:9" ht="12.75" customHeight="1">
      <c r="A826" s="714"/>
      <c r="B826" s="798" t="s">
        <v>2604</v>
      </c>
      <c r="C826" s="1739"/>
      <c r="D826" s="1871" t="s">
        <v>2279</v>
      </c>
      <c r="E826" s="1871"/>
      <c r="F826" s="1871"/>
      <c r="G826" s="678"/>
      <c r="I826" s="1773" t="s">
        <v>2490</v>
      </c>
    </row>
    <row r="827" spans="1:9" ht="12.75" customHeight="1">
      <c r="A827" s="714"/>
      <c r="B827" s="714"/>
      <c r="C827" s="1739"/>
      <c r="D827" s="1871"/>
      <c r="E827" s="1871"/>
      <c r="F827" s="1871"/>
      <c r="G827" s="678"/>
    </row>
    <row r="828" spans="1:9" ht="12.75" customHeight="1">
      <c r="A828" s="714"/>
      <c r="B828" s="714"/>
      <c r="C828" s="1739"/>
      <c r="D828" s="1871"/>
      <c r="E828" s="1871"/>
      <c r="F828" s="1871"/>
      <c r="G828" s="678"/>
    </row>
    <row r="829" spans="1:9" ht="12.75" customHeight="1">
      <c r="A829" s="403"/>
      <c r="B829" s="403"/>
      <c r="C829" s="1743"/>
      <c r="D829" s="1720"/>
      <c r="E829" s="678"/>
      <c r="F829" s="678"/>
      <c r="G829" s="678"/>
    </row>
    <row r="830" spans="1:9" ht="12.75" customHeight="1">
      <c r="A830" s="1744"/>
      <c r="B830" s="798" t="s">
        <v>2603</v>
      </c>
      <c r="C830" s="1743"/>
      <c r="D830" s="2002" t="s">
        <v>2280</v>
      </c>
      <c r="E830" s="2002"/>
      <c r="F830" s="2002"/>
      <c r="G830" s="678"/>
    </row>
    <row r="831" spans="1:9" ht="12.75" customHeight="1">
      <c r="A831" s="556"/>
      <c r="B831" s="1744"/>
      <c r="C831" s="1743"/>
      <c r="D831" s="2002"/>
      <c r="E831" s="2002"/>
      <c r="F831" s="2002"/>
      <c r="G831" s="678"/>
    </row>
    <row r="832" spans="1:9" ht="12.75" customHeight="1">
      <c r="A832" s="403"/>
      <c r="B832" s="556"/>
      <c r="C832" s="1743"/>
      <c r="D832" s="1873" t="s">
        <v>2281</v>
      </c>
      <c r="E832" s="1873"/>
      <c r="F832" s="1873"/>
      <c r="G832" s="678"/>
    </row>
    <row r="833" spans="1:9" ht="12.75" customHeight="1">
      <c r="A833" s="403"/>
      <c r="B833" s="403"/>
      <c r="C833" s="1743"/>
      <c r="D833" s="1873"/>
      <c r="E833" s="1873"/>
      <c r="F833" s="1873"/>
      <c r="G833" s="678"/>
    </row>
    <row r="834" spans="1:9" ht="12.75" customHeight="1">
      <c r="A834" s="403"/>
      <c r="B834" s="403"/>
      <c r="C834" s="1743"/>
      <c r="D834" s="1873"/>
      <c r="E834" s="1873"/>
      <c r="F834" s="1873"/>
      <c r="G834" s="678"/>
    </row>
    <row r="835" spans="1:9" ht="12.75" customHeight="1">
      <c r="A835" s="403"/>
      <c r="B835" s="403"/>
      <c r="C835" s="1743"/>
      <c r="D835" s="1873"/>
      <c r="E835" s="1873"/>
      <c r="F835" s="1873"/>
      <c r="G835" s="678"/>
    </row>
    <row r="836" spans="1:9" ht="12.75" customHeight="1">
      <c r="A836" s="403"/>
      <c r="B836" s="403"/>
      <c r="C836" s="1743"/>
      <c r="D836" s="1873"/>
      <c r="E836" s="1873"/>
      <c r="F836" s="1873"/>
      <c r="G836" s="678"/>
    </row>
    <row r="837" spans="1:9" ht="12.75" customHeight="1">
      <c r="A837" s="403"/>
      <c r="B837" s="403"/>
      <c r="C837" s="1743"/>
      <c r="D837" s="1873"/>
      <c r="E837" s="1873"/>
      <c r="F837" s="1873"/>
      <c r="G837" s="678"/>
    </row>
    <row r="838" spans="1:9" ht="12.75" customHeight="1">
      <c r="A838" s="403"/>
      <c r="B838" s="403"/>
      <c r="C838" s="1743"/>
      <c r="D838" s="1720"/>
      <c r="E838" s="678"/>
      <c r="F838" s="678"/>
      <c r="G838" s="678"/>
    </row>
    <row r="839" spans="1:9" ht="12.75" customHeight="1">
      <c r="A839" s="403"/>
      <c r="B839" s="798" t="s">
        <v>2603</v>
      </c>
      <c r="C839" s="1743"/>
      <c r="D839" s="1873" t="s">
        <v>2282</v>
      </c>
      <c r="E839" s="1873"/>
      <c r="F839" s="1873"/>
      <c r="G839" s="678"/>
      <c r="I839" s="1773" t="s">
        <v>2471</v>
      </c>
    </row>
    <row r="840" spans="1:9" ht="12.75" customHeight="1">
      <c r="A840" s="403"/>
      <c r="B840" s="403"/>
      <c r="C840" s="1743"/>
      <c r="D840" s="1873" t="s">
        <v>2283</v>
      </c>
      <c r="E840" s="1873"/>
      <c r="F840" s="1873"/>
      <c r="G840" s="678"/>
    </row>
    <row r="841" spans="1:9" ht="12.75" customHeight="1">
      <c r="A841" s="403"/>
      <c r="B841" s="403"/>
      <c r="C841" s="1743"/>
      <c r="D841" s="183" t="s">
        <v>2249</v>
      </c>
      <c r="E841" s="2003" t="s">
        <v>2284</v>
      </c>
      <c r="F841" s="2003"/>
      <c r="G841" s="678"/>
    </row>
    <row r="842" spans="1:9" ht="12.75" customHeight="1">
      <c r="A842" s="403"/>
      <c r="B842" s="403"/>
      <c r="C842" s="1743"/>
      <c r="D842" s="1720"/>
      <c r="E842" s="678"/>
      <c r="F842" s="678"/>
      <c r="G842" s="678"/>
    </row>
    <row r="843" spans="1:9" ht="12.75" customHeight="1">
      <c r="A843" s="403"/>
      <c r="B843" s="798" t="s">
        <v>2603</v>
      </c>
      <c r="C843" s="1743"/>
      <c r="D843" s="1873" t="s">
        <v>2285</v>
      </c>
      <c r="E843" s="1873"/>
      <c r="F843" s="1873"/>
      <c r="G843" s="678"/>
      <c r="I843" s="1773" t="s">
        <v>2491</v>
      </c>
    </row>
    <row r="844" spans="1:9" ht="12.75" customHeight="1">
      <c r="A844" s="403"/>
      <c r="B844" s="403"/>
      <c r="C844" s="1743"/>
      <c r="D844" s="1873"/>
      <c r="E844" s="1873"/>
      <c r="F844" s="1873"/>
      <c r="G844" s="678"/>
    </row>
    <row r="845" spans="1:9" ht="12.75" customHeight="1">
      <c r="A845" s="403"/>
      <c r="B845" s="403"/>
      <c r="C845" s="1743"/>
      <c r="D845" s="1873"/>
      <c r="E845" s="1873"/>
      <c r="F845" s="1873"/>
      <c r="G845" s="678"/>
    </row>
    <row r="846" spans="1:9" ht="12.75" customHeight="1">
      <c r="A846" s="403"/>
      <c r="B846" s="403"/>
      <c r="C846" s="1743"/>
      <c r="D846" s="1873"/>
      <c r="E846" s="1873"/>
      <c r="F846" s="1873"/>
      <c r="G846" s="678"/>
    </row>
    <row r="847" spans="1:9" ht="12.75" customHeight="1">
      <c r="A847" s="1713"/>
      <c r="B847" s="1713"/>
      <c r="C847" s="1745"/>
      <c r="D847" s="1707"/>
      <c r="E847" s="6"/>
      <c r="F847" s="6"/>
      <c r="G847" s="678"/>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5" t="s">
        <v>2324</v>
      </c>
      <c r="E850" s="1895"/>
      <c r="F850" s="1895"/>
      <c r="G850" s="1738"/>
    </row>
    <row r="851" spans="1:9" ht="12.75" customHeight="1">
      <c r="A851" s="1741"/>
      <c r="B851" s="1741"/>
      <c r="C851" s="313"/>
      <c r="D851" s="2004" t="s">
        <v>2287</v>
      </c>
      <c r="E851" s="2004"/>
      <c r="F851" s="2004"/>
      <c r="G851" s="1738"/>
    </row>
    <row r="852" spans="1:9" ht="12.75" customHeight="1">
      <c r="A852" s="1741"/>
      <c r="B852" s="1741"/>
      <c r="C852" s="313"/>
      <c r="D852" s="1749"/>
      <c r="E852" s="1749"/>
      <c r="F852" s="1749"/>
      <c r="G852" s="1738"/>
    </row>
    <row r="853" spans="1:9" ht="12.75" customHeight="1">
      <c r="A853" s="714"/>
      <c r="B853" s="798" t="s">
        <v>2604</v>
      </c>
      <c r="C853" s="556"/>
      <c r="D853" s="1896" t="s">
        <v>2288</v>
      </c>
      <c r="E853" s="1896"/>
      <c r="F853" s="1896"/>
      <c r="G853" s="1738"/>
      <c r="I853" s="1773" t="s">
        <v>2471</v>
      </c>
    </row>
    <row r="854" spans="1:9" ht="12.75" customHeight="1">
      <c r="A854" s="1741"/>
      <c r="B854" s="1741"/>
      <c r="C854" s="556"/>
      <c r="D854" s="5" t="s">
        <v>2249</v>
      </c>
      <c r="E854" s="2006" t="s">
        <v>2284</v>
      </c>
      <c r="F854" s="2006"/>
      <c r="G854" s="1738"/>
    </row>
    <row r="855" spans="1:9" ht="12.75" customHeight="1">
      <c r="A855" s="1741"/>
      <c r="B855" s="1741"/>
      <c r="C855" s="556"/>
      <c r="D855" s="1707"/>
      <c r="E855" s="1737"/>
      <c r="F855" s="1737"/>
      <c r="G855" s="1738"/>
    </row>
    <row r="856" spans="1:9" ht="12.75" customHeight="1">
      <c r="A856" s="714"/>
      <c r="B856" s="798" t="s">
        <v>2603</v>
      </c>
      <c r="C856" s="556"/>
      <c r="D856" s="1871" t="s">
        <v>2289</v>
      </c>
      <c r="E856" s="1945"/>
      <c r="F856" s="1945"/>
      <c r="G856" s="678"/>
      <c r="I856" s="1773" t="s">
        <v>2491</v>
      </c>
    </row>
    <row r="857" spans="1:9" ht="12.75" customHeight="1">
      <c r="A857" s="1741"/>
      <c r="B857" s="1741"/>
      <c r="C857" s="556"/>
      <c r="D857" s="1945"/>
      <c r="E857" s="1945"/>
      <c r="F857" s="1945"/>
      <c r="G857" s="678"/>
    </row>
    <row r="858" spans="1:9" ht="12.75" customHeight="1">
      <c r="A858" s="1741"/>
      <c r="B858" s="1741"/>
      <c r="C858" s="556"/>
      <c r="D858" s="1707"/>
      <c r="E858" s="6"/>
      <c r="F858" s="6"/>
      <c r="G858" s="678"/>
    </row>
    <row r="859" spans="1:9" ht="12.75" customHeight="1">
      <c r="A859" s="556"/>
      <c r="B859" s="798" t="s">
        <v>2603</v>
      </c>
      <c r="C859" s="557"/>
      <c r="D859" s="2007" t="s">
        <v>2290</v>
      </c>
      <c r="E859" s="2007"/>
      <c r="F859" s="2007"/>
      <c r="G859" s="1738"/>
    </row>
    <row r="860" spans="1:9" ht="12.75" customHeight="1">
      <c r="A860" s="556"/>
      <c r="B860" s="1750"/>
      <c r="C860" s="557"/>
      <c r="D860" s="2007"/>
      <c r="E860" s="2007"/>
      <c r="F860" s="2007"/>
      <c r="G860" s="1738"/>
    </row>
    <row r="861" spans="1:9" ht="12.75" customHeight="1">
      <c r="A861" s="714"/>
      <c r="B861" s="677"/>
      <c r="C861" s="556"/>
      <c r="D861" s="1873" t="s">
        <v>2281</v>
      </c>
      <c r="E861" s="1873"/>
      <c r="F861" s="1873"/>
      <c r="G861" s="1738"/>
    </row>
    <row r="862" spans="1:9" ht="12.75" customHeight="1">
      <c r="A862" s="714"/>
      <c r="B862" s="714"/>
      <c r="C862" s="556"/>
      <c r="D862" s="1873"/>
      <c r="E862" s="1873"/>
      <c r="F862" s="1873"/>
      <c r="G862" s="1738"/>
    </row>
    <row r="863" spans="1:9" ht="12.75" customHeight="1">
      <c r="A863" s="714"/>
      <c r="B863" s="714"/>
      <c r="C863" s="556"/>
      <c r="D863" s="1873"/>
      <c r="E863" s="1873"/>
      <c r="F863" s="1873"/>
      <c r="G863" s="1738"/>
    </row>
    <row r="864" spans="1:9" ht="12.75" customHeight="1">
      <c r="A864" s="714"/>
      <c r="B864" s="714"/>
      <c r="C864" s="556"/>
      <c r="D864" s="1873"/>
      <c r="E864" s="1873"/>
      <c r="F864" s="1873"/>
      <c r="G864" s="1738"/>
    </row>
    <row r="865" spans="1:9" ht="12.75" customHeight="1">
      <c r="A865" s="714"/>
      <c r="B865" s="714"/>
      <c r="C865" s="556"/>
      <c r="D865" s="1873"/>
      <c r="E865" s="1873"/>
      <c r="F865" s="1873"/>
      <c r="G865" s="1738"/>
    </row>
    <row r="866" spans="1:9" ht="12.75" customHeight="1">
      <c r="A866" s="714"/>
      <c r="B866" s="714"/>
      <c r="C866" s="556"/>
      <c r="D866" s="1873"/>
      <c r="E866" s="1873"/>
      <c r="F866" s="1873"/>
      <c r="G866" s="1738"/>
    </row>
    <row r="867" spans="1:9" ht="12.75" customHeight="1">
      <c r="A867" s="714"/>
      <c r="B867" s="714"/>
      <c r="C867" s="556"/>
      <c r="D867" s="1707"/>
      <c r="E867" s="1737"/>
      <c r="F867" s="1737"/>
      <c r="G867" s="1738"/>
    </row>
    <row r="868" spans="1:9" ht="12.75" customHeight="1">
      <c r="A868" s="714"/>
      <c r="B868" s="798" t="s">
        <v>2603</v>
      </c>
      <c r="C868" s="556"/>
      <c r="D868" s="1900" t="s">
        <v>2282</v>
      </c>
      <c r="E868" s="1900"/>
      <c r="F868" s="1900"/>
      <c r="G868" s="1738"/>
      <c r="I868" s="1773" t="s">
        <v>2471</v>
      </c>
    </row>
    <row r="869" spans="1:9" ht="12.75" customHeight="1">
      <c r="A869" s="714"/>
      <c r="B869" s="714"/>
      <c r="C869" s="556"/>
      <c r="D869" s="1900" t="s">
        <v>2283</v>
      </c>
      <c r="E869" s="1900"/>
      <c r="F869" s="1900"/>
      <c r="G869" s="1738"/>
    </row>
    <row r="870" spans="1:9" ht="12.75" customHeight="1">
      <c r="A870" s="714"/>
      <c r="B870" s="714"/>
      <c r="C870" s="556"/>
      <c r="D870" s="5" t="s">
        <v>1503</v>
      </c>
      <c r="E870" s="2008" t="s">
        <v>2284</v>
      </c>
      <c r="F870" s="2008"/>
      <c r="G870" s="1738"/>
    </row>
    <row r="871" spans="1:9" ht="12.75" customHeight="1">
      <c r="A871" s="714"/>
      <c r="B871" s="714"/>
      <c r="C871" s="556"/>
      <c r="D871" s="1707"/>
      <c r="E871" s="1737"/>
      <c r="F871" s="1737"/>
      <c r="G871" s="1738"/>
    </row>
    <row r="872" spans="1:9" ht="12.75" customHeight="1">
      <c r="A872" s="714"/>
      <c r="B872" s="798" t="s">
        <v>2603</v>
      </c>
      <c r="C872" s="556"/>
      <c r="D872" s="1871" t="s">
        <v>2285</v>
      </c>
      <c r="E872" s="1871"/>
      <c r="F872" s="1871"/>
      <c r="G872" s="1738"/>
      <c r="I872" s="1773" t="s">
        <v>2491</v>
      </c>
    </row>
    <row r="873" spans="1:9" ht="12.75" customHeight="1">
      <c r="A873" s="714"/>
      <c r="B873" s="714"/>
      <c r="C873" s="556"/>
      <c r="D873" s="1871"/>
      <c r="E873" s="1871"/>
      <c r="F873" s="1871"/>
      <c r="G873" s="1738"/>
    </row>
    <row r="874" spans="1:9" ht="12.75" customHeight="1">
      <c r="A874" s="714"/>
      <c r="B874" s="714"/>
      <c r="C874" s="556"/>
      <c r="D874" s="1871"/>
      <c r="E874" s="1871"/>
      <c r="F874" s="1871"/>
      <c r="G874" s="1738"/>
    </row>
    <row r="875" spans="1:9" ht="12.75" customHeight="1">
      <c r="A875" s="714"/>
      <c r="B875" s="714"/>
      <c r="C875" s="556"/>
      <c r="D875" s="1871"/>
      <c r="E875" s="1871"/>
      <c r="F875" s="1871"/>
      <c r="G875" s="1738"/>
    </row>
    <row r="876" spans="1:9" ht="12.75" customHeight="1">
      <c r="A876" s="1708"/>
      <c r="B876" s="1708"/>
      <c r="C876" s="1739"/>
      <c r="D876" s="1737"/>
      <c r="E876" s="1737"/>
      <c r="F876" s="1737"/>
      <c r="G876" s="1738"/>
    </row>
    <row r="877" spans="1:9" ht="12.75" customHeight="1">
      <c r="A877" s="1906" t="s">
        <v>2325</v>
      </c>
      <c r="B877" s="1906"/>
      <c r="C877" s="1906"/>
      <c r="D877" s="1906"/>
      <c r="E877" s="1906"/>
      <c r="F877" s="1906"/>
      <c r="G877" s="1906"/>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15" t="s">
        <v>2331</v>
      </c>
      <c r="E879" s="1915"/>
      <c r="F879" s="1915"/>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2604</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15" t="s">
        <v>2326</v>
      </c>
      <c r="E883" s="1915"/>
      <c r="F883" s="1915"/>
      <c r="G883" s="1738"/>
    </row>
    <row r="884" spans="1:9" ht="12.75" customHeight="1">
      <c r="A884" s="1713"/>
      <c r="B884" s="1713"/>
      <c r="C884" s="1745"/>
      <c r="D884" s="1896" t="s">
        <v>2291</v>
      </c>
      <c r="E884" s="1896"/>
      <c r="F884" s="1896"/>
      <c r="G884" s="1738"/>
    </row>
    <row r="885" spans="1:9" ht="12.75" customHeight="1">
      <c r="A885" s="1755"/>
      <c r="B885" s="1755"/>
      <c r="C885" s="1739"/>
      <c r="D885" s="5"/>
      <c r="E885" s="1737"/>
      <c r="F885" s="1737"/>
      <c r="G885" s="1738"/>
    </row>
    <row r="886" spans="1:9" ht="12.75" customHeight="1">
      <c r="A886" s="714"/>
      <c r="B886" s="798" t="s">
        <v>2604</v>
      </c>
      <c r="C886" s="556"/>
      <c r="D886" s="1871" t="s">
        <v>2295</v>
      </c>
      <c r="E886" s="1871"/>
      <c r="F886" s="1871"/>
      <c r="G886" s="678"/>
      <c r="I886" s="1773" t="s">
        <v>2455</v>
      </c>
    </row>
    <row r="887" spans="1:9" ht="12.75" customHeight="1">
      <c r="A887" s="1741"/>
      <c r="B887" s="1741"/>
      <c r="C887" s="556"/>
      <c r="D887" s="1871"/>
      <c r="E887" s="1871"/>
      <c r="F887" s="1871"/>
      <c r="G887" s="678"/>
    </row>
    <row r="888" spans="1:9" s="1771" customFormat="1" ht="12.75" customHeight="1">
      <c r="A888" s="1845"/>
      <c r="B888" s="1845"/>
      <c r="C888" s="1745"/>
      <c r="D888" s="1871" t="s">
        <v>2294</v>
      </c>
      <c r="E888" s="1871"/>
      <c r="F888" s="1871"/>
      <c r="G888" s="1738"/>
      <c r="I888" s="1773"/>
    </row>
    <row r="889" spans="1:9" s="1771" customFormat="1" ht="12.75" customHeight="1">
      <c r="A889" s="1845"/>
      <c r="B889" s="1845"/>
      <c r="C889" s="1745"/>
      <c r="D889" s="1871"/>
      <c r="E889" s="1871"/>
      <c r="F889" s="1871"/>
      <c r="G889" s="1738"/>
      <c r="I889" s="1773"/>
    </row>
    <row r="890" spans="1:9" ht="12.75" customHeight="1">
      <c r="A890" s="1713"/>
      <c r="B890" s="1713"/>
      <c r="C890" s="1745"/>
      <c r="D890" s="6"/>
      <c r="E890" s="6"/>
      <c r="F890" s="1737"/>
      <c r="G890" s="1738"/>
    </row>
    <row r="891" spans="1:9" ht="12.75" customHeight="1">
      <c r="A891" s="403"/>
      <c r="B891" s="798" t="s">
        <v>2604</v>
      </c>
      <c r="C891" s="486"/>
      <c r="D891" s="2003" t="s">
        <v>2292</v>
      </c>
      <c r="E891" s="2003"/>
      <c r="F891" s="2003"/>
      <c r="G891" s="1738"/>
      <c r="I891" s="1773" t="s">
        <v>2454</v>
      </c>
    </row>
    <row r="892" spans="1:9" ht="12.75" customHeight="1">
      <c r="A892" s="403"/>
      <c r="B892" s="403"/>
      <c r="C892" s="486"/>
      <c r="D892" s="2003"/>
      <c r="E892" s="2003"/>
      <c r="F892" s="2003"/>
      <c r="G892" s="1738"/>
    </row>
    <row r="893" spans="1:9" ht="12.75" customHeight="1">
      <c r="A893" s="403"/>
      <c r="B893" s="403"/>
      <c r="C893" s="486"/>
      <c r="D893" s="2003"/>
      <c r="E893" s="2003"/>
      <c r="F893" s="2003"/>
      <c r="G893" s="1738"/>
    </row>
    <row r="894" spans="1:9" s="1771" customFormat="1" ht="12.75" customHeight="1">
      <c r="A894" s="403"/>
      <c r="B894" s="403"/>
      <c r="C894" s="486"/>
      <c r="D894" s="2003"/>
      <c r="E894" s="2003"/>
      <c r="F894" s="2003"/>
      <c r="G894" s="1738"/>
      <c r="I894" s="1773"/>
    </row>
    <row r="895" spans="1:9" ht="12.75" customHeight="1">
      <c r="A895" s="403"/>
      <c r="B895" s="403"/>
      <c r="C895" s="486"/>
      <c r="D895" s="2003"/>
      <c r="E895" s="2003"/>
      <c r="F895" s="2003"/>
      <c r="G895" s="1738"/>
    </row>
    <row r="896" spans="1:9" ht="12.75" customHeight="1">
      <c r="A896" s="487"/>
      <c r="B896" s="487"/>
      <c r="C896" s="486"/>
      <c r="D896" s="2003"/>
      <c r="E896" s="2003"/>
      <c r="F896" s="2003"/>
      <c r="G896" s="1738"/>
    </row>
    <row r="897" spans="1:9" ht="12.75" customHeight="1">
      <c r="A897" s="487"/>
      <c r="B897" s="487"/>
      <c r="C897" s="486"/>
      <c r="D897" s="2003"/>
      <c r="E897" s="2003"/>
      <c r="F897" s="2003"/>
      <c r="G897" s="1738"/>
    </row>
    <row r="898" spans="1:9" ht="12.75" customHeight="1">
      <c r="A898" s="487"/>
      <c r="B898" s="487"/>
      <c r="C898" s="486"/>
      <c r="D898" s="2003"/>
      <c r="E898" s="2003"/>
      <c r="F898" s="2003"/>
      <c r="G898" s="1738"/>
    </row>
    <row r="899" spans="1:9" s="1771" customFormat="1" ht="12.75" customHeight="1">
      <c r="A899" s="487"/>
      <c r="B899" s="487"/>
      <c r="C899" s="486"/>
      <c r="D899" s="1846"/>
      <c r="E899" s="1846"/>
      <c r="F899" s="1846"/>
      <c r="G899" s="1738"/>
      <c r="I899" s="1773"/>
    </row>
    <row r="900" spans="1:9" ht="12.75" customHeight="1">
      <c r="A900" s="1755"/>
      <c r="B900" s="798" t="s">
        <v>2603</v>
      </c>
      <c r="C900" s="1739"/>
      <c r="D900" s="1871" t="s">
        <v>2296</v>
      </c>
      <c r="E900" s="1871"/>
      <c r="F900" s="1871"/>
      <c r="G900" s="1738"/>
    </row>
    <row r="901" spans="1:9" ht="12.75" customHeight="1">
      <c r="A901" s="1755"/>
      <c r="B901" s="1755"/>
      <c r="C901" s="1739"/>
      <c r="D901" s="1871"/>
      <c r="E901" s="1871"/>
      <c r="F901" s="1871"/>
      <c r="G901" s="1738"/>
    </row>
    <row r="902" spans="1:9" ht="12.75" customHeight="1">
      <c r="A902" s="1755"/>
      <c r="B902" s="1755"/>
      <c r="C902" s="1739"/>
      <c r="D902" s="1737"/>
      <c r="E902" s="1737"/>
      <c r="F902" s="1737"/>
      <c r="G902" s="1738"/>
    </row>
    <row r="903" spans="1:9" ht="12.75" customHeight="1">
      <c r="A903" s="1755"/>
      <c r="B903" s="798" t="s">
        <v>2603</v>
      </c>
      <c r="C903" s="1739"/>
      <c r="D903" s="1929" t="s">
        <v>2297</v>
      </c>
      <c r="E903" s="1929"/>
      <c r="F903" s="1929"/>
      <c r="G903" s="1738"/>
    </row>
    <row r="904" spans="1:9" ht="12.75" customHeight="1">
      <c r="A904" s="1755"/>
      <c r="B904" s="1755"/>
      <c r="C904" s="1739"/>
      <c r="D904" s="1929"/>
      <c r="E904" s="1929"/>
      <c r="F904" s="1929"/>
      <c r="G904" s="1738"/>
    </row>
    <row r="905" spans="1:9" ht="12.75" customHeight="1">
      <c r="A905" s="1755"/>
      <c r="B905" s="1755"/>
      <c r="C905" s="1739"/>
      <c r="D905" s="1929"/>
      <c r="E905" s="1929"/>
      <c r="F905" s="1929"/>
      <c r="G905" s="1738"/>
    </row>
    <row r="906" spans="1:9" ht="12.75" customHeight="1">
      <c r="A906" s="1755"/>
      <c r="B906" s="1755"/>
      <c r="C906" s="1739"/>
      <c r="D906" s="1929"/>
      <c r="E906" s="1929"/>
      <c r="F906" s="1929"/>
      <c r="G906" s="1738"/>
    </row>
    <row r="907" spans="1:9" ht="12.75" customHeight="1">
      <c r="A907" s="1755"/>
      <c r="B907" s="1755"/>
      <c r="C907" s="1739"/>
      <c r="D907" s="1707"/>
      <c r="E907" s="1737"/>
      <c r="F907" s="1737"/>
      <c r="G907" s="1738"/>
    </row>
    <row r="908" spans="1:9" ht="12.75" customHeight="1">
      <c r="A908" s="1755"/>
      <c r="B908" s="798" t="s">
        <v>2603</v>
      </c>
      <c r="C908" s="1739"/>
      <c r="D908" s="1896" t="s">
        <v>2298</v>
      </c>
      <c r="E908" s="1896"/>
      <c r="F908" s="1896"/>
      <c r="G908" s="1738"/>
    </row>
    <row r="909" spans="1:9" ht="12.75" customHeight="1">
      <c r="A909" s="1755"/>
      <c r="B909" s="1755"/>
      <c r="C909" s="1739"/>
      <c r="D909" s="1707"/>
      <c r="E909" s="1737"/>
      <c r="F909" s="1737"/>
      <c r="G909" s="1738"/>
    </row>
    <row r="910" spans="1:9" ht="12.75" customHeight="1">
      <c r="A910" s="1755"/>
      <c r="B910" s="798" t="s">
        <v>2603</v>
      </c>
      <c r="C910" s="1739"/>
      <c r="D910" s="1896" t="s">
        <v>2299</v>
      </c>
      <c r="E910" s="1896"/>
      <c r="F910" s="1896"/>
      <c r="G910" s="1738"/>
    </row>
    <row r="911" spans="1:9" ht="12.75" customHeight="1">
      <c r="A911" s="487"/>
      <c r="B911" s="487"/>
      <c r="C911" s="486"/>
      <c r="D911" s="183"/>
      <c r="E911" s="678"/>
      <c r="F911" s="1738"/>
      <c r="G911" s="1738"/>
    </row>
    <row r="912" spans="1:9" ht="12.75" customHeight="1">
      <c r="A912" s="1751"/>
      <c r="B912" s="798" t="s">
        <v>2603</v>
      </c>
      <c r="C912" s="1752"/>
      <c r="D912" s="2003" t="s">
        <v>2293</v>
      </c>
      <c r="E912" s="2003"/>
      <c r="F912" s="2003"/>
      <c r="G912" s="1753"/>
      <c r="I912" s="1773" t="s">
        <v>2506</v>
      </c>
    </row>
    <row r="913" spans="1:9" ht="12.75" customHeight="1">
      <c r="A913" s="1751"/>
      <c r="B913" s="1751"/>
      <c r="C913" s="1752"/>
      <c r="D913" s="2003"/>
      <c r="E913" s="2003"/>
      <c r="F913" s="2003"/>
      <c r="G913" s="1753"/>
    </row>
    <row r="914" spans="1:9" ht="12.75" customHeight="1">
      <c r="A914" s="1751"/>
      <c r="B914" s="1751"/>
      <c r="C914" s="1752"/>
      <c r="D914" s="2003"/>
      <c r="E914" s="2003"/>
      <c r="F914" s="2003"/>
      <c r="G914" s="1753"/>
    </row>
    <row r="915" spans="1:9" ht="12.75" customHeight="1">
      <c r="A915" s="1751"/>
      <c r="B915" s="1751"/>
      <c r="C915" s="1752"/>
      <c r="D915" s="2003"/>
      <c r="E915" s="2003"/>
      <c r="F915" s="2003"/>
      <c r="G915" s="1753"/>
    </row>
    <row r="916" spans="1:9" ht="12.75" customHeight="1">
      <c r="A916" s="1751"/>
      <c r="B916" s="1751"/>
      <c r="C916" s="1752"/>
      <c r="D916" s="2003"/>
      <c r="E916" s="2003"/>
      <c r="F916" s="2003"/>
      <c r="G916" s="1753"/>
    </row>
    <row r="917" spans="1:9" ht="12.75" customHeight="1">
      <c r="A917" s="1751"/>
      <c r="B917" s="1751"/>
      <c r="C917" s="1752"/>
      <c r="D917" s="2003"/>
      <c r="E917" s="2003"/>
      <c r="F917" s="2003"/>
      <c r="G917" s="1753"/>
    </row>
    <row r="918" spans="1:9" ht="12.75" customHeight="1">
      <c r="A918" s="1751"/>
      <c r="B918" s="1751"/>
      <c r="C918" s="1752"/>
      <c r="D918" s="2003"/>
      <c r="E918" s="2003"/>
      <c r="F918" s="2003"/>
      <c r="G918" s="1753"/>
    </row>
    <row r="919" spans="1:9" ht="12.75" customHeight="1">
      <c r="A919" s="1751"/>
      <c r="B919" s="1751"/>
      <c r="C919" s="1752"/>
      <c r="D919" s="2003"/>
      <c r="E919" s="2003"/>
      <c r="F919" s="2003"/>
      <c r="G919" s="1753"/>
    </row>
    <row r="920" spans="1:9" ht="12.75" customHeight="1">
      <c r="A920" s="1751"/>
      <c r="B920" s="1751"/>
      <c r="C920" s="1752"/>
      <c r="D920" s="2003"/>
      <c r="E920" s="2003"/>
      <c r="F920" s="2003"/>
      <c r="G920" s="1753"/>
    </row>
    <row r="921" spans="1:9" ht="12.75" customHeight="1">
      <c r="A921" s="487"/>
      <c r="B921" s="487"/>
      <c r="C921" s="486"/>
      <c r="D921" s="183"/>
      <c r="E921" s="678"/>
      <c r="F921" s="1738"/>
      <c r="G921" s="1738"/>
    </row>
    <row r="922" spans="1:9" ht="12.75" customHeight="1">
      <c r="A922" s="403"/>
      <c r="B922" s="798" t="s">
        <v>2604</v>
      </c>
      <c r="C922" s="486"/>
      <c r="D922" s="2005" t="s">
        <v>2509</v>
      </c>
      <c r="E922" s="2005"/>
      <c r="F922" s="2005"/>
      <c r="G922" s="1738"/>
      <c r="I922" s="1773" t="s">
        <v>2506</v>
      </c>
    </row>
    <row r="923" spans="1:9" ht="12.75" customHeight="1">
      <c r="A923" s="403"/>
      <c r="B923" s="403"/>
      <c r="C923" s="486"/>
      <c r="D923" s="2005"/>
      <c r="E923" s="2005"/>
      <c r="F923" s="2005"/>
      <c r="G923" s="1738"/>
    </row>
    <row r="924" spans="1:9" ht="12.75" customHeight="1">
      <c r="A924" s="403"/>
      <c r="B924" s="403"/>
      <c r="C924" s="486"/>
      <c r="D924" s="2005"/>
      <c r="E924" s="2005"/>
      <c r="F924" s="2005"/>
      <c r="G924" s="1738"/>
    </row>
    <row r="925" spans="1:9" ht="12.75" customHeight="1">
      <c r="A925" s="403"/>
      <c r="B925" s="403"/>
      <c r="C925" s="486"/>
      <c r="D925" s="2005"/>
      <c r="E925" s="2005"/>
      <c r="F925" s="2005"/>
      <c r="G925" s="1738"/>
    </row>
    <row r="926" spans="1:9" ht="12.75" customHeight="1">
      <c r="A926" s="403"/>
      <c r="B926" s="403"/>
      <c r="C926" s="486"/>
      <c r="D926" s="2005"/>
      <c r="E926" s="2005"/>
      <c r="F926" s="2005"/>
      <c r="G926" s="1738"/>
    </row>
    <row r="927" spans="1:9" ht="12.75" customHeight="1">
      <c r="A927" s="403"/>
      <c r="B927" s="403"/>
      <c r="C927" s="486"/>
      <c r="D927" s="2005"/>
      <c r="E927" s="2005"/>
      <c r="F927" s="2005"/>
      <c r="G927" s="1738"/>
    </row>
    <row r="928" spans="1:9" ht="12.75" customHeight="1">
      <c r="A928" s="403"/>
      <c r="B928" s="403"/>
      <c r="C928" s="486"/>
      <c r="D928" s="2005"/>
      <c r="E928" s="2005"/>
      <c r="F928" s="2005"/>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2604</v>
      </c>
      <c r="C930" s="486"/>
      <c r="D930" s="1931" t="s">
        <v>2507</v>
      </c>
      <c r="E930" s="1931"/>
      <c r="F930" s="1931"/>
      <c r="G930" s="1738"/>
      <c r="I930" s="1773"/>
    </row>
    <row r="931" spans="1:9" s="1771" customFormat="1" ht="12.75" customHeight="1">
      <c r="A931" s="403"/>
      <c r="B931" s="403"/>
      <c r="C931" s="486"/>
      <c r="D931" s="1931"/>
      <c r="E931" s="1931"/>
      <c r="F931" s="1931"/>
      <c r="G931" s="1738"/>
      <c r="I931" s="1773"/>
    </row>
    <row r="932" spans="1:9" s="1771" customFormat="1" ht="12.75" customHeight="1">
      <c r="A932" s="403"/>
      <c r="B932" s="403"/>
      <c r="C932" s="486"/>
      <c r="D932" s="1931"/>
      <c r="E932" s="1931"/>
      <c r="F932" s="1931"/>
      <c r="G932" s="1738"/>
      <c r="I932" s="1773"/>
    </row>
    <row r="933" spans="1:9" s="1771" customFormat="1" ht="12.75" customHeight="1">
      <c r="A933" s="403"/>
      <c r="B933" s="403"/>
      <c r="C933" s="486"/>
      <c r="D933" s="1931"/>
      <c r="E933" s="1931"/>
      <c r="F933" s="1931"/>
      <c r="G933" s="1738"/>
      <c r="I933" s="1773"/>
    </row>
    <row r="934" spans="1:9" s="1771" customFormat="1" ht="12.75" customHeight="1">
      <c r="A934" s="403"/>
      <c r="B934" s="403"/>
      <c r="C934" s="486"/>
      <c r="D934" s="1931"/>
      <c r="E934" s="1931"/>
      <c r="F934" s="1931"/>
      <c r="G934" s="1738"/>
      <c r="I934" s="1773"/>
    </row>
    <row r="935" spans="1:9" s="1771" customFormat="1" ht="12.75" customHeight="1">
      <c r="A935" s="403"/>
      <c r="B935" s="403"/>
      <c r="C935" s="486"/>
      <c r="D935" s="1931"/>
      <c r="E935" s="1931"/>
      <c r="F935" s="1931"/>
      <c r="G935" s="1738"/>
      <c r="I935" s="1773"/>
    </row>
    <row r="936" spans="1:9" s="1771" customFormat="1" ht="12.75" customHeight="1">
      <c r="A936" s="403"/>
      <c r="B936" s="403"/>
      <c r="C936" s="486"/>
      <c r="D936" s="1847"/>
      <c r="E936" s="1847"/>
      <c r="F936" s="1847"/>
      <c r="G936" s="1738"/>
      <c r="I936" s="1773"/>
    </row>
    <row r="937" spans="1:9" ht="12.75" customHeight="1">
      <c r="A937" s="1755"/>
      <c r="B937" s="798" t="s">
        <v>2603</v>
      </c>
      <c r="C937" s="1739"/>
      <c r="D937" s="2009" t="s">
        <v>2300</v>
      </c>
      <c r="E937" s="2009"/>
      <c r="F937" s="2009"/>
      <c r="G937" s="1738"/>
    </row>
    <row r="938" spans="1:9" ht="12.75" customHeight="1">
      <c r="A938" s="1755"/>
      <c r="B938" s="1755"/>
      <c r="C938" s="1739"/>
      <c r="D938" s="2009"/>
      <c r="E938" s="2009"/>
      <c r="F938" s="2009"/>
      <c r="G938" s="1738"/>
    </row>
    <row r="939" spans="1:9" ht="12.75" customHeight="1">
      <c r="A939" s="1755"/>
      <c r="B939" s="1755"/>
      <c r="C939" s="1739"/>
      <c r="D939" s="2009"/>
      <c r="E939" s="2009"/>
      <c r="F939" s="2009"/>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2603</v>
      </c>
      <c r="C942" s="486"/>
      <c r="D942" s="2003" t="s">
        <v>2508</v>
      </c>
      <c r="E942" s="2003"/>
      <c r="F942" s="2003"/>
      <c r="G942" s="1738"/>
      <c r="I942" s="1773" t="s">
        <v>2506</v>
      </c>
    </row>
    <row r="943" spans="1:9" ht="12.75" customHeight="1">
      <c r="A943" s="403"/>
      <c r="B943" s="403"/>
      <c r="C943" s="486"/>
      <c r="D943" s="2003"/>
      <c r="E943" s="2003"/>
      <c r="F943" s="2003"/>
      <c r="G943" s="1738"/>
    </row>
    <row r="944" spans="1:9" ht="12.75" customHeight="1">
      <c r="A944" s="403"/>
      <c r="B944" s="403"/>
      <c r="C944" s="486"/>
      <c r="D944" s="2003"/>
      <c r="E944" s="2003"/>
      <c r="F944" s="2003"/>
      <c r="G944" s="1738"/>
    </row>
    <row r="945" spans="1:9" ht="12.75" customHeight="1">
      <c r="A945" s="403"/>
      <c r="B945" s="403"/>
      <c r="C945" s="486"/>
      <c r="D945" s="2003"/>
      <c r="E945" s="2003"/>
      <c r="F945" s="2003"/>
      <c r="G945" s="1738"/>
    </row>
    <row r="946" spans="1:9" ht="12.75" customHeight="1">
      <c r="A946" s="1757"/>
      <c r="B946" s="1757"/>
      <c r="C946" s="1743"/>
      <c r="D946" s="1704"/>
      <c r="E946" s="1704"/>
      <c r="F946" s="1704"/>
      <c r="G946" s="1704"/>
    </row>
    <row r="947" spans="1:9" ht="12.75" customHeight="1">
      <c r="A947" s="1741"/>
      <c r="B947" s="1741"/>
      <c r="C947" s="556"/>
      <c r="D947" s="1895" t="s">
        <v>2301</v>
      </c>
      <c r="E947" s="1895"/>
      <c r="F947" s="1895"/>
      <c r="G947" s="678"/>
    </row>
    <row r="948" spans="1:9" ht="12.75" customHeight="1">
      <c r="A948" s="714"/>
      <c r="B948" s="798" t="s">
        <v>2603</v>
      </c>
      <c r="C948" s="556"/>
      <c r="D948" s="1896" t="s">
        <v>2327</v>
      </c>
      <c r="E948" s="1896"/>
      <c r="F948" s="1896"/>
      <c r="G948" s="678"/>
      <c r="I948" s="1773" t="s">
        <v>2506</v>
      </c>
    </row>
    <row r="949" spans="1:9" ht="12.75" customHeight="1">
      <c r="A949" s="1741"/>
      <c r="B949" s="1741"/>
      <c r="C949" s="556"/>
      <c r="D949" s="6"/>
      <c r="E949" s="6"/>
      <c r="F949" s="6"/>
      <c r="G949" s="678"/>
    </row>
    <row r="950" spans="1:9" ht="12.75" customHeight="1">
      <c r="A950" s="1741"/>
      <c r="B950" s="1741"/>
      <c r="C950" s="556"/>
      <c r="D950" s="1895" t="s">
        <v>2302</v>
      </c>
      <c r="E950" s="1895"/>
      <c r="F950" s="1895"/>
      <c r="G950" s="677"/>
    </row>
    <row r="951" spans="1:9" ht="12.75" customHeight="1">
      <c r="A951" s="714"/>
      <c r="B951" s="798" t="s">
        <v>2603</v>
      </c>
      <c r="C951" s="556"/>
      <c r="D951" s="1871" t="s">
        <v>2303</v>
      </c>
      <c r="E951" s="1871"/>
      <c r="F951" s="1871"/>
      <c r="G951" s="677"/>
      <c r="I951" s="1773" t="s">
        <v>2506</v>
      </c>
    </row>
    <row r="952" spans="1:9" ht="12.75" customHeight="1">
      <c r="A952" s="714"/>
      <c r="B952" s="714"/>
      <c r="C952" s="556"/>
      <c r="D952" s="1871"/>
      <c r="E952" s="1871"/>
      <c r="F952" s="1871"/>
      <c r="G952" s="677"/>
    </row>
    <row r="953" spans="1:9" ht="12.75" customHeight="1">
      <c r="A953" s="714"/>
      <c r="B953" s="714"/>
      <c r="C953" s="556"/>
      <c r="D953" s="1871"/>
      <c r="E953" s="1871"/>
      <c r="F953" s="1871"/>
      <c r="G953" s="677"/>
    </row>
    <row r="954" spans="1:9" ht="12.75" customHeight="1">
      <c r="A954" s="714"/>
      <c r="B954" s="714"/>
      <c r="C954" s="556"/>
      <c r="D954" s="1871"/>
      <c r="E954" s="1871"/>
      <c r="F954" s="1871"/>
      <c r="G954" s="677"/>
    </row>
    <row r="955" spans="1:9" ht="12.75" customHeight="1">
      <c r="A955" s="714"/>
      <c r="B955" s="714"/>
      <c r="C955" s="556"/>
      <c r="D955" s="1871"/>
      <c r="E955" s="1871"/>
      <c r="F955" s="1871"/>
      <c r="G955" s="677"/>
    </row>
    <row r="956" spans="1:9" ht="12.75" customHeight="1">
      <c r="A956" s="714"/>
      <c r="B956" s="714"/>
      <c r="C956" s="556"/>
      <c r="D956" s="1871"/>
      <c r="E956" s="1871"/>
      <c r="F956" s="1871"/>
      <c r="G956" s="677"/>
    </row>
    <row r="957" spans="1:9" ht="12.75" customHeight="1">
      <c r="A957" s="714"/>
      <c r="B957" s="714"/>
      <c r="C957" s="556"/>
      <c r="D957" s="1871"/>
      <c r="E957" s="1871"/>
      <c r="F957" s="1871"/>
      <c r="G957" s="677"/>
    </row>
    <row r="958" spans="1:9" ht="12.75" customHeight="1">
      <c r="A958" s="714"/>
      <c r="B958" s="714"/>
      <c r="C958" s="556"/>
      <c r="D958" s="1871"/>
      <c r="E958" s="1871"/>
      <c r="F958" s="1871"/>
      <c r="G958" s="677"/>
    </row>
    <row r="959" spans="1:9" ht="12.75" customHeight="1">
      <c r="A959" s="714"/>
      <c r="B959" s="714"/>
      <c r="C959" s="556"/>
      <c r="D959" s="1871"/>
      <c r="E959" s="1871"/>
      <c r="F959" s="1871"/>
      <c r="G959" s="677"/>
    </row>
    <row r="960" spans="1:9" ht="12.75" customHeight="1">
      <c r="A960" s="714"/>
      <c r="B960" s="714"/>
      <c r="C960" s="556"/>
      <c r="D960" s="1871"/>
      <c r="E960" s="1871"/>
      <c r="F960" s="1871"/>
      <c r="G960" s="677"/>
    </row>
    <row r="961" spans="1:9" ht="12.75" customHeight="1">
      <c r="A961" s="714"/>
      <c r="B961" s="714"/>
      <c r="C961" s="556"/>
      <c r="D961" s="1871"/>
      <c r="E961" s="1871"/>
      <c r="F961" s="1871"/>
      <c r="G961" s="677"/>
    </row>
    <row r="962" spans="1:9" ht="12.75" customHeight="1">
      <c r="A962" s="714"/>
      <c r="B962" s="714"/>
      <c r="C962" s="556"/>
      <c r="D962" s="1871"/>
      <c r="E962" s="1871"/>
      <c r="F962" s="1871"/>
      <c r="G962" s="677"/>
    </row>
    <row r="963" spans="1:9" s="1771" customFormat="1" ht="12.75" customHeight="1">
      <c r="A963" s="714"/>
      <c r="B963" s="714"/>
      <c r="C963" s="556"/>
      <c r="D963" s="1871"/>
      <c r="E963" s="1871"/>
      <c r="F963" s="1871"/>
      <c r="G963" s="677"/>
      <c r="I963" s="1773"/>
    </row>
    <row r="964" spans="1:9" ht="12.75" customHeight="1">
      <c r="A964" s="714"/>
      <c r="B964" s="714"/>
      <c r="C964" s="556"/>
      <c r="D964" s="1871"/>
      <c r="E964" s="1871"/>
      <c r="F964" s="1871"/>
      <c r="G964" s="677"/>
    </row>
    <row r="965" spans="1:9" ht="12.75" customHeight="1">
      <c r="A965" s="714"/>
      <c r="B965" s="714"/>
      <c r="C965" s="556"/>
      <c r="D965" s="1871"/>
      <c r="E965" s="1871"/>
      <c r="F965" s="1871"/>
      <c r="G965" s="678"/>
    </row>
    <row r="966" spans="1:9" ht="12.75" customHeight="1">
      <c r="A966" s="1741"/>
      <c r="B966" s="1741"/>
      <c r="C966" s="556"/>
      <c r="D966" s="6"/>
      <c r="E966" s="6"/>
      <c r="F966" s="6"/>
      <c r="G966" s="678"/>
    </row>
    <row r="967" spans="1:9" ht="12.75" customHeight="1">
      <c r="A967" s="1906" t="s">
        <v>2304</v>
      </c>
      <c r="B967" s="1906"/>
      <c r="C967" s="1906"/>
      <c r="D967" s="1906"/>
      <c r="E967" s="1906"/>
      <c r="F967" s="1906"/>
      <c r="G967" s="1906"/>
      <c r="H967" s="1852"/>
      <c r="I967" s="1853"/>
    </row>
    <row r="968" spans="1:9" ht="12.75" customHeight="1">
      <c r="A968" s="1708"/>
      <c r="B968" s="1708"/>
      <c r="C968" s="556"/>
      <c r="D968" s="6"/>
      <c r="E968" s="6"/>
      <c r="F968" s="6"/>
      <c r="G968" s="678"/>
    </row>
    <row r="969" spans="1:9" ht="12.75" customHeight="1">
      <c r="A969" s="1741"/>
      <c r="B969" s="1741"/>
      <c r="C969" s="1739"/>
      <c r="D969" s="1895" t="s">
        <v>2328</v>
      </c>
      <c r="E969" s="1895"/>
      <c r="F969" s="1895"/>
      <c r="G969" s="678"/>
    </row>
    <row r="970" spans="1:9" ht="12.75" customHeight="1">
      <c r="A970" s="1713"/>
      <c r="B970" s="1713"/>
      <c r="C970" s="1745"/>
      <c r="D970" s="1896" t="s">
        <v>2305</v>
      </c>
      <c r="E970" s="1896"/>
      <c r="F970" s="1896"/>
      <c r="G970" s="678"/>
    </row>
    <row r="971" spans="1:9" ht="12.75" customHeight="1">
      <c r="A971" s="1713"/>
      <c r="B971" s="1713"/>
      <c r="C971" s="1745"/>
      <c r="D971" s="6"/>
      <c r="E971" s="6"/>
      <c r="F971" s="1737"/>
      <c r="G971" s="677"/>
    </row>
    <row r="972" spans="1:9" ht="12.75" customHeight="1">
      <c r="A972" s="1741"/>
      <c r="B972" s="798" t="s">
        <v>2604</v>
      </c>
      <c r="C972" s="556"/>
      <c r="D972" s="1875" t="s">
        <v>2306</v>
      </c>
      <c r="E972" s="1875"/>
      <c r="F972" s="1875"/>
      <c r="G972" s="677"/>
      <c r="I972" s="1773" t="s">
        <v>2484</v>
      </c>
    </row>
    <row r="973" spans="1:9" ht="12.75" customHeight="1">
      <c r="A973" s="1741"/>
      <c r="B973" s="1741"/>
      <c r="C973" s="556"/>
      <c r="D973" s="1875"/>
      <c r="E973" s="1875"/>
      <c r="F973" s="1875"/>
      <c r="G973" s="677"/>
    </row>
    <row r="974" spans="1:9" ht="12.75" customHeight="1">
      <c r="A974" s="1741"/>
      <c r="B974" s="1741"/>
      <c r="C974" s="556"/>
      <c r="D974" s="1875"/>
      <c r="E974" s="1875"/>
      <c r="F974" s="1875"/>
      <c r="G974" s="677"/>
    </row>
    <row r="975" spans="1:9" ht="12.75" customHeight="1">
      <c r="A975" s="1741"/>
      <c r="B975" s="1741"/>
      <c r="C975" s="556"/>
      <c r="D975" s="1875"/>
      <c r="E975" s="1875"/>
      <c r="F975" s="1875"/>
      <c r="G975" s="677"/>
    </row>
    <row r="976" spans="1:9" ht="12.75" customHeight="1">
      <c r="A976" s="1725"/>
      <c r="B976" s="1725"/>
      <c r="C976" s="557"/>
      <c r="D976" s="1875"/>
      <c r="E976" s="1875"/>
      <c r="F976" s="1875"/>
      <c r="G976" s="677"/>
    </row>
    <row r="977" spans="1:7" ht="12.75" customHeight="1">
      <c r="A977" s="1725"/>
      <c r="B977" s="1725"/>
      <c r="C977" s="557"/>
      <c r="D977" s="1875"/>
      <c r="E977" s="1875"/>
      <c r="F977" s="1875"/>
      <c r="G977" s="677"/>
    </row>
    <row r="978" spans="1:7" ht="12.75" customHeight="1">
      <c r="A978" s="720"/>
      <c r="B978" s="720"/>
      <c r="C978" s="313"/>
      <c r="D978" s="1875"/>
      <c r="E978" s="1875"/>
      <c r="F978" s="1875"/>
      <c r="G978" s="677"/>
    </row>
    <row r="979" spans="1:7" ht="12.75" customHeight="1">
      <c r="A979" s="720"/>
      <c r="B979" s="720"/>
      <c r="C979" s="313"/>
      <c r="D979" s="1875"/>
      <c r="E979" s="1875"/>
      <c r="F979" s="1875"/>
      <c r="G979" s="677"/>
    </row>
    <row r="980" spans="1:7" ht="12.75" customHeight="1">
      <c r="A980" s="720"/>
      <c r="B980" s="720"/>
      <c r="C980" s="313"/>
      <c r="D980" s="1705"/>
      <c r="E980" s="1705"/>
      <c r="F980" s="1705"/>
      <c r="G980" s="677"/>
    </row>
    <row r="981" spans="1:7" ht="12.75" customHeight="1">
      <c r="A981" s="720"/>
      <c r="B981" s="798" t="s">
        <v>2603</v>
      </c>
      <c r="C981" s="313"/>
      <c r="D981" s="1873" t="s">
        <v>2307</v>
      </c>
      <c r="E981" s="1873"/>
      <c r="F981" s="1873"/>
      <c r="G981" s="677"/>
    </row>
    <row r="982" spans="1:7" ht="12.75" customHeight="1">
      <c r="A982" s="720"/>
      <c r="B982" s="720"/>
      <c r="C982" s="313"/>
      <c r="D982" s="1873"/>
      <c r="E982" s="1873"/>
      <c r="F982" s="1873"/>
      <c r="G982" s="677"/>
    </row>
    <row r="983" spans="1:7" ht="12.75" customHeight="1">
      <c r="A983" s="720"/>
      <c r="B983" s="720"/>
      <c r="C983" s="313"/>
      <c r="D983" s="1873"/>
      <c r="E983" s="1873"/>
      <c r="F983" s="1873"/>
      <c r="G983" s="677"/>
    </row>
    <row r="984" spans="1:7" ht="12.75" customHeight="1">
      <c r="A984" s="720"/>
      <c r="B984" s="720"/>
      <c r="C984" s="313"/>
      <c r="D984" s="1873"/>
      <c r="E984" s="1873"/>
      <c r="F984" s="1873"/>
      <c r="G984" s="677"/>
    </row>
    <row r="985" spans="1:7" ht="12.75" customHeight="1">
      <c r="A985" s="720"/>
      <c r="B985" s="720"/>
      <c r="C985" s="313"/>
      <c r="D985" s="1703"/>
      <c r="E985" s="1703"/>
      <c r="F985" s="1703"/>
      <c r="G985" s="677"/>
    </row>
    <row r="986" spans="1:7" ht="12.75" customHeight="1">
      <c r="A986" s="720"/>
      <c r="B986" s="798" t="s">
        <v>2603</v>
      </c>
      <c r="C986" s="313"/>
      <c r="D986" s="1873" t="s">
        <v>2308</v>
      </c>
      <c r="E986" s="1873"/>
      <c r="F986" s="1873"/>
      <c r="G986" s="677"/>
    </row>
    <row r="987" spans="1:7" ht="12.75" customHeight="1">
      <c r="A987" s="720"/>
      <c r="B987" s="720"/>
      <c r="C987" s="313"/>
      <c r="D987" s="1873"/>
      <c r="E987" s="1873"/>
      <c r="F987" s="1873"/>
      <c r="G987" s="677"/>
    </row>
    <row r="988" spans="1:7" ht="12.75" customHeight="1">
      <c r="A988" s="720"/>
      <c r="B988" s="720"/>
      <c r="C988" s="313"/>
      <c r="D988" s="1703"/>
      <c r="E988" s="1703"/>
      <c r="F988" s="1703"/>
      <c r="G988" s="677"/>
    </row>
    <row r="989" spans="1:7" ht="12.75" customHeight="1">
      <c r="A989" s="714"/>
      <c r="B989" s="798" t="s">
        <v>2604</v>
      </c>
      <c r="C989" s="556"/>
      <c r="D989" s="1896" t="s">
        <v>2309</v>
      </c>
      <c r="E989" s="1896"/>
      <c r="F989" s="1896"/>
      <c r="G989" s="677"/>
    </row>
    <row r="990" spans="1:7" ht="12.75" customHeight="1">
      <c r="A990" s="1741"/>
      <c r="B990" s="1741"/>
      <c r="C990" s="556"/>
      <c r="D990" s="6"/>
      <c r="E990" s="6"/>
      <c r="F990" s="6"/>
      <c r="G990" s="677"/>
    </row>
    <row r="991" spans="1:7" ht="12.75" customHeight="1">
      <c r="A991" s="714"/>
      <c r="B991" s="798" t="s">
        <v>2603</v>
      </c>
      <c r="C991" s="556"/>
      <c r="D991" s="1896" t="s">
        <v>2310</v>
      </c>
      <c r="E991" s="1896"/>
      <c r="F991" s="1896"/>
      <c r="G991" s="677"/>
    </row>
    <row r="992" spans="1:7" ht="12.75" customHeight="1">
      <c r="A992" s="1741"/>
      <c r="B992" s="1741"/>
      <c r="C992" s="556"/>
      <c r="D992" s="1707"/>
      <c r="E992" s="6"/>
      <c r="F992" s="6"/>
      <c r="G992" s="677"/>
    </row>
    <row r="993" spans="1:9" ht="12.75" customHeight="1">
      <c r="A993" s="714"/>
      <c r="B993" s="798" t="s">
        <v>2604</v>
      </c>
      <c r="C993" s="556"/>
      <c r="D993" s="1896" t="s">
        <v>2311</v>
      </c>
      <c r="E993" s="1896"/>
      <c r="F993" s="1896"/>
      <c r="G993" s="677"/>
    </row>
    <row r="994" spans="1:9" ht="12.75" customHeight="1">
      <c r="A994" s="1741"/>
      <c r="B994" s="1741"/>
      <c r="C994" s="556"/>
      <c r="D994" s="1707"/>
      <c r="E994" s="6"/>
      <c r="F994" s="6"/>
      <c r="G994" s="677"/>
    </row>
    <row r="995" spans="1:9" ht="12.75" customHeight="1">
      <c r="A995" s="714"/>
      <c r="B995" s="798" t="s">
        <v>2603</v>
      </c>
      <c r="C995" s="556"/>
      <c r="D995" s="1871" t="s">
        <v>2312</v>
      </c>
      <c r="E995" s="1871"/>
      <c r="F995" s="1871"/>
      <c r="G995" s="677"/>
    </row>
    <row r="996" spans="1:9" ht="12.75" customHeight="1">
      <c r="A996" s="714"/>
      <c r="B996" s="714"/>
      <c r="C996" s="556"/>
      <c r="D996" s="1871"/>
      <c r="E996" s="1871"/>
      <c r="F996" s="1871"/>
      <c r="G996" s="677"/>
    </row>
    <row r="997" spans="1:9" ht="12.75" customHeight="1">
      <c r="A997" s="714"/>
      <c r="B997" s="714"/>
      <c r="C997" s="556"/>
      <c r="D997" s="1707"/>
      <c r="E997" s="6"/>
      <c r="F997" s="6"/>
      <c r="G997" s="678"/>
    </row>
    <row r="998" spans="1:9" ht="12.75" customHeight="1">
      <c r="A998" s="407"/>
      <c r="B998" s="798" t="s">
        <v>2603</v>
      </c>
      <c r="C998" s="1758"/>
      <c r="D998" s="1914" t="s">
        <v>2313</v>
      </c>
      <c r="E998" s="1914"/>
      <c r="F998" s="1914"/>
      <c r="G998" s="1759"/>
    </row>
    <row r="999" spans="1:9" ht="12.75" customHeight="1">
      <c r="A999" s="1758"/>
      <c r="B999" s="1758"/>
      <c r="C999" s="1758"/>
      <c r="D999" s="1914"/>
      <c r="E999" s="1914"/>
      <c r="F999" s="1914"/>
      <c r="G999" s="1759"/>
    </row>
    <row r="1000" spans="1:9" ht="12.75" customHeight="1">
      <c r="A1000" s="1758"/>
      <c r="B1000" s="1758"/>
      <c r="C1000" s="1758"/>
      <c r="D1000" s="1760"/>
      <c r="E1000" s="1761"/>
      <c r="F1000" s="1761"/>
      <c r="G1000" s="1759"/>
    </row>
    <row r="1001" spans="1:9" ht="12.75" customHeight="1">
      <c r="A1001" s="407"/>
      <c r="B1001" s="798" t="s">
        <v>2603</v>
      </c>
      <c r="C1001" s="1758"/>
      <c r="D1001" s="2015" t="s">
        <v>2314</v>
      </c>
      <c r="E1001" s="2015"/>
      <c r="F1001" s="2015"/>
      <c r="G1001" s="1759"/>
    </row>
    <row r="1002" spans="1:9" ht="12.75" customHeight="1">
      <c r="A1002" s="1758"/>
      <c r="B1002" s="1758"/>
      <c r="C1002" s="1758"/>
      <c r="D1002" s="1760"/>
      <c r="E1002" s="1761"/>
      <c r="F1002" s="1761"/>
      <c r="G1002" s="1759"/>
    </row>
    <row r="1003" spans="1:9" ht="12.75" customHeight="1">
      <c r="A1003" s="714"/>
      <c r="B1003" s="798" t="s">
        <v>2603</v>
      </c>
      <c r="C1003" s="556"/>
      <c r="D1003" s="1896" t="s">
        <v>2315</v>
      </c>
      <c r="E1003" s="1896"/>
      <c r="F1003" s="1896"/>
      <c r="G1003" s="678"/>
    </row>
    <row r="1004" spans="1:9" ht="12.75" customHeight="1">
      <c r="A1004" s="714"/>
      <c r="B1004" s="714"/>
      <c r="C1004" s="556"/>
      <c r="D1004" s="1707"/>
      <c r="E1004" s="6"/>
      <c r="F1004" s="6"/>
      <c r="G1004" s="678"/>
    </row>
    <row r="1005" spans="1:9" ht="12.75" customHeight="1">
      <c r="A1005" s="714"/>
      <c r="B1005" s="798" t="s">
        <v>2603</v>
      </c>
      <c r="C1005" s="556"/>
      <c r="D1005" s="1871" t="s">
        <v>2316</v>
      </c>
      <c r="E1005" s="1871"/>
      <c r="F1005" s="1871"/>
      <c r="G1005" s="678"/>
    </row>
    <row r="1006" spans="1:9" ht="12.75" customHeight="1">
      <c r="A1006" s="714"/>
      <c r="B1006" s="714"/>
      <c r="C1006" s="556"/>
      <c r="D1006" s="1871"/>
      <c r="E1006" s="1871"/>
      <c r="F1006" s="1871"/>
      <c r="G1006" s="678"/>
    </row>
    <row r="1007" spans="1:9" ht="12.75" customHeight="1">
      <c r="A1007" s="1741"/>
      <c r="B1007" s="1741"/>
      <c r="C1007" s="556"/>
      <c r="D1007" s="6"/>
      <c r="E1007" s="6"/>
      <c r="F1007" s="6"/>
      <c r="G1007" s="678"/>
    </row>
    <row r="1008" spans="1:9" ht="12.75" customHeight="1">
      <c r="A1008" s="1906" t="s">
        <v>2317</v>
      </c>
      <c r="B1008" s="1906"/>
      <c r="C1008" s="1906"/>
      <c r="D1008" s="1906"/>
      <c r="E1008" s="1906"/>
      <c r="F1008" s="1906"/>
      <c r="G1008" s="1906"/>
      <c r="H1008" s="1852"/>
      <c r="I1008" s="1853"/>
    </row>
    <row r="1009" spans="1:9" ht="12.75" customHeight="1">
      <c r="A1009" s="1741"/>
      <c r="B1009" s="1741"/>
      <c r="C1009" s="556"/>
      <c r="D1009" s="6"/>
      <c r="E1009" s="6"/>
      <c r="F1009" s="6"/>
      <c r="G1009" s="678"/>
    </row>
    <row r="1010" spans="1:9" ht="12.75" customHeight="1">
      <c r="A1010" s="1725"/>
      <c r="B1010" s="1725"/>
      <c r="C1010" s="557"/>
      <c r="D1010" s="1915" t="s">
        <v>2318</v>
      </c>
      <c r="E1010" s="1915"/>
      <c r="F1010" s="1915"/>
      <c r="G1010" s="678"/>
    </row>
    <row r="1011" spans="1:9" ht="12.75" customHeight="1">
      <c r="A1011" s="1725"/>
      <c r="B1011" s="1725"/>
      <c r="C1011" s="557"/>
      <c r="D1011" s="2014" t="s">
        <v>2319</v>
      </c>
      <c r="E1011" s="2014"/>
      <c r="F1011" s="2014"/>
      <c r="G1011" s="678"/>
    </row>
    <row r="1012" spans="1:9" ht="12.75" customHeight="1">
      <c r="A1012" s="674"/>
      <c r="B1012" s="674"/>
      <c r="C1012" s="1714"/>
      <c r="D1012" s="678"/>
      <c r="E1012" s="678"/>
      <c r="F1012" s="678"/>
      <c r="G1012" s="678"/>
    </row>
    <row r="1013" spans="1:9" ht="12.75" customHeight="1">
      <c r="A1013" s="714"/>
      <c r="B1013" s="714"/>
      <c r="C1013" s="313"/>
      <c r="D1013" s="1915" t="s">
        <v>2333</v>
      </c>
      <c r="E1013" s="1915"/>
      <c r="F1013" s="1915"/>
      <c r="G1013" s="678"/>
      <c r="I1013" s="1773" t="s">
        <v>2456</v>
      </c>
    </row>
    <row r="1014" spans="1:9" ht="12.75" customHeight="1">
      <c r="A1014" s="1741"/>
      <c r="B1014" s="798" t="s">
        <v>2604</v>
      </c>
      <c r="C1014" s="556"/>
      <c r="D1014" s="2014" t="s">
        <v>1504</v>
      </c>
      <c r="E1014" s="2014"/>
      <c r="F1014" s="2014"/>
      <c r="G1014" s="678"/>
    </row>
    <row r="1015" spans="1:9" s="1771" customFormat="1" ht="12.75" customHeight="1">
      <c r="A1015" s="1741"/>
      <c r="B1015" s="714"/>
      <c r="C1015" s="556"/>
      <c r="D1015" s="2010" t="s">
        <v>2320</v>
      </c>
      <c r="E1015" s="2010"/>
      <c r="F1015" s="2010"/>
      <c r="G1015" s="678"/>
      <c r="I1015" s="1773"/>
    </row>
    <row r="1016" spans="1:9" ht="12.75" customHeight="1">
      <c r="A1016" s="1741"/>
      <c r="B1016" s="1741"/>
      <c r="C1016" s="556"/>
      <c r="D1016" s="2014"/>
      <c r="E1016" s="2014"/>
      <c r="F1016" s="2014"/>
      <c r="G1016" s="678"/>
    </row>
    <row r="1017" spans="1:9" ht="12.75" customHeight="1">
      <c r="A1017" s="2011" t="s">
        <v>2329</v>
      </c>
      <c r="B1017" s="2011"/>
      <c r="C1017" s="2011"/>
      <c r="D1017" s="2011"/>
      <c r="E1017" s="2011"/>
      <c r="F1017" s="2011"/>
      <c r="G1017" s="2011"/>
      <c r="H1017" s="1852"/>
      <c r="I1017" s="1853"/>
    </row>
    <row r="1018" spans="1:9" ht="12.75" customHeight="1">
      <c r="A1018" s="254"/>
      <c r="B1018" s="254"/>
      <c r="C1018" s="1733"/>
      <c r="D1018" s="686"/>
      <c r="E1018" s="686"/>
      <c r="F1018" s="686"/>
      <c r="G1018" s="686"/>
    </row>
    <row r="1019" spans="1:9" ht="12.75" customHeight="1">
      <c r="A1019" s="254"/>
      <c r="B1019" s="1768"/>
      <c r="C1019" s="1775"/>
      <c r="D1019" s="1909" t="s">
        <v>1505</v>
      </c>
      <c r="E1019" s="1909"/>
      <c r="F1019" s="1909"/>
      <c r="G1019" s="686"/>
    </row>
    <row r="1020" spans="1:9" ht="12.75" customHeight="1">
      <c r="A1020" s="254"/>
      <c r="B1020" s="1774" t="s">
        <v>2603</v>
      </c>
      <c r="C1020" s="1775"/>
      <c r="D1020" s="1888" t="s">
        <v>1504</v>
      </c>
      <c r="E1020" s="1888"/>
      <c r="F1020" s="1888"/>
      <c r="G1020" s="686"/>
    </row>
    <row r="1021" spans="1:9" ht="12.75" customHeight="1">
      <c r="A1021" s="254"/>
      <c r="B1021" s="1771"/>
      <c r="C1021" s="1775"/>
      <c r="D1021" s="1888" t="s">
        <v>2330</v>
      </c>
      <c r="E1021" s="1888"/>
      <c r="F1021" s="1888"/>
      <c r="G1021" s="686"/>
    </row>
    <row r="1022" spans="1:9" s="1771" customFormat="1" ht="12.75" customHeight="1">
      <c r="A1022" s="254"/>
      <c r="C1022" s="1775"/>
      <c r="D1022" s="1769"/>
      <c r="E1022" s="1769"/>
      <c r="F1022" s="1769"/>
      <c r="G1022" s="686"/>
      <c r="I1022" s="1773"/>
    </row>
    <row r="1023" spans="1:9" ht="12.75" customHeight="1">
      <c r="A1023" s="254"/>
      <c r="B1023" s="254"/>
      <c r="C1023" s="1733"/>
      <c r="D1023" s="2012" t="s">
        <v>1184</v>
      </c>
      <c r="E1023" s="2012"/>
      <c r="F1023" s="2012"/>
      <c r="G1023" s="686"/>
      <c r="I1023" s="1773" t="s">
        <v>2485</v>
      </c>
    </row>
    <row r="1024" spans="1:9" ht="12.75" customHeight="1">
      <c r="A1024" s="503"/>
      <c r="B1024" s="503"/>
      <c r="C1024" s="502"/>
      <c r="D1024" s="2013" t="s">
        <v>1201</v>
      </c>
      <c r="E1024" s="2013"/>
      <c r="F1024" s="2013"/>
      <c r="G1024" s="1762"/>
    </row>
    <row r="1025" spans="1:9" ht="12.75" customHeight="1">
      <c r="A1025" s="714"/>
      <c r="B1025" s="1774" t="s">
        <v>2603</v>
      </c>
      <c r="C1025" s="557"/>
      <c r="D1025" s="1900" t="s">
        <v>1069</v>
      </c>
      <c r="E1025" s="1900"/>
      <c r="F1025" s="1900"/>
      <c r="G1025" s="678"/>
    </row>
    <row r="1026" spans="1:9" ht="12.75" customHeight="1">
      <c r="A1026" s="1725"/>
      <c r="B1026" s="1725"/>
      <c r="C1026" s="557"/>
      <c r="D1026" s="6"/>
      <c r="E1026" s="1987" t="s">
        <v>1185</v>
      </c>
      <c r="F1026" s="1987"/>
      <c r="G1026" s="678"/>
    </row>
    <row r="1027" spans="1:9">
      <c r="A1027" s="790"/>
      <c r="B1027" s="790"/>
      <c r="C1027" s="790"/>
      <c r="D1027" s="790"/>
      <c r="E1027" s="790"/>
      <c r="F1027" s="790"/>
      <c r="G1027" s="790"/>
    </row>
    <row r="1028" spans="1:9">
      <c r="A1028" s="2011" t="s">
        <v>2350</v>
      </c>
      <c r="B1028" s="2011"/>
      <c r="C1028" s="2011"/>
      <c r="D1028" s="2011"/>
      <c r="E1028" s="2011"/>
      <c r="F1028" s="2011"/>
      <c r="G1028" s="2011"/>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2603</v>
      </c>
      <c r="C1033" s="790"/>
      <c r="D1033" s="2018" t="s">
        <v>2334</v>
      </c>
      <c r="E1033" s="2018"/>
      <c r="F1033" s="2018"/>
      <c r="G1033" s="790"/>
      <c r="I1033" s="1773" t="s">
        <v>2457</v>
      </c>
    </row>
    <row r="1034" spans="1:9">
      <c r="A1034" s="790"/>
      <c r="B1034" s="790"/>
      <c r="C1034" s="790"/>
      <c r="D1034" s="2018"/>
      <c r="E1034" s="2018"/>
      <c r="F1034" s="2018"/>
      <c r="G1034" s="790"/>
    </row>
    <row r="1035" spans="1:9">
      <c r="A1035" s="790"/>
      <c r="B1035" s="790"/>
      <c r="C1035" s="790"/>
      <c r="D1035" s="2018"/>
      <c r="E1035" s="2018"/>
      <c r="F1035" s="2018"/>
      <c r="G1035" s="790"/>
    </row>
    <row r="1036" spans="1:9">
      <c r="A1036" s="790"/>
      <c r="B1036" s="790"/>
      <c r="C1036" s="790"/>
      <c r="D1036" s="2018"/>
      <c r="E1036" s="2018"/>
      <c r="F1036" s="2018"/>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2604</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2603</v>
      </c>
      <c r="C1043" s="790"/>
      <c r="D1043" s="2018" t="s">
        <v>2338</v>
      </c>
      <c r="E1043" s="2018"/>
      <c r="F1043" s="2018"/>
      <c r="G1043" s="790"/>
      <c r="I1043" s="1773" t="s">
        <v>2459</v>
      </c>
    </row>
    <row r="1044" spans="1:9">
      <c r="A1044" s="790"/>
      <c r="B1044" s="790"/>
      <c r="C1044" s="790"/>
      <c r="D1044" s="2018"/>
      <c r="E1044" s="2018"/>
      <c r="F1044" s="2018"/>
      <c r="G1044" s="790"/>
    </row>
    <row r="1045" spans="1:9">
      <c r="A1045" s="790"/>
      <c r="B1045" s="790"/>
      <c r="C1045" s="790"/>
      <c r="D1045" s="2018"/>
      <c r="E1045" s="2018"/>
      <c r="F1045" s="2018"/>
      <c r="G1045" s="790"/>
    </row>
    <row r="1046" spans="1:9">
      <c r="A1046" s="790"/>
      <c r="B1046" s="790"/>
      <c r="C1046" s="790"/>
      <c r="D1046" s="2018"/>
      <c r="E1046" s="2018"/>
      <c r="F1046" s="2018"/>
      <c r="G1046" s="790"/>
    </row>
    <row r="1047" spans="1:9">
      <c r="A1047" s="790"/>
      <c r="B1047" s="790"/>
      <c r="C1047" s="790"/>
      <c r="D1047" s="2018"/>
      <c r="E1047" s="2018"/>
      <c r="F1047" s="2018"/>
      <c r="G1047" s="790"/>
    </row>
    <row r="1048" spans="1:9">
      <c r="A1048" s="790"/>
      <c r="B1048" s="790"/>
      <c r="C1048" s="790"/>
      <c r="D1048" s="790"/>
      <c r="E1048" s="790"/>
      <c r="F1048" s="790"/>
      <c r="G1048" s="790"/>
    </row>
    <row r="1049" spans="1:9">
      <c r="A1049" s="2011" t="s">
        <v>2339</v>
      </c>
      <c r="B1049" s="2011"/>
      <c r="C1049" s="2011"/>
      <c r="D1049" s="2011"/>
      <c r="E1049" s="2011"/>
      <c r="F1049" s="2011"/>
      <c r="G1049" s="2011"/>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2604</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2604</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2603</v>
      </c>
      <c r="C1058" s="790"/>
      <c r="D1058" s="1765" t="s">
        <v>2348</v>
      </c>
      <c r="E1058" s="1770"/>
      <c r="F1058" s="790"/>
      <c r="G1058" s="790"/>
      <c r="I1058" s="1773" t="s">
        <v>2462</v>
      </c>
    </row>
    <row r="1059" spans="1:9" s="1771" customFormat="1">
      <c r="D1059" s="2019" t="s">
        <v>2349</v>
      </c>
      <c r="E1059" s="2019"/>
      <c r="F1059" s="2019"/>
      <c r="I1059" s="1773"/>
    </row>
    <row r="1060" spans="1:9" s="1771" customFormat="1">
      <c r="D1060" s="2019"/>
      <c r="E1060" s="2019"/>
      <c r="F1060" s="2019"/>
      <c r="I1060" s="1773"/>
    </row>
    <row r="1061" spans="1:9" s="1771" customFormat="1">
      <c r="D1061" s="2019"/>
      <c r="E1061" s="2019"/>
      <c r="F1061" s="2019"/>
      <c r="I1061" s="1773"/>
    </row>
    <row r="1062" spans="1:9" s="1771" customFormat="1">
      <c r="D1062" s="2019"/>
      <c r="E1062" s="2019"/>
      <c r="F1062" s="2019"/>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2603</v>
      </c>
      <c r="C1066" s="790"/>
      <c r="D1066" s="2016" t="s">
        <v>2341</v>
      </c>
      <c r="E1066" s="2016"/>
      <c r="F1066" s="2016"/>
      <c r="G1066" s="790"/>
    </row>
    <row r="1067" spans="1:9" s="1771" customFormat="1">
      <c r="D1067" s="2016"/>
      <c r="E1067" s="2016"/>
      <c r="F1067" s="2016"/>
      <c r="I1067" s="1773"/>
    </row>
    <row r="1068" spans="1:9" s="1771" customFormat="1">
      <c r="D1068" s="2016"/>
      <c r="E1068" s="2016"/>
      <c r="F1068" s="2016"/>
      <c r="I1068" s="1773"/>
    </row>
    <row r="1069" spans="1:9" s="1771" customFormat="1">
      <c r="D1069" s="2016"/>
      <c r="E1069" s="2016"/>
      <c r="F1069" s="2016"/>
      <c r="I1069" s="1773"/>
    </row>
    <row r="1070" spans="1:9">
      <c r="A1070" s="790"/>
      <c r="B1070" s="790"/>
      <c r="C1070" s="790"/>
      <c r="D1070" s="2016"/>
      <c r="E1070" s="2016"/>
      <c r="F1070" s="2016"/>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2011" t="s">
        <v>2351</v>
      </c>
      <c r="B1073" s="2011"/>
      <c r="C1073" s="2011"/>
      <c r="D1073" s="2011"/>
      <c r="E1073" s="2011"/>
      <c r="F1073" s="2011"/>
      <c r="G1073" s="2011"/>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2603</v>
      </c>
      <c r="C1076" s="790"/>
      <c r="D1076" s="2016" t="s">
        <v>2352</v>
      </c>
      <c r="E1076" s="2016"/>
      <c r="F1076" s="2016"/>
      <c r="G1076" s="790"/>
      <c r="I1076" s="1773" t="s">
        <v>2464</v>
      </c>
    </row>
    <row r="1077" spans="1:9" s="1771" customFormat="1">
      <c r="D1077" s="2016"/>
      <c r="E1077" s="2016"/>
      <c r="F1077" s="2016"/>
      <c r="I1077" s="1773"/>
    </row>
    <row r="1078" spans="1:9" s="1771" customFormat="1">
      <c r="D1078" s="2016"/>
      <c r="E1078" s="2016"/>
      <c r="F1078" s="2016"/>
      <c r="I1078" s="1773"/>
    </row>
    <row r="1079" spans="1:9" s="1771" customFormat="1">
      <c r="D1079" s="1766"/>
      <c r="I1079" s="1773"/>
    </row>
    <row r="1080" spans="1:9">
      <c r="A1080" s="790"/>
      <c r="B1080" s="1774" t="s">
        <v>2603</v>
      </c>
      <c r="C1080" s="790"/>
      <c r="D1080" s="2016" t="s">
        <v>2353</v>
      </c>
      <c r="E1080" s="2016"/>
      <c r="F1080" s="2016"/>
      <c r="G1080" s="790"/>
      <c r="I1080" s="1773" t="s">
        <v>2465</v>
      </c>
    </row>
    <row r="1081" spans="1:9" s="1771" customFormat="1">
      <c r="D1081" s="2016"/>
      <c r="E1081" s="2016"/>
      <c r="F1081" s="2016"/>
      <c r="I1081" s="1773"/>
    </row>
    <row r="1082" spans="1:9" s="1771" customFormat="1">
      <c r="D1082" s="1766"/>
      <c r="I1082" s="1773"/>
    </row>
    <row r="1083" spans="1:9">
      <c r="A1083" s="790"/>
      <c r="B1083" s="1774" t="s">
        <v>2603</v>
      </c>
      <c r="C1083" s="790"/>
      <c r="D1083" s="2016" t="s">
        <v>2512</v>
      </c>
      <c r="E1083" s="2016"/>
      <c r="F1083" s="2016"/>
      <c r="G1083" s="790"/>
      <c r="I1083" s="1773" t="s">
        <v>2510</v>
      </c>
    </row>
    <row r="1084" spans="1:9" s="1771" customFormat="1">
      <c r="D1084" s="2016"/>
      <c r="E1084" s="2016"/>
      <c r="F1084" s="2016"/>
      <c r="I1084" s="1773"/>
    </row>
    <row r="1085" spans="1:9" s="1771" customFormat="1">
      <c r="D1085" s="2016"/>
      <c r="E1085" s="2016"/>
      <c r="F1085" s="2016"/>
      <c r="I1085" s="1773"/>
    </row>
    <row r="1086" spans="1:9" s="1771" customFormat="1">
      <c r="D1086" s="2016"/>
      <c r="E1086" s="2016"/>
      <c r="F1086" s="2016"/>
      <c r="I1086" s="1773"/>
    </row>
    <row r="1087" spans="1:9" s="1771" customFormat="1">
      <c r="D1087" s="2016"/>
      <c r="E1087" s="2016"/>
      <c r="F1087" s="2016"/>
      <c r="I1087" s="1773"/>
    </row>
    <row r="1088" spans="1:9" s="1771" customFormat="1">
      <c r="D1088" s="2016"/>
      <c r="E1088" s="2016"/>
      <c r="F1088" s="2016"/>
      <c r="I1088" s="1773"/>
    </row>
    <row r="1089" spans="1:9" s="1772" customFormat="1">
      <c r="B1089" s="1771"/>
      <c r="D1089" s="1766" t="s">
        <v>2511</v>
      </c>
    </row>
    <row r="1090" spans="1:9">
      <c r="A1090" s="790"/>
      <c r="B1090" s="1774" t="s">
        <v>2603</v>
      </c>
      <c r="C1090" s="790"/>
      <c r="D1090" s="2016" t="s">
        <v>2354</v>
      </c>
      <c r="E1090" s="2016"/>
      <c r="F1090" s="2016"/>
      <c r="G1090" s="790"/>
      <c r="I1090" s="1836" t="s">
        <v>2466</v>
      </c>
    </row>
    <row r="1091" spans="1:9" s="1771" customFormat="1">
      <c r="D1091" s="2016"/>
      <c r="E1091" s="2016"/>
      <c r="F1091" s="2016"/>
      <c r="I1091" s="1773"/>
    </row>
    <row r="1092" spans="1:9" s="1771" customFormat="1">
      <c r="D1092" s="2016"/>
      <c r="E1092" s="2016"/>
      <c r="F1092" s="2016"/>
      <c r="I1092" s="1773"/>
    </row>
    <row r="1093" spans="1:9" s="1771" customFormat="1">
      <c r="D1093" s="1766"/>
      <c r="I1093" s="1773"/>
    </row>
    <row r="1094" spans="1:9">
      <c r="A1094" s="790"/>
      <c r="B1094" s="1774" t="s">
        <v>2604</v>
      </c>
      <c r="C1094" s="790"/>
      <c r="D1094" s="2017" t="s">
        <v>2513</v>
      </c>
      <c r="E1094" s="2017"/>
      <c r="F1094" s="2017"/>
      <c r="G1094" s="790"/>
      <c r="I1094" s="1773" t="s">
        <v>2467</v>
      </c>
    </row>
    <row r="1095" spans="1:9">
      <c r="A1095" s="790"/>
      <c r="B1095" s="790"/>
      <c r="C1095" s="790"/>
      <c r="D1095" s="2017"/>
      <c r="E1095" s="2017"/>
      <c r="F1095" s="2017"/>
      <c r="G1095" s="790"/>
    </row>
    <row r="1096" spans="1:9">
      <c r="A1096" s="790"/>
      <c r="B1096" s="790"/>
      <c r="C1096" s="790"/>
      <c r="D1096" s="2017"/>
      <c r="E1096" s="2017"/>
      <c r="F1096" s="2017"/>
      <c r="G1096" s="790"/>
    </row>
    <row r="1097" spans="1:9" s="1771" customFormat="1">
      <c r="D1097" s="1848"/>
      <c r="E1097" s="1848"/>
      <c r="F1097" s="1848"/>
      <c r="I1097" s="1773"/>
    </row>
    <row r="1098" spans="1:9" s="1771" customFormat="1" ht="15.75" customHeight="1">
      <c r="B1098" s="1774" t="s">
        <v>2603</v>
      </c>
      <c r="D1098" s="1873" t="s">
        <v>2515</v>
      </c>
      <c r="E1098" s="1873"/>
      <c r="F1098" s="1873"/>
      <c r="I1098" s="1773" t="s">
        <v>2514</v>
      </c>
    </row>
    <row r="1099" spans="1:9" s="1771" customFormat="1">
      <c r="D1099" s="1873"/>
      <c r="E1099" s="1873"/>
      <c r="F1099" s="1873"/>
      <c r="I1099" s="1773"/>
    </row>
    <row r="1100" spans="1:9" s="1771" customFormat="1">
      <c r="D1100" s="1873"/>
      <c r="E1100" s="1873"/>
      <c r="F1100" s="1873"/>
      <c r="I1100" s="1773"/>
    </row>
    <row r="1101" spans="1:9" s="1771" customFormat="1">
      <c r="D1101" s="1873"/>
      <c r="E1101" s="1873"/>
      <c r="F1101" s="1873"/>
      <c r="I1101" s="1773"/>
    </row>
    <row r="1102" spans="1:9" s="1771" customFormat="1">
      <c r="D1102" s="1848"/>
      <c r="E1102" s="1848"/>
      <c r="F1102" s="1848"/>
      <c r="I1102" s="1773"/>
    </row>
    <row r="1103" spans="1:9" ht="38.2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7"/>
      <c r="H1516" s="1887"/>
      <c r="I1516" s="188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074" zoomScale="106" zoomScaleNormal="106" zoomScaleSheetLayoutView="80" workbookViewId="0">
      <selection activeCell="AP602" sqref="AP60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4" t="s">
        <v>105</v>
      </c>
      <c r="B8" s="2404"/>
      <c r="C8" s="2404"/>
      <c r="D8" s="2404"/>
      <c r="E8" s="2404"/>
      <c r="F8" s="2404"/>
      <c r="G8" s="2404"/>
      <c r="H8" s="2404"/>
      <c r="I8" s="2404"/>
      <c r="J8" s="2404"/>
      <c r="K8" s="2404"/>
      <c r="L8" s="2404"/>
      <c r="M8" s="2404"/>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c r="AK8" s="2404"/>
      <c r="AL8" s="2404"/>
      <c r="AM8" s="1570"/>
      <c r="AN8" s="1570"/>
      <c r="AO8" s="1570"/>
      <c r="AP8" s="1570"/>
      <c r="AQ8" s="1570"/>
      <c r="AR8" s="1570"/>
      <c r="AS8" s="1570"/>
      <c r="AT8" s="1570"/>
      <c r="AU8" s="1570"/>
      <c r="AV8" s="1570"/>
      <c r="AW8" s="1570"/>
      <c r="AX8" s="1570"/>
      <c r="AY8" s="1570"/>
    </row>
    <row r="9" spans="1:96" s="719" customFormat="1" ht="12.75">
      <c r="A9" s="2100" t="s">
        <v>1988</v>
      </c>
      <c r="B9" s="2100"/>
      <c r="C9" s="2100"/>
      <c r="D9" s="2100"/>
      <c r="E9" s="2100"/>
      <c r="F9" s="2100"/>
      <c r="G9" s="2100"/>
      <c r="H9" s="2100"/>
      <c r="I9" s="2100"/>
      <c r="J9" s="2100"/>
      <c r="K9" s="2100"/>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1509"/>
      <c r="AN9" s="1509"/>
      <c r="AO9" s="1509"/>
      <c r="AP9" s="1509"/>
      <c r="AQ9" s="1509"/>
      <c r="AR9" s="1509"/>
      <c r="AS9" s="1509"/>
      <c r="AT9" s="1509"/>
      <c r="AU9" s="1509"/>
      <c r="AV9" s="1509"/>
      <c r="AW9" s="1509"/>
      <c r="AX9" s="1509"/>
      <c r="AY9" s="1509"/>
      <c r="CR9" s="25"/>
    </row>
    <row r="10" spans="1:96" ht="15" customHeight="1">
      <c r="A10" s="2235" t="s">
        <v>1989</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100" t="s">
        <v>2009</v>
      </c>
      <c r="B11" s="2100"/>
      <c r="C11" s="2100"/>
      <c r="D11" s="2100"/>
      <c r="E11" s="2100"/>
      <c r="F11" s="2100"/>
      <c r="G11" s="2100"/>
      <c r="H11" s="2100"/>
      <c r="I11" s="2100"/>
      <c r="J11" s="2100"/>
      <c r="K11" s="2100"/>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1509"/>
      <c r="AN11" s="1509"/>
      <c r="AO11" s="1509"/>
      <c r="AP11" s="1509"/>
      <c r="AQ11" s="1509"/>
      <c r="AR11" s="1509"/>
      <c r="AS11" s="1509"/>
      <c r="AT11" s="1509"/>
      <c r="AU11" s="1509"/>
      <c r="AV11" s="1509"/>
      <c r="AW11" s="1509"/>
      <c r="AX11" s="1509"/>
      <c r="AY11" s="1509"/>
    </row>
    <row r="12" spans="1:96" ht="12.75">
      <c r="A12" s="2242" t="s">
        <v>2517</v>
      </c>
      <c r="B12" s="2243"/>
      <c r="C12" s="2243"/>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1515"/>
      <c r="AN12" s="1515"/>
      <c r="AO12" s="1515"/>
      <c r="AP12" s="1515"/>
      <c r="AQ12" s="1515"/>
      <c r="AR12" s="1515"/>
      <c r="AS12" s="1515"/>
      <c r="AT12" s="1515"/>
      <c r="AU12" s="1515"/>
      <c r="AV12" s="1515"/>
      <c r="AW12" s="1515"/>
      <c r="AX12" s="1515"/>
      <c r="AY12" s="1515"/>
    </row>
    <row r="13" spans="1:96" ht="12.75">
      <c r="A13" s="1883" t="s">
        <v>1385</v>
      </c>
      <c r="B13" s="1883"/>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c r="AH13" s="1883"/>
      <c r="AI13" s="1883"/>
      <c r="AJ13" s="1883"/>
      <c r="AK13" s="1883"/>
      <c r="AL13" s="1883"/>
      <c r="AM13" s="1571"/>
      <c r="AN13" s="1571"/>
      <c r="AO13" s="1571"/>
      <c r="AP13" s="1571"/>
      <c r="AQ13" s="1571"/>
      <c r="AR13" s="1571"/>
      <c r="AS13" s="1571"/>
      <c r="AT13" s="1571"/>
      <c r="AU13" s="1571"/>
      <c r="AV13" s="1571"/>
      <c r="AW13" s="1571"/>
      <c r="AX13" s="1571"/>
      <c r="AY13" s="1571"/>
    </row>
    <row r="14" spans="1:96" ht="12.75" customHeight="1" thickBot="1">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c r="AH14" s="1884"/>
      <c r="AI14" s="1884"/>
      <c r="AJ14" s="1884"/>
      <c r="AK14" s="1884"/>
      <c r="AL14" s="1884"/>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23" t="s">
        <v>2664</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051" t="s">
        <v>2518</v>
      </c>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row>
    <row r="19" spans="1:96" ht="12.75" customHeight="1"/>
    <row r="20" spans="1:96" ht="14.25" customHeight="1">
      <c r="A20" s="2237" t="s">
        <v>936</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3"/>
      <c r="AN20" s="1573"/>
      <c r="AO20" s="1573"/>
      <c r="AP20" s="1573"/>
      <c r="AQ20" s="1573"/>
      <c r="AR20" s="1573"/>
      <c r="AS20" s="1573"/>
      <c r="AT20" s="1573"/>
      <c r="AU20" s="1573"/>
      <c r="AV20" s="1573"/>
      <c r="AW20" s="1573"/>
      <c r="AX20" s="1573"/>
      <c r="AY20" s="1573"/>
    </row>
    <row r="21" spans="1:96" ht="12.75" customHeight="1">
      <c r="A21" s="2246" t="s">
        <v>1115</v>
      </c>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5">
        <f>'Basis &amp; Credits'!AB56</f>
        <v>2419611</v>
      </c>
      <c r="N26" s="2245"/>
      <c r="O26" s="2245"/>
      <c r="P26" s="2245"/>
      <c r="Q26" s="224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6">
        <f>'Basis &amp; Credits'!AB77</f>
        <v>0</v>
      </c>
      <c r="N27" s="2156"/>
      <c r="O27" s="2156"/>
      <c r="P27" s="2156"/>
      <c r="Q27" s="215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9" t="s">
        <v>706</v>
      </c>
      <c r="P33" s="204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8"/>
      <c r="H122" s="2238"/>
      <c r="I122" s="239" t="s">
        <v>187</v>
      </c>
      <c r="L122" s="2238"/>
      <c r="M122" s="2238"/>
      <c r="N122" s="223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5"/>
      <c r="D124" s="2205"/>
      <c r="E124" s="2205"/>
      <c r="F124" s="2205"/>
      <c r="G124" s="2205"/>
      <c r="H124" s="2205"/>
      <c r="I124" s="2205"/>
      <c r="J124" s="2205"/>
      <c r="K124" s="220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8"/>
      <c r="Z126" s="2238"/>
      <c r="AA126" s="2238"/>
      <c r="AB126" s="2238"/>
      <c r="AC126" s="2238"/>
      <c r="AD126" s="2238"/>
      <c r="AE126" s="2238"/>
      <c r="AF126" s="2238"/>
      <c r="AG126" s="2238"/>
      <c r="AH126" s="2238"/>
      <c r="AI126" s="2238"/>
      <c r="AJ126" s="2238"/>
      <c r="AK126" s="223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44" t="s">
        <v>2640</v>
      </c>
      <c r="Z129" s="2244"/>
      <c r="AA129" s="2244"/>
      <c r="AB129" s="2244"/>
      <c r="AC129" s="2244"/>
      <c r="AD129" s="2244"/>
      <c r="AE129" s="2244"/>
      <c r="AF129" s="2244"/>
      <c r="AG129" s="2244"/>
      <c r="AH129" s="2244"/>
      <c r="AI129" s="2244"/>
      <c r="AJ129" s="2244"/>
      <c r="AK129" s="2244"/>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4" t="s">
        <v>2681</v>
      </c>
      <c r="Z132" s="2244"/>
      <c r="AA132" s="2244"/>
      <c r="AB132" s="2244"/>
      <c r="AC132" s="2244"/>
      <c r="AD132" s="2244"/>
      <c r="AE132" s="2244"/>
      <c r="AF132" s="2244"/>
      <c r="AG132" s="2244"/>
      <c r="AH132" s="2244"/>
      <c r="AI132" s="2244"/>
      <c r="AJ132" s="2244"/>
      <c r="AK132" s="22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9"/>
      <c r="G150" s="2139"/>
      <c r="H150" s="2139"/>
      <c r="I150" s="2139"/>
      <c r="J150" s="2139"/>
      <c r="K150" s="2139"/>
      <c r="L150" s="2139"/>
      <c r="M150" s="2139"/>
      <c r="N150" s="2139"/>
      <c r="O150" s="2139"/>
      <c r="P150" s="2139"/>
      <c r="Q150" s="2139"/>
      <c r="R150" s="2139"/>
      <c r="S150" s="2139"/>
      <c r="T150" s="213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1" t="s">
        <v>2520</v>
      </c>
      <c r="P153" s="2204"/>
      <c r="Q153" s="2204"/>
      <c r="R153" s="2204"/>
      <c r="S153" s="2204"/>
      <c r="T153" s="2204"/>
      <c r="U153" s="2204"/>
      <c r="V153" s="2204"/>
      <c r="W153" s="2204"/>
      <c r="X153" s="2204"/>
      <c r="Y153" s="2204"/>
      <c r="Z153" s="2204"/>
      <c r="AA153" s="2204"/>
      <c r="AB153" s="2204"/>
      <c r="AC153" s="2204"/>
      <c r="AD153" s="2204"/>
      <c r="AE153" s="2204"/>
      <c r="AF153" s="2204"/>
      <c r="AG153" s="2204"/>
      <c r="AH153" s="2204"/>
    </row>
    <row r="154" spans="1:96" ht="12.75" customHeight="1">
      <c r="D154" s="466" t="s">
        <v>462</v>
      </c>
      <c r="F154" s="32"/>
      <c r="G154" s="32"/>
      <c r="H154" s="32"/>
      <c r="I154" s="32"/>
      <c r="J154" s="32"/>
      <c r="K154" s="32"/>
      <c r="L154" s="32"/>
      <c r="M154" s="32"/>
      <c r="N154" s="32"/>
      <c r="O154" s="2174" t="s">
        <v>2521</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2.75">
      <c r="D155" s="13" t="s">
        <v>464</v>
      </c>
      <c r="F155" s="13"/>
      <c r="G155" s="13"/>
      <c r="H155" s="13"/>
      <c r="I155" s="13"/>
      <c r="J155" s="13"/>
      <c r="K155" s="13"/>
      <c r="L155" s="13"/>
      <c r="M155" s="13"/>
      <c r="N155" s="13"/>
      <c r="O155" s="2248" t="s">
        <v>463</v>
      </c>
      <c r="P155" s="2248"/>
      <c r="Q155" s="2248"/>
      <c r="R155" s="2248"/>
      <c r="S155" s="2248"/>
      <c r="T155" s="2248"/>
      <c r="U155" s="2248"/>
      <c r="V155" s="2248"/>
      <c r="W155" s="2248"/>
      <c r="X155" s="2248"/>
      <c r="Y155" s="2248"/>
      <c r="Z155" s="2248"/>
      <c r="AA155" s="2248"/>
      <c r="AB155" s="2248"/>
      <c r="AC155" s="2248"/>
      <c r="AD155" s="2248"/>
      <c r="AE155" s="2248"/>
      <c r="AF155" s="2248"/>
      <c r="AG155" s="2248"/>
      <c r="AH155" s="2248"/>
      <c r="AZ155" s="25"/>
    </row>
    <row r="156" spans="1:96" ht="12.75">
      <c r="D156" s="32" t="s">
        <v>322</v>
      </c>
      <c r="F156" s="32"/>
      <c r="G156" s="32"/>
      <c r="H156" s="32"/>
      <c r="I156" s="32"/>
      <c r="J156" s="32"/>
      <c r="K156" s="32"/>
      <c r="L156" s="32"/>
      <c r="M156" s="32"/>
      <c r="N156" s="32"/>
      <c r="O156" s="2050" t="s">
        <v>2522</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316</v>
      </c>
    </row>
    <row r="157" spans="1:96" ht="12.75">
      <c r="D157" s="32" t="s">
        <v>323</v>
      </c>
      <c r="F157" s="32"/>
      <c r="G157" s="32"/>
      <c r="H157" s="32"/>
      <c r="I157" s="32"/>
      <c r="J157" s="32"/>
      <c r="K157" s="32"/>
      <c r="L157" s="32"/>
      <c r="M157" s="32"/>
      <c r="N157" s="32"/>
      <c r="O157" s="2051" t="s">
        <v>71</v>
      </c>
      <c r="P157" s="2204"/>
      <c r="Q157" s="2204"/>
      <c r="R157" s="2204"/>
      <c r="S157" s="2204"/>
      <c r="T157" s="2204"/>
      <c r="U157" s="2204"/>
      <c r="V157" s="2204"/>
      <c r="W157" s="2204"/>
      <c r="X157" s="220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9">
        <v>95814</v>
      </c>
      <c r="P158" s="2249"/>
      <c r="Q158" s="2249"/>
      <c r="R158" s="224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6" t="s">
        <v>2523</v>
      </c>
      <c r="P159" s="2206"/>
      <c r="Q159" s="2206"/>
      <c r="R159" s="2206"/>
      <c r="S159" s="2206"/>
      <c r="T159" s="2206"/>
      <c r="V159" s="146" t="s">
        <v>277</v>
      </c>
      <c r="W159" s="2250"/>
      <c r="X159" s="225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6"/>
      <c r="P160" s="2206"/>
      <c r="Q160" s="2206"/>
      <c r="R160" s="2206"/>
      <c r="S160" s="2206"/>
      <c r="T160" s="220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7" t="s">
        <v>2524</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8" t="s">
        <v>1455</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95" t="s">
        <v>572</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7" t="s">
        <v>389</v>
      </c>
      <c r="K173" s="2247"/>
      <c r="L173" s="2247"/>
      <c r="M173" s="2247"/>
      <c r="N173" s="2247"/>
      <c r="O173" s="2247"/>
      <c r="P173" s="2247"/>
      <c r="Q173" s="2247"/>
      <c r="R173" s="2247"/>
      <c r="S173" s="22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50" t="s">
        <v>2525</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49" t="s">
        <v>578</v>
      </c>
      <c r="V175" s="204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9">
        <v>21</v>
      </c>
      <c r="V176" s="2169"/>
      <c r="W176" s="4" t="s">
        <v>315</v>
      </c>
      <c r="X176" s="2232">
        <v>662</v>
      </c>
      <c r="Y176" s="223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49" t="s">
        <v>706</v>
      </c>
      <c r="S177" s="204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1"/>
      <c r="AG178" s="2411"/>
      <c r="AH178" s="4" t="s">
        <v>315</v>
      </c>
      <c r="AI178" s="2251"/>
      <c r="AJ178" s="2251"/>
      <c r="AK178" s="225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49" t="s">
        <v>706</v>
      </c>
      <c r="Y180" s="204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52" t="str">
        <f>H18</f>
        <v>The Wong Center</v>
      </c>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53" t="s">
        <v>2526</v>
      </c>
      <c r="J185" s="2053"/>
      <c r="K185" s="2053"/>
      <c r="L185" s="2053"/>
      <c r="M185" s="2053"/>
      <c r="N185" s="2053"/>
      <c r="O185" s="2053"/>
      <c r="P185" s="2053"/>
      <c r="Q185" s="2053"/>
      <c r="R185" s="2053"/>
      <c r="S185" s="2053"/>
      <c r="T185" s="2053"/>
      <c r="U185" s="2053"/>
      <c r="V185" s="2053"/>
      <c r="W185" s="2053"/>
      <c r="X185" s="2053"/>
      <c r="Y185" s="2053"/>
      <c r="Z185" s="2053"/>
      <c r="AA185" s="2053"/>
      <c r="AB185" s="2053"/>
      <c r="AC185" s="2053"/>
      <c r="AD185" s="2053"/>
      <c r="AE185" s="205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8" t="s">
        <v>2527</v>
      </c>
      <c r="F187" s="2098"/>
      <c r="G187" s="2098"/>
      <c r="H187" s="2098"/>
      <c r="I187" s="2098"/>
      <c r="J187" s="2098"/>
      <c r="K187" s="2098"/>
      <c r="L187" s="2098"/>
      <c r="M187" s="2098"/>
      <c r="N187" s="2098"/>
      <c r="O187" s="2098"/>
      <c r="P187" s="2098"/>
      <c r="Q187" s="2098"/>
      <c r="R187" s="2098"/>
      <c r="S187" s="2098"/>
      <c r="T187" s="2098"/>
      <c r="U187" s="2098"/>
      <c r="V187" s="2098"/>
      <c r="W187" s="2098"/>
      <c r="X187" s="2098"/>
      <c r="Y187" s="2098"/>
      <c r="Z187" s="2098"/>
      <c r="AA187" s="2098"/>
      <c r="AB187" s="2098"/>
      <c r="AC187" s="2098"/>
      <c r="AD187" s="2098"/>
      <c r="AE187" s="209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9"/>
      <c r="F188" s="2099"/>
      <c r="G188" s="2099"/>
      <c r="H188" s="2099"/>
      <c r="I188" s="2099"/>
      <c r="J188" s="2099"/>
      <c r="K188" s="2099"/>
      <c r="L188" s="2099"/>
      <c r="M188" s="2099"/>
      <c r="N188" s="2099"/>
      <c r="O188" s="2099"/>
      <c r="P188" s="2099"/>
      <c r="Q188" s="2099"/>
      <c r="R188" s="2099"/>
      <c r="S188" s="2099"/>
      <c r="T188" s="2099"/>
      <c r="U188" s="2099"/>
      <c r="V188" s="2099"/>
      <c r="W188" s="2099"/>
      <c r="X188" s="2099"/>
      <c r="Y188" s="2099"/>
      <c r="Z188" s="2099"/>
      <c r="AA188" s="2099"/>
      <c r="AB188" s="2099"/>
      <c r="AC188" s="2099"/>
      <c r="AD188" s="2099"/>
      <c r="AE188" s="209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0" t="s">
        <v>71</v>
      </c>
      <c r="J189" s="2050"/>
      <c r="K189" s="2050"/>
      <c r="L189" s="2050"/>
      <c r="M189" s="2050"/>
      <c r="N189" s="2050"/>
      <c r="O189" s="2050"/>
      <c r="P189" s="2050"/>
      <c r="Q189" s="25" t="s">
        <v>617</v>
      </c>
      <c r="T189" s="2050" t="s">
        <v>71</v>
      </c>
      <c r="U189" s="2050"/>
      <c r="V189" s="2050"/>
      <c r="W189" s="2050"/>
      <c r="X189" s="2050"/>
      <c r="Y189" s="2050"/>
      <c r="Z189" s="2050"/>
      <c r="AA189" s="2050"/>
      <c r="AB189" s="2050"/>
      <c r="AC189" s="2050"/>
      <c r="AD189" s="2050"/>
      <c r="AE189" s="205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53">
        <v>95814</v>
      </c>
      <c r="J190" s="2053"/>
      <c r="K190" s="2053"/>
      <c r="L190" s="2053"/>
      <c r="M190" s="2053"/>
      <c r="N190" s="2053"/>
      <c r="O190" s="25" t="s">
        <v>620</v>
      </c>
      <c r="P190" s="25"/>
      <c r="Q190" s="25"/>
      <c r="R190" s="25"/>
      <c r="S190" s="25"/>
      <c r="T190" s="2240">
        <v>53.01</v>
      </c>
      <c r="U190" s="2240"/>
      <c r="V190" s="2240"/>
      <c r="W190" s="2240"/>
      <c r="X190" s="2240"/>
      <c r="Y190" s="2240"/>
      <c r="Z190" s="2240"/>
      <c r="AA190" s="2240"/>
      <c r="AB190" s="2240"/>
      <c r="AC190" s="2240"/>
      <c r="AD190" s="2240"/>
      <c r="AE190" s="224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098" t="s">
        <v>2528</v>
      </c>
      <c r="O191" s="2098"/>
      <c r="P191" s="2098"/>
      <c r="Q191" s="2098"/>
      <c r="R191" s="2098"/>
      <c r="S191" s="2098"/>
      <c r="T191" s="2098"/>
      <c r="U191" s="2098"/>
      <c r="V191" s="2098"/>
      <c r="W191" s="2098"/>
      <c r="X191" s="2098"/>
      <c r="Y191" s="2098"/>
      <c r="Z191" s="2098"/>
      <c r="AA191" s="2098"/>
      <c r="AB191" s="2098"/>
      <c r="AC191" s="2098"/>
      <c r="AD191" s="2098"/>
      <c r="AE191" s="209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099"/>
      <c r="O192" s="2099"/>
      <c r="P192" s="2099"/>
      <c r="Q192" s="2099"/>
      <c r="R192" s="2099"/>
      <c r="S192" s="2099"/>
      <c r="T192" s="2099"/>
      <c r="U192" s="2099"/>
      <c r="V192" s="2099"/>
      <c r="W192" s="2099"/>
      <c r="X192" s="2099"/>
      <c r="Y192" s="2099"/>
      <c r="Z192" s="2099"/>
      <c r="AA192" s="2099"/>
      <c r="AB192" s="2099"/>
      <c r="AC192" s="2099"/>
      <c r="AD192" s="2099"/>
      <c r="AE192" s="209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1974</v>
      </c>
      <c r="BN192" s="36" t="s">
        <v>727</v>
      </c>
      <c r="BT192" s="12" t="s">
        <v>769</v>
      </c>
    </row>
    <row r="193" spans="1:96" ht="12.75">
      <c r="A193" s="25"/>
      <c r="B193" s="719"/>
      <c r="C193" s="46"/>
      <c r="D193" s="687" t="s">
        <v>2011</v>
      </c>
      <c r="E193" s="25"/>
      <c r="F193" s="25"/>
      <c r="G193" s="25"/>
      <c r="H193" s="25"/>
      <c r="I193" s="25"/>
      <c r="J193" s="25"/>
      <c r="K193" s="25"/>
      <c r="L193" s="25"/>
      <c r="M193" s="170"/>
      <c r="N193" s="1517"/>
      <c r="O193" s="1517"/>
      <c r="P193" s="1517"/>
      <c r="Q193" s="1517"/>
      <c r="R193" s="1517"/>
      <c r="S193" s="1517"/>
      <c r="T193" s="2233"/>
      <c r="U193" s="2233"/>
      <c r="V193" s="2233"/>
      <c r="W193" s="2233"/>
      <c r="X193" s="2233"/>
      <c r="Y193" s="2233"/>
      <c r="Z193" s="2233"/>
      <c r="AA193" s="2233"/>
      <c r="AB193" s="2233"/>
      <c r="AC193" s="2233"/>
      <c r="AD193" s="2233"/>
      <c r="AE193" s="2233"/>
      <c r="AF193" s="2233"/>
      <c r="AG193" s="2233"/>
      <c r="AH193" s="2233"/>
      <c r="AI193" s="2233"/>
      <c r="AJ193" s="681"/>
      <c r="AK193" s="681"/>
      <c r="AL193" s="681"/>
      <c r="AM193" s="681"/>
      <c r="AN193" s="681"/>
      <c r="AO193" s="681"/>
      <c r="AP193" s="681"/>
      <c r="AQ193" s="681"/>
      <c r="AR193" s="681"/>
      <c r="AS193" s="681"/>
      <c r="AT193" s="681"/>
      <c r="AU193" s="681"/>
      <c r="AV193" s="681"/>
      <c r="AW193" s="681"/>
      <c r="AX193" s="681"/>
      <c r="AY193" s="681"/>
      <c r="BC193" s="719" t="s">
        <v>1155</v>
      </c>
      <c r="BH193" s="58" t="s">
        <v>1975</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9" t="s">
        <v>706</v>
      </c>
      <c r="U194" s="2049"/>
      <c r="W194" s="25" t="s">
        <v>722</v>
      </c>
      <c r="X194" s="25"/>
      <c r="Y194" s="25"/>
      <c r="Z194" s="25"/>
      <c r="AA194" s="25"/>
      <c r="AB194" s="25"/>
      <c r="AC194" s="25"/>
      <c r="AD194" s="25"/>
      <c r="AE194" s="25"/>
      <c r="AF194" s="25"/>
      <c r="AG194" s="25"/>
      <c r="AH194" s="2049">
        <v>6</v>
      </c>
      <c r="AI194" s="2049"/>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70" t="s">
        <v>578</v>
      </c>
      <c r="U195" s="2070"/>
      <c r="V195" s="12"/>
      <c r="W195" s="25" t="s">
        <v>723</v>
      </c>
      <c r="X195" s="25"/>
      <c r="Y195" s="25"/>
      <c r="Z195" s="25"/>
      <c r="AA195" s="25"/>
      <c r="AB195" s="25"/>
      <c r="AC195" s="25"/>
      <c r="AD195" s="25"/>
      <c r="AE195" s="25"/>
      <c r="AF195" s="25"/>
      <c r="AG195" s="25"/>
      <c r="AH195" s="2049">
        <v>7</v>
      </c>
      <c r="AI195" s="2049"/>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70" t="s">
        <v>706</v>
      </c>
      <c r="U196" s="2070"/>
      <c r="W196" s="25" t="s">
        <v>724</v>
      </c>
      <c r="X196" s="25"/>
      <c r="Y196" s="25"/>
      <c r="Z196" s="25"/>
      <c r="AA196" s="25"/>
      <c r="AB196" s="25"/>
      <c r="AC196" s="25"/>
      <c r="AD196" s="25"/>
      <c r="AE196" s="25"/>
      <c r="AF196" s="25"/>
      <c r="AG196" s="25"/>
      <c r="AH196" s="2049">
        <v>6</v>
      </c>
      <c r="AI196" s="204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70"/>
      <c r="U197" s="207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9" t="s">
        <v>706</v>
      </c>
      <c r="Z198" s="204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52" t="s">
        <v>403</v>
      </c>
      <c r="E203" s="2052"/>
      <c r="F203" s="2052"/>
      <c r="G203" s="2052"/>
      <c r="H203" s="2052"/>
      <c r="I203" s="2052"/>
      <c r="J203" s="2052"/>
      <c r="K203" s="2052"/>
      <c r="L203" s="2052"/>
      <c r="M203" s="2052"/>
      <c r="P203" s="2236">
        <f>M26</f>
        <v>2419611</v>
      </c>
      <c r="Q203" s="2231"/>
      <c r="R203" s="2231"/>
      <c r="S203" s="2231"/>
      <c r="T203" s="2231"/>
      <c r="U203" s="2231"/>
      <c r="V203" s="25"/>
      <c r="W203" s="25"/>
      <c r="X203" s="25"/>
      <c r="Y203" s="25"/>
      <c r="Z203" s="2229" t="s">
        <v>1383</v>
      </c>
      <c r="AA203" s="2229"/>
      <c r="AB203" s="2229"/>
      <c r="AC203" s="2229"/>
      <c r="AD203" s="2229"/>
      <c r="AE203" s="2229"/>
      <c r="AF203" s="222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234" t="s">
        <v>1476</v>
      </c>
      <c r="E204" s="2052"/>
      <c r="F204" s="2052"/>
      <c r="G204" s="2052"/>
      <c r="H204" s="2052"/>
      <c r="I204" s="2052"/>
      <c r="J204" s="2052"/>
      <c r="K204" s="2052"/>
      <c r="L204" s="2052"/>
      <c r="M204" s="2052"/>
      <c r="P204" s="2231">
        <f>M27</f>
        <v>0</v>
      </c>
      <c r="Q204" s="2231"/>
      <c r="R204" s="2231"/>
      <c r="S204" s="2231"/>
      <c r="T204" s="2231"/>
      <c r="U204" s="2231"/>
      <c r="V204" s="47"/>
      <c r="W204" s="58" t="s">
        <v>2216</v>
      </c>
      <c r="Z204" s="2229"/>
      <c r="AA204" s="2229"/>
      <c r="AB204" s="2229"/>
      <c r="AC204" s="2229"/>
      <c r="AD204" s="2229"/>
      <c r="AE204" s="2229"/>
      <c r="AF204" s="2229"/>
      <c r="AG204" s="25" t="s">
        <v>1477</v>
      </c>
      <c r="AH204" s="25"/>
      <c r="AI204" s="25"/>
      <c r="AJ204" s="25"/>
      <c r="AK204" s="25"/>
      <c r="AL204" s="25"/>
      <c r="AM204" s="25"/>
      <c r="AN204" s="25"/>
      <c r="AO204" s="25"/>
      <c r="AP204" s="2049" t="s">
        <v>706</v>
      </c>
      <c r="AQ204" s="204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0"/>
      <c r="AA205" s="2230"/>
      <c r="AB205" s="2230"/>
      <c r="AC205" s="2230"/>
      <c r="AD205" s="2230"/>
      <c r="AE205" s="2230"/>
      <c r="AF205" s="223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04" t="s">
        <v>2529</v>
      </c>
      <c r="E207" s="2204"/>
      <c r="F207" s="2204"/>
      <c r="G207" s="2204"/>
      <c r="H207" s="2204"/>
      <c r="I207" s="2204"/>
      <c r="J207" s="2204"/>
      <c r="K207" s="2204"/>
      <c r="L207" s="2204"/>
      <c r="M207" s="220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4" t="s">
        <v>2382</v>
      </c>
      <c r="E210" s="2204"/>
      <c r="F210" s="2204"/>
      <c r="G210" s="2204"/>
      <c r="H210" s="2204"/>
      <c r="I210" s="2204"/>
      <c r="J210" s="2204"/>
      <c r="K210" s="2204"/>
      <c r="L210" s="2204"/>
      <c r="M210" s="220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9"/>
      <c r="Z211" s="204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102" t="s">
        <v>626</v>
      </c>
      <c r="E213" s="2102"/>
      <c r="F213" s="2102"/>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101"/>
      <c r="AC214" s="2101"/>
      <c r="AD214" s="2101"/>
      <c r="AE214" s="2101"/>
      <c r="AF214" s="2101"/>
      <c r="AG214" s="2101"/>
      <c r="AH214" s="2101"/>
      <c r="AI214" s="2101"/>
      <c r="AJ214" s="2101"/>
      <c r="AK214" s="2101"/>
      <c r="AL214" s="210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2002</v>
      </c>
      <c r="Z215" s="69"/>
      <c r="AB215" s="2101"/>
      <c r="AC215" s="2101"/>
      <c r="AD215" s="2101"/>
      <c r="AE215" s="2101"/>
      <c r="AF215" s="2101"/>
      <c r="AG215" s="2101"/>
      <c r="AH215" s="2101"/>
      <c r="AI215" s="2101"/>
      <c r="AJ215" s="2101"/>
      <c r="AK215" s="2101"/>
      <c r="AL215" s="210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4" t="s">
        <v>1182</v>
      </c>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95" t="s">
        <v>573</v>
      </c>
      <c r="B221" s="2095"/>
      <c r="C221" s="2095"/>
      <c r="D221" s="2095"/>
      <c r="E221" s="2095"/>
      <c r="F221" s="2095"/>
      <c r="G221" s="2095"/>
      <c r="H221" s="2095"/>
      <c r="I221" s="2095"/>
      <c r="J221" s="2095"/>
      <c r="K221" s="2095"/>
      <c r="L221" s="2095"/>
      <c r="M221" s="2095"/>
      <c r="N221" s="2095"/>
      <c r="O221" s="2095"/>
      <c r="P221" s="2095"/>
      <c r="Q221" s="2095"/>
      <c r="R221" s="2095"/>
      <c r="S221" s="2095"/>
      <c r="T221" s="2095"/>
      <c r="U221" s="2095"/>
      <c r="V221" s="2095"/>
      <c r="W221" s="2095"/>
      <c r="X221" s="2095"/>
      <c r="Y221" s="2095"/>
      <c r="Z221" s="2095"/>
      <c r="AA221" s="2095"/>
      <c r="AB221" s="2095"/>
      <c r="AC221" s="2095"/>
      <c r="AD221" s="2095"/>
      <c r="AE221" s="2095"/>
      <c r="AF221" s="2095"/>
      <c r="AG221" s="2095"/>
      <c r="AH221" s="2095"/>
      <c r="AI221" s="2095"/>
      <c r="AJ221" s="2095"/>
      <c r="AK221" s="2095"/>
      <c r="AL221" s="2095"/>
      <c r="AM221" s="144"/>
      <c r="AN221" s="144"/>
      <c r="AO221" s="144"/>
      <c r="AP221" s="144"/>
      <c r="AQ221" s="144"/>
      <c r="AR221" s="144"/>
      <c r="AS221" s="144"/>
      <c r="AT221" s="144"/>
      <c r="AU221" s="144"/>
      <c r="AV221" s="144"/>
      <c r="AW221" s="144"/>
      <c r="AX221" s="144"/>
      <c r="AY221" s="144"/>
      <c r="BA221" s="58"/>
    </row>
    <row r="222" spans="1:96" ht="13.5" thickBot="1">
      <c r="A222" s="2096"/>
      <c r="B222" s="2096"/>
      <c r="C222" s="2096"/>
      <c r="D222" s="2096"/>
      <c r="E222" s="2096"/>
      <c r="F222" s="2096"/>
      <c r="G222" s="2096"/>
      <c r="H222" s="2096"/>
      <c r="I222" s="2096"/>
      <c r="J222" s="2096"/>
      <c r="K222" s="2096"/>
      <c r="L222" s="2096"/>
      <c r="M222" s="2096"/>
      <c r="N222" s="2096"/>
      <c r="O222" s="2096"/>
      <c r="P222" s="2096"/>
      <c r="Q222" s="2096"/>
      <c r="R222" s="2096"/>
      <c r="S222" s="2096"/>
      <c r="T222" s="2096"/>
      <c r="U222" s="2096"/>
      <c r="V222" s="2096"/>
      <c r="W222" s="2096"/>
      <c r="X222" s="2096"/>
      <c r="Y222" s="2096"/>
      <c r="Z222" s="2096"/>
      <c r="AA222" s="2096"/>
      <c r="AB222" s="2096"/>
      <c r="AC222" s="2096"/>
      <c r="AD222" s="2096"/>
      <c r="AE222" s="2096"/>
      <c r="AF222" s="2096"/>
      <c r="AG222" s="2096"/>
      <c r="AH222" s="2096"/>
      <c r="AI222" s="2096"/>
      <c r="AJ222" s="2096"/>
      <c r="AK222" s="2096"/>
      <c r="AL222" s="209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626</v>
      </c>
      <c r="AJ225" s="204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578</v>
      </c>
      <c r="AJ226" s="204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578</v>
      </c>
      <c r="AJ227" s="204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626</v>
      </c>
      <c r="AJ228" s="204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41" t="str">
        <f>H16</f>
        <v>Wong Center at the Railyard, L.P.</v>
      </c>
      <c r="N231" s="2241"/>
      <c r="O231" s="2241"/>
      <c r="P231" s="2241"/>
      <c r="Q231" s="2241"/>
      <c r="R231" s="2241"/>
      <c r="S231" s="2241"/>
      <c r="T231" s="2241"/>
      <c r="U231" s="2241"/>
      <c r="V231" s="2241"/>
      <c r="W231" s="2241"/>
      <c r="X231" s="2241"/>
      <c r="Y231" s="2241"/>
      <c r="Z231" s="2241"/>
      <c r="AA231" s="2241"/>
      <c r="AB231" s="2241"/>
      <c r="AC231" s="2241"/>
      <c r="AD231" s="2241"/>
      <c r="AE231" s="2241"/>
      <c r="AF231" s="2241"/>
      <c r="AG231" s="2241"/>
      <c r="AH231" s="2241"/>
      <c r="AI231" s="2241"/>
      <c r="AJ231" s="2241"/>
      <c r="AK231" s="2241"/>
      <c r="BA231" s="58"/>
      <c r="BB231" s="384"/>
      <c r="BG231" s="387"/>
      <c r="BQ231" s="61"/>
    </row>
    <row r="232" spans="1:69" ht="12.75">
      <c r="D232" s="57" t="s">
        <v>90</v>
      </c>
      <c r="E232" s="57"/>
      <c r="F232" s="57"/>
      <c r="G232" s="57"/>
      <c r="H232" s="57"/>
      <c r="I232" s="57"/>
      <c r="J232" s="57"/>
      <c r="K232" s="7"/>
      <c r="M232" s="2051" t="s">
        <v>2530</v>
      </c>
      <c r="N232" s="2204"/>
      <c r="O232" s="2204"/>
      <c r="P232" s="2204"/>
      <c r="Q232" s="2204"/>
      <c r="R232" s="2204"/>
      <c r="S232" s="2204"/>
      <c r="T232" s="2204"/>
      <c r="U232" s="2204"/>
      <c r="V232" s="2204"/>
      <c r="W232" s="2204"/>
      <c r="X232" s="2204"/>
      <c r="Y232" s="2204"/>
      <c r="Z232" s="2204"/>
      <c r="AA232" s="2204"/>
      <c r="AB232" s="2204"/>
      <c r="AC232" s="2204"/>
      <c r="AD232" s="2204"/>
      <c r="AE232" s="2204"/>
      <c r="AZ232" s="7"/>
      <c r="BA232" s="58"/>
      <c r="BB232" s="334" t="s">
        <v>571</v>
      </c>
      <c r="BG232" s="389">
        <f>IF(AND(AND($M$248="nonprofit",$M$256="nonprofit",$M$264="for profit")),2,0)</f>
        <v>0</v>
      </c>
      <c r="BQ232" s="61"/>
    </row>
    <row r="233" spans="1:69" ht="12.75">
      <c r="D233" s="57" t="s">
        <v>615</v>
      </c>
      <c r="E233" s="57"/>
      <c r="M233" s="2051" t="s">
        <v>71</v>
      </c>
      <c r="N233" s="2204"/>
      <c r="O233" s="2204"/>
      <c r="P233" s="2204"/>
      <c r="Q233" s="2204"/>
      <c r="R233" s="2204"/>
      <c r="S233" s="2204"/>
      <c r="T233" s="2204"/>
      <c r="V233" s="59" t="s">
        <v>91</v>
      </c>
      <c r="W233" s="2174" t="s">
        <v>2531</v>
      </c>
      <c r="X233" s="2041"/>
      <c r="Y233" s="57" t="s">
        <v>618</v>
      </c>
      <c r="AC233" s="2204">
        <v>95826</v>
      </c>
      <c r="AD233" s="2204"/>
      <c r="AE233" s="2204"/>
      <c r="BB233" s="334" t="s">
        <v>571</v>
      </c>
      <c r="BG233" s="389">
        <f>IF(AND(AND($M$248="nonprofit",$M$256="for profit",$M$264="nonprofit")),2,0)</f>
        <v>0</v>
      </c>
    </row>
    <row r="234" spans="1:69" ht="12.75">
      <c r="D234" s="60" t="s">
        <v>92</v>
      </c>
      <c r="E234" s="7"/>
      <c r="F234" s="7"/>
      <c r="G234" s="7"/>
      <c r="H234" s="7"/>
      <c r="I234" s="7"/>
      <c r="J234" s="7"/>
      <c r="K234" s="29"/>
      <c r="M234" s="2051" t="s">
        <v>2550</v>
      </c>
      <c r="N234" s="2204"/>
      <c r="O234" s="2204"/>
      <c r="P234" s="2204"/>
      <c r="Q234" s="2204"/>
      <c r="R234" s="2204"/>
      <c r="S234" s="2204"/>
      <c r="T234" s="2204"/>
      <c r="U234" s="2204"/>
      <c r="V234" s="2204"/>
      <c r="W234" s="2204"/>
      <c r="X234" s="2204"/>
      <c r="Y234" s="2204"/>
      <c r="Z234" s="2204"/>
      <c r="AA234" s="2204"/>
      <c r="AB234" s="2204"/>
      <c r="AC234" s="2204"/>
      <c r="AD234" s="2204"/>
      <c r="AE234" s="220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90" t="s">
        <v>2532</v>
      </c>
      <c r="N235" s="2075"/>
      <c r="O235" s="2075"/>
      <c r="P235" s="2075"/>
      <c r="Q235" s="2075"/>
      <c r="R235" s="2075"/>
      <c r="S235" s="7" t="s">
        <v>212</v>
      </c>
      <c r="T235" s="7"/>
      <c r="U235" s="2041">
        <v>224</v>
      </c>
      <c r="V235" s="2041"/>
      <c r="W235" s="2041"/>
      <c r="X235" s="7" t="s">
        <v>94</v>
      </c>
      <c r="Z235" s="2075"/>
      <c r="AA235" s="2075"/>
      <c r="AB235" s="2075"/>
      <c r="AC235" s="2075"/>
      <c r="AD235" s="2075"/>
      <c r="AE235" s="2075"/>
      <c r="BB235" s="385"/>
      <c r="BG235" s="386"/>
    </row>
    <row r="236" spans="1:69" ht="12.75">
      <c r="D236" s="60" t="s">
        <v>95</v>
      </c>
      <c r="E236" s="7"/>
      <c r="F236" s="7"/>
      <c r="M236" s="2207" t="s">
        <v>2552</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2.75">
      <c r="A237" s="50" t="s">
        <v>621</v>
      </c>
      <c r="C237" s="37" t="s">
        <v>558</v>
      </c>
      <c r="M237" s="2053" t="s">
        <v>561</v>
      </c>
      <c r="N237" s="2053"/>
      <c r="O237" s="2053"/>
      <c r="P237" s="2053"/>
      <c r="Q237" s="2053"/>
      <c r="R237" s="2053"/>
      <c r="S237" s="2053"/>
      <c r="T237" s="2053"/>
      <c r="U237" s="387" t="s">
        <v>975</v>
      </c>
      <c r="V237" s="325"/>
      <c r="W237" s="325"/>
      <c r="X237" s="325"/>
      <c r="Y237" s="325"/>
      <c r="Z237" s="325"/>
      <c r="AA237" s="2226"/>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3" t="s">
        <v>2535</v>
      </c>
      <c r="N242" s="2224"/>
      <c r="O242" s="2224"/>
      <c r="P242" s="2224"/>
      <c r="Q242" s="2224"/>
      <c r="R242" s="2224"/>
      <c r="S242" s="2224"/>
      <c r="T242" s="2224"/>
      <c r="U242" s="2224"/>
      <c r="V242" s="2224"/>
      <c r="W242" s="2224"/>
      <c r="X242" s="2224"/>
      <c r="Y242" s="2224"/>
      <c r="Z242" s="2224"/>
      <c r="AA242" s="2224"/>
      <c r="AB242" s="2224"/>
      <c r="AC242" s="2224"/>
      <c r="AD242" s="2224"/>
      <c r="AE242" s="2224"/>
      <c r="AF242" s="2224" t="s">
        <v>2537</v>
      </c>
      <c r="AG242" s="2224"/>
      <c r="AH242" s="2224"/>
      <c r="AI242" s="2224"/>
      <c r="AJ242" s="2224"/>
      <c r="AK242" s="222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1" t="s">
        <v>2530</v>
      </c>
      <c r="N243" s="2204"/>
      <c r="O243" s="2204"/>
      <c r="P243" s="2204"/>
      <c r="Q243" s="2204"/>
      <c r="R243" s="2204"/>
      <c r="S243" s="2204"/>
      <c r="T243" s="2204"/>
      <c r="U243" s="2204"/>
      <c r="V243" s="2204"/>
      <c r="W243" s="2204"/>
      <c r="X243" s="2204"/>
      <c r="Y243" s="2204"/>
      <c r="Z243" s="2204"/>
      <c r="AA243" s="2204"/>
      <c r="AB243" s="2204"/>
      <c r="AC243" s="2204"/>
      <c r="AD243" s="2204"/>
      <c r="AE243" s="220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51" t="s">
        <v>71</v>
      </c>
      <c r="N244" s="2204"/>
      <c r="O244" s="2204"/>
      <c r="P244" s="2204"/>
      <c r="Q244" s="2204"/>
      <c r="R244" s="2204"/>
      <c r="S244" s="2204"/>
      <c r="T244" s="2204"/>
      <c r="V244" s="59" t="s">
        <v>91</v>
      </c>
      <c r="W244" s="2174" t="s">
        <v>2531</v>
      </c>
      <c r="X244" s="2041"/>
      <c r="Y244" s="57" t="s">
        <v>618</v>
      </c>
      <c r="AC244" s="2204">
        <v>95826</v>
      </c>
      <c r="AD244" s="2204"/>
      <c r="AE244" s="2204"/>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1" t="s">
        <v>2533</v>
      </c>
      <c r="N245" s="2204"/>
      <c r="O245" s="2204"/>
      <c r="P245" s="2204"/>
      <c r="Q245" s="2204"/>
      <c r="R245" s="2204"/>
      <c r="S245" s="2204"/>
      <c r="T245" s="2204"/>
      <c r="U245" s="2204"/>
      <c r="V245" s="2204"/>
      <c r="W245" s="2204"/>
      <c r="X245" s="2204"/>
      <c r="Y245" s="2204"/>
      <c r="Z245" s="2204"/>
      <c r="AA245" s="2204"/>
      <c r="AB245" s="2204"/>
      <c r="AC245" s="2204"/>
      <c r="AD245" s="2204"/>
      <c r="AE245" s="2204"/>
      <c r="AH245" s="2116">
        <v>5.1000000000000004E-3</v>
      </c>
      <c r="AI245" s="2116"/>
      <c r="AJ245" s="2116"/>
      <c r="AK245" s="211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90" t="s">
        <v>2532</v>
      </c>
      <c r="N246" s="2075"/>
      <c r="O246" s="2075"/>
      <c r="P246" s="2075"/>
      <c r="Q246" s="2075"/>
      <c r="R246" s="2075"/>
      <c r="S246" s="7" t="s">
        <v>212</v>
      </c>
      <c r="T246" s="7"/>
      <c r="U246" s="2041">
        <v>224</v>
      </c>
      <c r="V246" s="2041"/>
      <c r="W246" s="2041"/>
      <c r="X246" s="7" t="s">
        <v>94</v>
      </c>
      <c r="Z246" s="2075"/>
      <c r="AA246" s="2075"/>
      <c r="AB246" s="2075"/>
      <c r="AC246" s="2075"/>
      <c r="AD246" s="2075"/>
      <c r="AE246" s="2075"/>
      <c r="BB246" s="7" t="s">
        <v>178</v>
      </c>
      <c r="BG246" s="12">
        <v>3</v>
      </c>
      <c r="BH246" s="12" t="s">
        <v>569</v>
      </c>
      <c r="BN246" s="390"/>
      <c r="BO246" s="39"/>
    </row>
    <row r="247" spans="1:72" ht="12.75">
      <c r="A247" s="29"/>
      <c r="B247" s="7"/>
      <c r="C247" s="7"/>
      <c r="D247" s="60" t="s">
        <v>95</v>
      </c>
      <c r="E247" s="7"/>
      <c r="F247" s="7"/>
      <c r="M247" s="2207" t="s">
        <v>2534</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53" t="s">
        <v>567</v>
      </c>
      <c r="N248" s="2053"/>
      <c r="O248" s="2053"/>
      <c r="P248" s="2053"/>
      <c r="Q248" s="2053"/>
      <c r="R248" s="2053"/>
      <c r="S248" s="2053"/>
      <c r="T248" s="2053"/>
      <c r="U248" s="387" t="s">
        <v>975</v>
      </c>
      <c r="V248" s="325"/>
      <c r="W248" s="325"/>
      <c r="X248" s="325"/>
      <c r="Y248" s="325"/>
      <c r="Z248" s="325"/>
      <c r="AA248" s="2225" t="s">
        <v>2519</v>
      </c>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3" t="s">
        <v>2536</v>
      </c>
      <c r="N250" s="2224"/>
      <c r="O250" s="2224"/>
      <c r="P250" s="2224"/>
      <c r="Q250" s="2224"/>
      <c r="R250" s="2224"/>
      <c r="S250" s="2224"/>
      <c r="T250" s="2224"/>
      <c r="U250" s="2224"/>
      <c r="V250" s="2224"/>
      <c r="W250" s="2224"/>
      <c r="X250" s="2224"/>
      <c r="Y250" s="2224"/>
      <c r="Z250" s="2224"/>
      <c r="AA250" s="2224"/>
      <c r="AB250" s="2224"/>
      <c r="AC250" s="2224"/>
      <c r="AD250" s="2224"/>
      <c r="AE250" s="2224"/>
      <c r="AF250" s="2224" t="s">
        <v>2538</v>
      </c>
      <c r="AG250" s="2224"/>
      <c r="AH250" s="2224"/>
      <c r="AI250" s="2224"/>
      <c r="AJ250" s="2224"/>
      <c r="AK250" s="2224"/>
      <c r="BN250" s="61"/>
    </row>
    <row r="251" spans="1:72" ht="12.75">
      <c r="A251" s="29"/>
      <c r="B251" s="7"/>
      <c r="C251" s="7"/>
      <c r="D251" s="57" t="s">
        <v>90</v>
      </c>
      <c r="E251" s="57"/>
      <c r="F251" s="57"/>
      <c r="G251" s="57"/>
      <c r="H251" s="57"/>
      <c r="I251" s="57"/>
      <c r="J251" s="57"/>
      <c r="K251" s="57"/>
      <c r="L251" s="7"/>
      <c r="M251" s="2051" t="s">
        <v>2539</v>
      </c>
      <c r="N251" s="2204"/>
      <c r="O251" s="2204"/>
      <c r="P251" s="2204"/>
      <c r="Q251" s="2204"/>
      <c r="R251" s="2204"/>
      <c r="S251" s="2204"/>
      <c r="T251" s="2204"/>
      <c r="U251" s="2204"/>
      <c r="V251" s="2204"/>
      <c r="W251" s="2204"/>
      <c r="X251" s="2204"/>
      <c r="Y251" s="2204"/>
      <c r="Z251" s="2204"/>
      <c r="AA251" s="2204"/>
      <c r="AB251" s="2204"/>
      <c r="AC251" s="2204"/>
      <c r="AD251" s="2204"/>
      <c r="AE251" s="220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1" t="s">
        <v>71</v>
      </c>
      <c r="N252" s="2204"/>
      <c r="O252" s="2204"/>
      <c r="P252" s="2204"/>
      <c r="Q252" s="2204"/>
      <c r="R252" s="2204"/>
      <c r="S252" s="2204"/>
      <c r="T252" s="2204"/>
      <c r="V252" s="59" t="s">
        <v>91</v>
      </c>
      <c r="W252" s="2174" t="s">
        <v>2531</v>
      </c>
      <c r="X252" s="2041"/>
      <c r="Y252" s="57" t="s">
        <v>618</v>
      </c>
      <c r="AC252" s="2204">
        <v>95831</v>
      </c>
      <c r="AD252" s="2204"/>
      <c r="AE252" s="2204"/>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51" t="s">
        <v>2540</v>
      </c>
      <c r="N253" s="2204"/>
      <c r="O253" s="2204"/>
      <c r="P253" s="2204"/>
      <c r="Q253" s="2204"/>
      <c r="R253" s="2204"/>
      <c r="S253" s="2204"/>
      <c r="T253" s="2204"/>
      <c r="U253" s="2204"/>
      <c r="V253" s="2204"/>
      <c r="W253" s="2204"/>
      <c r="X253" s="2204"/>
      <c r="Y253" s="2204"/>
      <c r="Z253" s="2204"/>
      <c r="AA253" s="2204"/>
      <c r="AB253" s="2204"/>
      <c r="AC253" s="2204"/>
      <c r="AD253" s="2204"/>
      <c r="AE253" s="2204"/>
      <c r="AF253" s="719"/>
      <c r="AG253" s="719"/>
      <c r="AH253" s="2116">
        <v>4.8999999999999998E-3</v>
      </c>
      <c r="AI253" s="2116"/>
      <c r="AJ253" s="2116"/>
      <c r="AK253" s="211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90" t="s">
        <v>2641</v>
      </c>
      <c r="N254" s="2075"/>
      <c r="O254" s="2075"/>
      <c r="P254" s="2075"/>
      <c r="Q254" s="2075"/>
      <c r="R254" s="2075"/>
      <c r="S254" s="7" t="s">
        <v>212</v>
      </c>
      <c r="T254" s="7"/>
      <c r="U254" s="2041"/>
      <c r="V254" s="2041"/>
      <c r="W254" s="2041"/>
      <c r="X254" s="7" t="s">
        <v>94</v>
      </c>
      <c r="Z254" s="2075"/>
      <c r="AA254" s="2075"/>
      <c r="AB254" s="2075"/>
      <c r="AC254" s="2075"/>
      <c r="AD254" s="2075"/>
      <c r="AE254" s="2075"/>
    </row>
    <row r="255" spans="1:72" ht="12.75">
      <c r="A255" s="29"/>
      <c r="B255" s="7"/>
      <c r="C255" s="7"/>
      <c r="D255" s="60" t="s">
        <v>95</v>
      </c>
      <c r="E255" s="7"/>
      <c r="F255" s="7"/>
      <c r="M255" s="2207" t="s">
        <v>2541</v>
      </c>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53" t="s">
        <v>567</v>
      </c>
      <c r="N256" s="2053"/>
      <c r="O256" s="2053"/>
      <c r="P256" s="2053"/>
      <c r="Q256" s="2053"/>
      <c r="R256" s="2053"/>
      <c r="S256" s="2053"/>
      <c r="T256" s="2053"/>
      <c r="U256" s="387" t="s">
        <v>975</v>
      </c>
      <c r="V256" s="325"/>
      <c r="W256" s="325"/>
      <c r="X256" s="325"/>
      <c r="Y256" s="325"/>
      <c r="Z256" s="325"/>
      <c r="AA256" s="2225" t="s">
        <v>2542</v>
      </c>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4"/>
      <c r="N258" s="2224"/>
      <c r="O258" s="2224"/>
      <c r="P258" s="2224"/>
      <c r="Q258" s="2224"/>
      <c r="R258" s="2224"/>
      <c r="S258" s="2224"/>
      <c r="T258" s="2224"/>
      <c r="U258" s="2224"/>
      <c r="V258" s="2224"/>
      <c r="W258" s="2224"/>
      <c r="X258" s="2224"/>
      <c r="Y258" s="2224"/>
      <c r="Z258" s="2224"/>
      <c r="AA258" s="2224"/>
      <c r="AB258" s="2224"/>
      <c r="AC258" s="2224"/>
      <c r="AD258" s="2224"/>
      <c r="AE258" s="2224"/>
      <c r="AF258" s="2224" t="s">
        <v>316</v>
      </c>
      <c r="AG258" s="2224"/>
      <c r="AH258" s="2224"/>
      <c r="AI258" s="2224"/>
      <c r="AJ258" s="2224"/>
      <c r="AK258" s="22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4"/>
      <c r="N259" s="2204"/>
      <c r="O259" s="2204"/>
      <c r="P259" s="2204"/>
      <c r="Q259" s="2204"/>
      <c r="R259" s="2204"/>
      <c r="S259" s="2204"/>
      <c r="T259" s="2204"/>
      <c r="U259" s="2204"/>
      <c r="V259" s="2204"/>
      <c r="W259" s="2204"/>
      <c r="X259" s="2204"/>
      <c r="Y259" s="2204"/>
      <c r="Z259" s="2204"/>
      <c r="AA259" s="2204"/>
      <c r="AB259" s="2204"/>
      <c r="AC259" s="2204"/>
      <c r="AD259" s="2204"/>
      <c r="AE259" s="220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4"/>
      <c r="N260" s="2204"/>
      <c r="O260" s="2204"/>
      <c r="P260" s="2204"/>
      <c r="Q260" s="2204"/>
      <c r="R260" s="2204"/>
      <c r="S260" s="2204"/>
      <c r="T260" s="2204"/>
      <c r="V260" s="59" t="s">
        <v>91</v>
      </c>
      <c r="W260" s="2041"/>
      <c r="X260" s="2041"/>
      <c r="Y260" s="57" t="s">
        <v>618</v>
      </c>
      <c r="AC260" s="2204"/>
      <c r="AD260" s="2204"/>
      <c r="AE260" s="220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4"/>
      <c r="N261" s="2204"/>
      <c r="O261" s="2204"/>
      <c r="P261" s="2204"/>
      <c r="Q261" s="2204"/>
      <c r="R261" s="2204"/>
      <c r="S261" s="2204"/>
      <c r="T261" s="2204"/>
      <c r="U261" s="2204"/>
      <c r="V261" s="2204"/>
      <c r="W261" s="2204"/>
      <c r="X261" s="2204"/>
      <c r="Y261" s="2204"/>
      <c r="Z261" s="2204"/>
      <c r="AA261" s="2204"/>
      <c r="AB261" s="2204"/>
      <c r="AC261" s="2204"/>
      <c r="AD261" s="2204"/>
      <c r="AE261" s="2204"/>
      <c r="AF261" s="719"/>
      <c r="AG261" s="719"/>
      <c r="AH261" s="2116"/>
      <c r="AI261" s="2116"/>
      <c r="AJ261" s="2116"/>
      <c r="AK261" s="211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5"/>
      <c r="N262" s="2075"/>
      <c r="O262" s="2075"/>
      <c r="P262" s="2075"/>
      <c r="Q262" s="2075"/>
      <c r="R262" s="2075"/>
      <c r="S262" s="7" t="s">
        <v>212</v>
      </c>
      <c r="T262" s="7"/>
      <c r="U262" s="2041"/>
      <c r="V262" s="2041"/>
      <c r="W262" s="2041"/>
      <c r="X262" s="7" t="s">
        <v>94</v>
      </c>
      <c r="Z262" s="2075"/>
      <c r="AA262" s="2075"/>
      <c r="AB262" s="2075"/>
      <c r="AC262" s="2075"/>
      <c r="AD262" s="2075"/>
      <c r="AE262" s="207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53" t="s">
        <v>316</v>
      </c>
      <c r="N264" s="2053"/>
      <c r="O264" s="2053"/>
      <c r="P264" s="2053"/>
      <c r="Q264" s="2053"/>
      <c r="R264" s="2053"/>
      <c r="S264" s="2053"/>
      <c r="T264" s="2053"/>
      <c r="U264" s="387" t="s">
        <v>975</v>
      </c>
      <c r="V264" s="325"/>
      <c r="W264" s="325"/>
      <c r="X264" s="325"/>
      <c r="Y264" s="325"/>
      <c r="Z264" s="325"/>
      <c r="AA264" s="2239"/>
      <c r="AB264" s="2239"/>
      <c r="AC264" s="2239"/>
      <c r="AD264" s="2239"/>
      <c r="AE264" s="2239"/>
      <c r="AF264" s="2239"/>
      <c r="AG264" s="2239"/>
      <c r="AH264" s="2239"/>
      <c r="AI264" s="2239"/>
      <c r="AJ264" s="2239"/>
      <c r="AK264" s="22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2" t="str">
        <f>BO245</f>
        <v>Nonprofit</v>
      </c>
      <c r="U266" s="2252"/>
      <c r="V266" s="2252"/>
      <c r="W266" s="2252"/>
      <c r="X266" s="225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4" t="s">
        <v>286</v>
      </c>
      <c r="E269" s="2204"/>
      <c r="F269" s="2204"/>
      <c r="G269" s="2204"/>
      <c r="H269" s="2204"/>
      <c r="J269" s="12" t="s">
        <v>285</v>
      </c>
      <c r="X269" s="2227"/>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3" t="s">
        <v>2519</v>
      </c>
      <c r="M273" s="2224"/>
      <c r="N273" s="2224"/>
      <c r="O273" s="2224"/>
      <c r="P273" s="2224"/>
      <c r="Q273" s="2224"/>
      <c r="R273" s="2224"/>
      <c r="S273" s="2224"/>
      <c r="T273" s="2224"/>
      <c r="U273" s="2224"/>
      <c r="V273" s="2224"/>
      <c r="W273" s="2224"/>
      <c r="X273" s="2224"/>
      <c r="Y273" s="2224"/>
      <c r="Z273" s="2224"/>
      <c r="AA273" s="2224"/>
      <c r="AB273" s="2224"/>
      <c r="AC273" s="2224"/>
      <c r="AD273" s="2224"/>
      <c r="AE273" s="2224"/>
      <c r="AF273" s="2224"/>
      <c r="AG273" s="2224"/>
      <c r="AH273" s="2224"/>
      <c r="AI273" s="2224"/>
      <c r="AJ273" s="22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2530</v>
      </c>
      <c r="M274" s="2204"/>
      <c r="N274" s="2204"/>
      <c r="O274" s="2204"/>
      <c r="P274" s="2204"/>
      <c r="Q274" s="2204"/>
      <c r="R274" s="2204"/>
      <c r="S274" s="2204"/>
      <c r="T274" s="2204"/>
      <c r="U274" s="2204"/>
      <c r="V274" s="2204"/>
      <c r="W274" s="2204"/>
      <c r="X274" s="2204"/>
      <c r="Y274" s="2204"/>
      <c r="Z274" s="2204"/>
      <c r="AA274" s="2204"/>
      <c r="AB274" s="2204"/>
      <c r="AC274" s="2204"/>
      <c r="AD274" s="220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1" t="s">
        <v>71</v>
      </c>
      <c r="M275" s="2204"/>
      <c r="N275" s="2204"/>
      <c r="O275" s="2204"/>
      <c r="P275" s="2204"/>
      <c r="Q275" s="2204"/>
      <c r="R275" s="2204"/>
      <c r="S275" s="2204"/>
      <c r="U275" s="59" t="s">
        <v>91</v>
      </c>
      <c r="V275" s="2174" t="s">
        <v>2531</v>
      </c>
      <c r="W275" s="2041"/>
      <c r="X275" s="57" t="s">
        <v>618</v>
      </c>
      <c r="AB275" s="2204">
        <v>95826</v>
      </c>
      <c r="AC275" s="2204"/>
      <c r="AD275" s="220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2550</v>
      </c>
      <c r="M276" s="2204"/>
      <c r="N276" s="2204"/>
      <c r="O276" s="2204"/>
      <c r="P276" s="2204"/>
      <c r="Q276" s="2204"/>
      <c r="R276" s="2204"/>
      <c r="S276" s="2204"/>
      <c r="T276" s="2204"/>
      <c r="U276" s="2204"/>
      <c r="V276" s="2204"/>
      <c r="W276" s="2204"/>
      <c r="X276" s="2204"/>
      <c r="Y276" s="2204"/>
      <c r="Z276" s="2204"/>
      <c r="AA276" s="2204"/>
      <c r="AB276" s="2204"/>
      <c r="AC276" s="2204"/>
      <c r="AD276" s="220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90" t="s">
        <v>2551</v>
      </c>
      <c r="M277" s="2075"/>
      <c r="N277" s="2075"/>
      <c r="O277" s="2075"/>
      <c r="P277" s="2075"/>
      <c r="Q277" s="2075"/>
      <c r="R277" s="7" t="s">
        <v>212</v>
      </c>
      <c r="S277" s="7"/>
      <c r="T277" s="2041"/>
      <c r="U277" s="2041"/>
      <c r="V277" s="2041"/>
      <c r="W277" s="7" t="s">
        <v>94</v>
      </c>
      <c r="Y277" s="2075"/>
      <c r="Z277" s="2075"/>
      <c r="AA277" s="2075"/>
      <c r="AB277" s="2075"/>
      <c r="AC277" s="2075"/>
      <c r="AD277" s="2075"/>
      <c r="BN277" s="61"/>
    </row>
    <row r="278" spans="1:66" ht="12.75">
      <c r="D278" s="60" t="s">
        <v>95</v>
      </c>
      <c r="E278" s="7"/>
      <c r="F278" s="7"/>
      <c r="L278" s="2207" t="s">
        <v>2552</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2.75">
      <c r="D279" s="58" t="s">
        <v>658</v>
      </c>
      <c r="E279" s="58"/>
      <c r="F279" s="58"/>
      <c r="G279" s="58"/>
      <c r="H279" s="58"/>
      <c r="I279" s="58"/>
      <c r="L279" s="2174" t="s">
        <v>2543</v>
      </c>
      <c r="M279" s="2174"/>
      <c r="N279" s="2174"/>
      <c r="O279" s="2174"/>
      <c r="P279" s="2174"/>
      <c r="Q279" s="2174"/>
      <c r="R279" s="2174"/>
      <c r="S279" s="2174"/>
      <c r="T279" s="2174"/>
      <c r="U279" s="2174"/>
      <c r="V279" s="2174"/>
      <c r="W279" s="2174"/>
      <c r="X279" s="2174"/>
      <c r="Y279" s="2174"/>
      <c r="Z279" s="2174"/>
      <c r="AA279" s="2174"/>
      <c r="AB279" s="2174"/>
      <c r="AC279" s="2174"/>
      <c r="AD279" s="217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95" t="s">
        <v>574</v>
      </c>
      <c r="B281" s="2095"/>
      <c r="C281" s="2095"/>
      <c r="D281" s="2095"/>
      <c r="E281" s="2095"/>
      <c r="F281" s="2095"/>
      <c r="G281" s="2095"/>
      <c r="H281" s="2095"/>
      <c r="I281" s="2095"/>
      <c r="J281" s="2095"/>
      <c r="K281" s="2095"/>
      <c r="L281" s="2095"/>
      <c r="M281" s="2095"/>
      <c r="N281" s="2095"/>
      <c r="O281" s="2095"/>
      <c r="P281" s="2095"/>
      <c r="Q281" s="2095"/>
      <c r="R281" s="2095"/>
      <c r="S281" s="2095"/>
      <c r="T281" s="2095"/>
      <c r="U281" s="2095"/>
      <c r="V281" s="2095"/>
      <c r="W281" s="2095"/>
      <c r="X281" s="2095"/>
      <c r="Y281" s="2095"/>
      <c r="Z281" s="2095"/>
      <c r="AA281" s="2095"/>
      <c r="AB281" s="2095"/>
      <c r="AC281" s="2095"/>
      <c r="AD281" s="2095"/>
      <c r="AE281" s="2095"/>
      <c r="AF281" s="2095"/>
      <c r="AG281" s="2095"/>
      <c r="AH281" s="2095"/>
      <c r="AI281" s="2095"/>
      <c r="AJ281" s="2095"/>
      <c r="AK281" s="2095"/>
      <c r="AL281" s="2095"/>
      <c r="AM281" s="144"/>
      <c r="AN281" s="144"/>
      <c r="AO281" s="144"/>
      <c r="AP281" s="144"/>
      <c r="AQ281" s="144"/>
      <c r="AR281" s="144"/>
      <c r="AS281" s="144"/>
      <c r="AT281" s="144"/>
      <c r="AU281" s="144"/>
      <c r="AV281" s="144"/>
      <c r="AW281" s="144"/>
      <c r="AX281" s="144"/>
      <c r="AY281" s="144"/>
      <c r="BN281" s="61"/>
    </row>
    <row r="282" spans="1:66" ht="13.5" thickBot="1">
      <c r="A282" s="2096"/>
      <c r="B282" s="2096"/>
      <c r="C282" s="2096"/>
      <c r="D282" s="2096"/>
      <c r="E282" s="2096"/>
      <c r="F282" s="2096"/>
      <c r="G282" s="2096"/>
      <c r="H282" s="2096"/>
      <c r="I282" s="2096"/>
      <c r="J282" s="2096"/>
      <c r="K282" s="2096"/>
      <c r="L282" s="2096"/>
      <c r="M282" s="2096"/>
      <c r="N282" s="2096"/>
      <c r="O282" s="2096"/>
      <c r="P282" s="2096"/>
      <c r="Q282" s="2096"/>
      <c r="R282" s="2096"/>
      <c r="S282" s="2096"/>
      <c r="T282" s="2096"/>
      <c r="U282" s="2096"/>
      <c r="V282" s="2096"/>
      <c r="W282" s="2096"/>
      <c r="X282" s="2096"/>
      <c r="Y282" s="2096"/>
      <c r="Z282" s="2096"/>
      <c r="AA282" s="2096"/>
      <c r="AB282" s="2096"/>
      <c r="AC282" s="2096"/>
      <c r="AD282" s="2096"/>
      <c r="AE282" s="2096"/>
      <c r="AF282" s="2096"/>
      <c r="AG282" s="2096"/>
      <c r="AH282" s="2096"/>
      <c r="AI282" s="2096"/>
      <c r="AJ282" s="2096"/>
      <c r="AK282" s="2096"/>
      <c r="AL282" s="209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0" t="s">
        <v>2519</v>
      </c>
      <c r="I286" s="2050"/>
      <c r="J286" s="2050"/>
      <c r="K286" s="2050"/>
      <c r="L286" s="2050"/>
      <c r="M286" s="2050"/>
      <c r="N286" s="2050"/>
      <c r="O286" s="2050"/>
      <c r="P286" s="2050"/>
      <c r="Q286" s="2050"/>
      <c r="R286" s="2050"/>
      <c r="T286" s="58" t="s">
        <v>600</v>
      </c>
      <c r="V286" s="58"/>
      <c r="W286" s="58"/>
      <c r="X286" s="58"/>
      <c r="Y286" s="58"/>
      <c r="AA286" s="2050" t="s">
        <v>2566</v>
      </c>
      <c r="AB286" s="2050"/>
      <c r="AC286" s="2050"/>
      <c r="AD286" s="2050"/>
      <c r="AE286" s="2050"/>
      <c r="AF286" s="2050"/>
      <c r="AG286" s="2050"/>
      <c r="AH286" s="2050"/>
      <c r="AI286" s="2050"/>
      <c r="AJ286" s="2050"/>
      <c r="AK286" s="2050"/>
      <c r="BN286" s="61"/>
    </row>
    <row r="287" spans="1:66" ht="12.75">
      <c r="B287" s="58" t="s">
        <v>504</v>
      </c>
      <c r="C287" s="58"/>
      <c r="D287" s="58"/>
      <c r="E287" s="58"/>
      <c r="F287" s="58"/>
      <c r="H287" s="2053" t="s">
        <v>2530</v>
      </c>
      <c r="I287" s="2053"/>
      <c r="J287" s="2053"/>
      <c r="K287" s="2053"/>
      <c r="L287" s="2053"/>
      <c r="M287" s="2053"/>
      <c r="N287" s="2053"/>
      <c r="O287" s="2053"/>
      <c r="P287" s="2053"/>
      <c r="Q287" s="2053"/>
      <c r="R287" s="2053"/>
      <c r="T287" s="58" t="s">
        <v>504</v>
      </c>
      <c r="V287" s="58"/>
      <c r="W287" s="58"/>
      <c r="X287" s="58"/>
      <c r="Y287" s="58"/>
      <c r="AA287" s="2053" t="s">
        <v>2567</v>
      </c>
      <c r="AB287" s="2053"/>
      <c r="AC287" s="2053"/>
      <c r="AD287" s="2053"/>
      <c r="AE287" s="2053"/>
      <c r="AF287" s="2053"/>
      <c r="AG287" s="2053"/>
      <c r="AH287" s="2053"/>
      <c r="AI287" s="2053"/>
      <c r="AJ287" s="2053"/>
      <c r="AK287" s="2053"/>
      <c r="BN287" s="61"/>
    </row>
    <row r="288" spans="1:66" ht="12.75">
      <c r="B288" s="58" t="s">
        <v>505</v>
      </c>
      <c r="C288" s="58"/>
      <c r="D288" s="58"/>
      <c r="E288" s="58"/>
      <c r="F288" s="58"/>
      <c r="H288" s="2053" t="s">
        <v>2544</v>
      </c>
      <c r="I288" s="2053"/>
      <c r="J288" s="2053"/>
      <c r="K288" s="2053"/>
      <c r="L288" s="2053"/>
      <c r="M288" s="2053"/>
      <c r="N288" s="2053"/>
      <c r="O288" s="2053"/>
      <c r="P288" s="2053"/>
      <c r="Q288" s="2053"/>
      <c r="R288" s="2053"/>
      <c r="T288" s="58" t="s">
        <v>79</v>
      </c>
      <c r="V288" s="58"/>
      <c r="W288" s="58"/>
      <c r="X288" s="58"/>
      <c r="Y288" s="58"/>
      <c r="AA288" s="2053" t="s">
        <v>2568</v>
      </c>
      <c r="AB288" s="2053"/>
      <c r="AC288" s="2053"/>
      <c r="AD288" s="2053"/>
      <c r="AE288" s="2053"/>
      <c r="AF288" s="2053"/>
      <c r="AG288" s="2053"/>
      <c r="AH288" s="2053"/>
      <c r="AI288" s="2053"/>
      <c r="AJ288" s="2053"/>
      <c r="AK288" s="2053"/>
      <c r="BN288" s="61"/>
    </row>
    <row r="289" spans="2:66" ht="12.75" customHeight="1">
      <c r="B289" s="58" t="s">
        <v>92</v>
      </c>
      <c r="C289" s="58"/>
      <c r="D289" s="58"/>
      <c r="E289" s="58"/>
      <c r="F289" s="58"/>
      <c r="H289" s="2053" t="s">
        <v>2550</v>
      </c>
      <c r="I289" s="2053"/>
      <c r="J289" s="2053"/>
      <c r="K289" s="2053"/>
      <c r="L289" s="2053"/>
      <c r="M289" s="2053"/>
      <c r="N289" s="2053"/>
      <c r="O289" s="2053"/>
      <c r="P289" s="2053"/>
      <c r="Q289" s="2053"/>
      <c r="R289" s="2053"/>
      <c r="T289" s="58" t="s">
        <v>92</v>
      </c>
      <c r="V289" s="58"/>
      <c r="W289" s="58"/>
      <c r="X289" s="58"/>
      <c r="Y289" s="58"/>
      <c r="AA289" s="2053" t="s">
        <v>2570</v>
      </c>
      <c r="AB289" s="2053"/>
      <c r="AC289" s="2053"/>
      <c r="AD289" s="2053"/>
      <c r="AE289" s="2053"/>
      <c r="AF289" s="2053"/>
      <c r="AG289" s="2053"/>
      <c r="AH289" s="2053"/>
      <c r="AI289" s="2053"/>
      <c r="AJ289" s="2053"/>
      <c r="AK289" s="2053"/>
      <c r="BN289" s="61"/>
    </row>
    <row r="290" spans="2:66" ht="12.75" customHeight="1">
      <c r="B290" s="58" t="s">
        <v>93</v>
      </c>
      <c r="C290" s="58"/>
      <c r="D290" s="58"/>
      <c r="E290" s="58"/>
      <c r="F290" s="58"/>
      <c r="G290" s="58"/>
      <c r="H290" s="2218" t="s">
        <v>2551</v>
      </c>
      <c r="I290" s="2219"/>
      <c r="J290" s="2219"/>
      <c r="K290" s="2219"/>
      <c r="L290" s="2219"/>
      <c r="M290" s="2219"/>
      <c r="N290" s="7" t="s">
        <v>212</v>
      </c>
      <c r="O290" s="7"/>
      <c r="P290" s="2204"/>
      <c r="Q290" s="2204"/>
      <c r="R290" s="2204"/>
      <c r="S290" s="58"/>
      <c r="T290" s="58" t="s">
        <v>93</v>
      </c>
      <c r="V290" s="58"/>
      <c r="W290" s="58"/>
      <c r="X290" s="58"/>
      <c r="Y290" s="58"/>
      <c r="AA290" s="2218" t="s">
        <v>2569</v>
      </c>
      <c r="AB290" s="2219"/>
      <c r="AC290" s="2219"/>
      <c r="AD290" s="2219"/>
      <c r="AE290" s="2219"/>
      <c r="AF290" s="2219"/>
      <c r="AG290" s="7" t="s">
        <v>212</v>
      </c>
      <c r="AH290" s="7"/>
      <c r="AI290" s="2204"/>
      <c r="AJ290" s="2204"/>
      <c r="AK290" s="2204"/>
      <c r="BN290" s="61"/>
    </row>
    <row r="291" spans="2:66" ht="12.75" customHeight="1">
      <c r="B291" s="58" t="s">
        <v>94</v>
      </c>
      <c r="C291" s="58"/>
      <c r="D291" s="58"/>
      <c r="E291" s="58"/>
      <c r="F291" s="58"/>
      <c r="G291" s="58"/>
      <c r="H291" s="2075"/>
      <c r="I291" s="2075"/>
      <c r="J291" s="2075"/>
      <c r="K291" s="2075"/>
      <c r="L291" s="2075"/>
      <c r="M291" s="2075"/>
      <c r="N291" s="60"/>
      <c r="O291" s="60"/>
      <c r="P291" s="62"/>
      <c r="Q291" s="62"/>
      <c r="R291" s="62"/>
      <c r="S291" s="58"/>
      <c r="T291" s="58" t="s">
        <v>94</v>
      </c>
      <c r="V291" s="58"/>
      <c r="W291" s="58"/>
      <c r="X291" s="58"/>
      <c r="Y291" s="58"/>
      <c r="AA291" s="2075"/>
      <c r="AB291" s="2075"/>
      <c r="AC291" s="2075"/>
      <c r="AD291" s="2075"/>
      <c r="AE291" s="2075"/>
      <c r="AF291" s="2075"/>
      <c r="AG291" s="60"/>
      <c r="AH291" s="60"/>
      <c r="AI291" s="62"/>
      <c r="AJ291" s="62"/>
      <c r="AK291" s="62"/>
      <c r="BN291" s="61"/>
    </row>
    <row r="292" spans="2:66" ht="12.75" customHeight="1">
      <c r="B292" s="58" t="s">
        <v>80</v>
      </c>
      <c r="C292" s="58"/>
      <c r="D292" s="58"/>
      <c r="E292" s="58"/>
      <c r="F292" s="58"/>
      <c r="G292" s="58"/>
      <c r="H292" s="2053" t="s">
        <v>2552</v>
      </c>
      <c r="I292" s="2053"/>
      <c r="J292" s="2053"/>
      <c r="K292" s="2053"/>
      <c r="L292" s="2053"/>
      <c r="M292" s="2053"/>
      <c r="N292" s="2050"/>
      <c r="O292" s="2050"/>
      <c r="P292" s="2050"/>
      <c r="Q292" s="2050"/>
      <c r="R292" s="2050"/>
      <c r="S292" s="58"/>
      <c r="T292" s="58" t="s">
        <v>80</v>
      </c>
      <c r="V292" s="58"/>
      <c r="W292" s="58"/>
      <c r="X292" s="58"/>
      <c r="Y292" s="58"/>
      <c r="AA292" s="2053" t="s">
        <v>2571</v>
      </c>
      <c r="AB292" s="2053"/>
      <c r="AC292" s="2053"/>
      <c r="AD292" s="2053"/>
      <c r="AE292" s="2053"/>
      <c r="AF292" s="2053"/>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0" t="s">
        <v>2545</v>
      </c>
      <c r="I294" s="2050"/>
      <c r="J294" s="2050"/>
      <c r="K294" s="2050"/>
      <c r="L294" s="2050"/>
      <c r="M294" s="2050"/>
      <c r="N294" s="2050"/>
      <c r="O294" s="2050"/>
      <c r="P294" s="2050"/>
      <c r="Q294" s="2050"/>
      <c r="R294" s="2050"/>
      <c r="T294" s="58" t="s">
        <v>374</v>
      </c>
      <c r="V294" s="58"/>
      <c r="W294" s="58"/>
      <c r="X294" s="58"/>
      <c r="Y294" s="58"/>
      <c r="AA294" s="2050" t="s">
        <v>2579</v>
      </c>
      <c r="AB294" s="2050"/>
      <c r="AC294" s="2050"/>
      <c r="AD294" s="2050"/>
      <c r="AE294" s="2050"/>
      <c r="AF294" s="2050"/>
      <c r="AG294" s="2050"/>
      <c r="AH294" s="2050"/>
      <c r="AI294" s="2050"/>
      <c r="AJ294" s="2050"/>
      <c r="AK294" s="2050"/>
      <c r="BN294" s="61"/>
    </row>
    <row r="295" spans="2:66" ht="12.75">
      <c r="B295" s="58" t="s">
        <v>504</v>
      </c>
      <c r="C295" s="58"/>
      <c r="D295" s="58"/>
      <c r="E295" s="58"/>
      <c r="F295" s="58"/>
      <c r="H295" s="2053" t="s">
        <v>2546</v>
      </c>
      <c r="I295" s="2053"/>
      <c r="J295" s="2053"/>
      <c r="K295" s="2053"/>
      <c r="L295" s="2053"/>
      <c r="M295" s="2053"/>
      <c r="N295" s="2053"/>
      <c r="O295" s="2053"/>
      <c r="P295" s="2053"/>
      <c r="Q295" s="2053"/>
      <c r="R295" s="2053"/>
      <c r="T295" s="58" t="s">
        <v>504</v>
      </c>
      <c r="V295" s="58"/>
      <c r="W295" s="58"/>
      <c r="X295" s="58"/>
      <c r="Y295" s="58"/>
      <c r="AA295" s="2053" t="s">
        <v>2580</v>
      </c>
      <c r="AB295" s="2053"/>
      <c r="AC295" s="2053"/>
      <c r="AD295" s="2053"/>
      <c r="AE295" s="2053"/>
      <c r="AF295" s="2053"/>
      <c r="AG295" s="2053"/>
      <c r="AH295" s="2053"/>
      <c r="AI295" s="2053"/>
      <c r="AJ295" s="2053"/>
      <c r="AK295" s="2053"/>
      <c r="BN295" s="61"/>
    </row>
    <row r="296" spans="2:66" ht="12.75">
      <c r="B296" s="58" t="s">
        <v>505</v>
      </c>
      <c r="C296" s="58"/>
      <c r="D296" s="58"/>
      <c r="E296" s="58"/>
      <c r="F296" s="58"/>
      <c r="H296" s="2053" t="s">
        <v>2547</v>
      </c>
      <c r="I296" s="2053"/>
      <c r="J296" s="2053"/>
      <c r="K296" s="2053"/>
      <c r="L296" s="2053"/>
      <c r="M296" s="2053"/>
      <c r="N296" s="2053"/>
      <c r="O296" s="2053"/>
      <c r="P296" s="2053"/>
      <c r="Q296" s="2053"/>
      <c r="R296" s="2053"/>
      <c r="T296" s="58" t="s">
        <v>79</v>
      </c>
      <c r="V296" s="58"/>
      <c r="W296" s="58"/>
      <c r="X296" s="58"/>
      <c r="Y296" s="58"/>
      <c r="AA296" s="2053" t="s">
        <v>2581</v>
      </c>
      <c r="AB296" s="2053"/>
      <c r="AC296" s="2053"/>
      <c r="AD296" s="2053"/>
      <c r="AE296" s="2053"/>
      <c r="AF296" s="2053"/>
      <c r="AG296" s="2053"/>
      <c r="AH296" s="2053"/>
      <c r="AI296" s="2053"/>
      <c r="AJ296" s="2053"/>
      <c r="AK296" s="2053"/>
      <c r="BN296" s="61"/>
    </row>
    <row r="297" spans="2:66" ht="12.75">
      <c r="B297" s="58" t="s">
        <v>92</v>
      </c>
      <c r="C297" s="58"/>
      <c r="D297" s="58"/>
      <c r="E297" s="58"/>
      <c r="F297" s="58"/>
      <c r="H297" s="2053" t="s">
        <v>2665</v>
      </c>
      <c r="I297" s="2053"/>
      <c r="J297" s="2053"/>
      <c r="K297" s="2053"/>
      <c r="L297" s="2053"/>
      <c r="M297" s="2053"/>
      <c r="N297" s="2053"/>
      <c r="O297" s="2053"/>
      <c r="P297" s="2053"/>
      <c r="Q297" s="2053"/>
      <c r="R297" s="2053"/>
      <c r="T297" s="58" t="s">
        <v>92</v>
      </c>
      <c r="V297" s="58"/>
      <c r="W297" s="58"/>
      <c r="X297" s="58"/>
      <c r="Y297" s="58"/>
      <c r="AA297" s="2053" t="s">
        <v>2582</v>
      </c>
      <c r="AB297" s="2053"/>
      <c r="AC297" s="2053"/>
      <c r="AD297" s="2053"/>
      <c r="AE297" s="2053"/>
      <c r="AF297" s="2053"/>
      <c r="AG297" s="2053"/>
      <c r="AH297" s="2053"/>
      <c r="AI297" s="2053"/>
      <c r="AJ297" s="2053"/>
      <c r="AK297" s="2053"/>
      <c r="BN297" s="61"/>
    </row>
    <row r="298" spans="2:66" ht="12.75">
      <c r="B298" s="58" t="s">
        <v>93</v>
      </c>
      <c r="C298" s="58"/>
      <c r="D298" s="58"/>
      <c r="E298" s="58"/>
      <c r="F298" s="58"/>
      <c r="G298" s="58"/>
      <c r="H298" s="2218" t="s">
        <v>2548</v>
      </c>
      <c r="I298" s="2219"/>
      <c r="J298" s="2219"/>
      <c r="K298" s="2219"/>
      <c r="L298" s="2219"/>
      <c r="M298" s="2219"/>
      <c r="N298" s="7" t="s">
        <v>212</v>
      </c>
      <c r="O298" s="7"/>
      <c r="P298" s="2204">
        <v>8</v>
      </c>
      <c r="Q298" s="2204"/>
      <c r="R298" s="2204"/>
      <c r="S298" s="58"/>
      <c r="T298" s="58" t="s">
        <v>93</v>
      </c>
      <c r="V298" s="58"/>
      <c r="W298" s="58"/>
      <c r="X298" s="58"/>
      <c r="Y298" s="58"/>
      <c r="AA298" s="2218" t="s">
        <v>2583</v>
      </c>
      <c r="AB298" s="2219"/>
      <c r="AC298" s="2219"/>
      <c r="AD298" s="2219"/>
      <c r="AE298" s="2219"/>
      <c r="AF298" s="2219"/>
      <c r="AG298" s="7" t="s">
        <v>212</v>
      </c>
      <c r="AH298" s="7"/>
      <c r="AI298" s="2204"/>
      <c r="AJ298" s="2204"/>
      <c r="AK298" s="2204"/>
      <c r="BN298" s="61"/>
    </row>
    <row r="299" spans="2:66" ht="12.75" customHeight="1">
      <c r="B299" s="58" t="s">
        <v>94</v>
      </c>
      <c r="C299" s="58"/>
      <c r="D299" s="58"/>
      <c r="E299" s="58"/>
      <c r="F299" s="58"/>
      <c r="G299" s="58"/>
      <c r="H299" s="2190" t="s">
        <v>2549</v>
      </c>
      <c r="I299" s="2075"/>
      <c r="J299" s="2075"/>
      <c r="K299" s="2075"/>
      <c r="L299" s="2075"/>
      <c r="M299" s="2075"/>
      <c r="N299" s="60"/>
      <c r="O299" s="60"/>
      <c r="P299" s="62"/>
      <c r="Q299" s="62"/>
      <c r="R299" s="62"/>
      <c r="S299" s="58"/>
      <c r="T299" s="58" t="s">
        <v>94</v>
      </c>
      <c r="V299" s="58"/>
      <c r="W299" s="58"/>
      <c r="X299" s="58"/>
      <c r="Y299" s="58"/>
      <c r="AA299" s="2190" t="s">
        <v>2584</v>
      </c>
      <c r="AB299" s="2075"/>
      <c r="AC299" s="2075"/>
      <c r="AD299" s="2075"/>
      <c r="AE299" s="2075"/>
      <c r="AF299" s="2075"/>
      <c r="AG299" s="60"/>
      <c r="AH299" s="60"/>
      <c r="AI299" s="62"/>
      <c r="AJ299" s="62"/>
      <c r="AK299" s="62"/>
      <c r="BN299" s="61"/>
    </row>
    <row r="300" spans="2:66" ht="12.75" customHeight="1">
      <c r="B300" s="58" t="s">
        <v>80</v>
      </c>
      <c r="C300" s="58"/>
      <c r="D300" s="58"/>
      <c r="E300" s="58"/>
      <c r="F300" s="58"/>
      <c r="G300" s="58"/>
      <c r="H300" s="2053" t="s">
        <v>2666</v>
      </c>
      <c r="I300" s="2053"/>
      <c r="J300" s="2053"/>
      <c r="K300" s="2053"/>
      <c r="L300" s="2053"/>
      <c r="M300" s="2053"/>
      <c r="N300" s="2050"/>
      <c r="O300" s="2050"/>
      <c r="P300" s="2050"/>
      <c r="Q300" s="2050"/>
      <c r="R300" s="2050"/>
      <c r="S300" s="58"/>
      <c r="T300" s="58" t="s">
        <v>80</v>
      </c>
      <c r="V300" s="58"/>
      <c r="W300" s="58"/>
      <c r="X300" s="58"/>
      <c r="Y300" s="58"/>
      <c r="AA300" s="2053" t="s">
        <v>2585</v>
      </c>
      <c r="AB300" s="2053"/>
      <c r="AC300" s="2053"/>
      <c r="AD300" s="2053"/>
      <c r="AE300" s="2053"/>
      <c r="AF300" s="2053"/>
      <c r="AG300" s="2050"/>
      <c r="AH300" s="2050"/>
      <c r="AI300" s="2050"/>
      <c r="AJ300" s="2050"/>
      <c r="AK300" s="2050"/>
      <c r="BN300" s="61"/>
    </row>
    <row r="301" spans="2:66" ht="12.75" customHeight="1">
      <c r="BN301" s="61"/>
    </row>
    <row r="302" spans="2:66" ht="12.75" customHeight="1">
      <c r="B302" s="58" t="s">
        <v>81</v>
      </c>
      <c r="C302" s="58"/>
      <c r="D302" s="58"/>
      <c r="E302" s="58"/>
      <c r="F302" s="58"/>
      <c r="H302" s="2050" t="s">
        <v>2545</v>
      </c>
      <c r="I302" s="2050"/>
      <c r="J302" s="2050"/>
      <c r="K302" s="2050"/>
      <c r="L302" s="2050"/>
      <c r="M302" s="2050"/>
      <c r="N302" s="2050"/>
      <c r="O302" s="2050"/>
      <c r="P302" s="2050"/>
      <c r="Q302" s="2050"/>
      <c r="R302" s="2050"/>
      <c r="T302" s="7" t="s">
        <v>943</v>
      </c>
      <c r="V302" s="58"/>
      <c r="W302" s="58"/>
      <c r="X302" s="58"/>
      <c r="Y302" s="58"/>
      <c r="AA302" s="2050" t="s">
        <v>2586</v>
      </c>
      <c r="AB302" s="2050"/>
      <c r="AC302" s="2050"/>
      <c r="AD302" s="2050"/>
      <c r="AE302" s="2050"/>
      <c r="AF302" s="2050"/>
      <c r="AG302" s="2050"/>
      <c r="AH302" s="2050"/>
      <c r="AI302" s="2050"/>
      <c r="AJ302" s="2050"/>
      <c r="AK302" s="2050"/>
      <c r="BN302" s="61"/>
    </row>
    <row r="303" spans="2:66" ht="12.75">
      <c r="B303" s="58" t="s">
        <v>504</v>
      </c>
      <c r="C303" s="58"/>
      <c r="D303" s="58"/>
      <c r="E303" s="58"/>
      <c r="F303" s="58"/>
      <c r="H303" s="2053" t="s">
        <v>2546</v>
      </c>
      <c r="I303" s="2053"/>
      <c r="J303" s="2053"/>
      <c r="K303" s="2053"/>
      <c r="L303" s="2053"/>
      <c r="M303" s="2053"/>
      <c r="N303" s="2053"/>
      <c r="O303" s="2053"/>
      <c r="P303" s="2053"/>
      <c r="Q303" s="2053"/>
      <c r="R303" s="2053"/>
      <c r="T303" s="58" t="s">
        <v>504</v>
      </c>
      <c r="V303" s="58"/>
      <c r="W303" s="58"/>
      <c r="X303" s="58"/>
      <c r="Y303" s="58"/>
      <c r="AA303" s="2053"/>
      <c r="AB303" s="2053"/>
      <c r="AC303" s="2053"/>
      <c r="AD303" s="2053"/>
      <c r="AE303" s="2053"/>
      <c r="AF303" s="2053"/>
      <c r="AG303" s="2053"/>
      <c r="AH303" s="2053"/>
      <c r="AI303" s="2053"/>
      <c r="AJ303" s="2053"/>
      <c r="AK303" s="2053"/>
      <c r="BN303" s="61"/>
    </row>
    <row r="304" spans="2:66" ht="12.75">
      <c r="B304" s="58" t="s">
        <v>505</v>
      </c>
      <c r="C304" s="58"/>
      <c r="D304" s="58"/>
      <c r="E304" s="58"/>
      <c r="F304" s="58"/>
      <c r="H304" s="2053" t="s">
        <v>2547</v>
      </c>
      <c r="I304" s="2053"/>
      <c r="J304" s="2053"/>
      <c r="K304" s="2053"/>
      <c r="L304" s="2053"/>
      <c r="M304" s="2053"/>
      <c r="N304" s="2053"/>
      <c r="O304" s="2053"/>
      <c r="P304" s="2053"/>
      <c r="Q304" s="2053"/>
      <c r="R304" s="2053"/>
      <c r="T304" s="58" t="s">
        <v>79</v>
      </c>
      <c r="V304" s="58"/>
      <c r="W304" s="58"/>
      <c r="X304" s="58"/>
      <c r="Y304" s="58"/>
      <c r="AA304" s="2053"/>
      <c r="AB304" s="2053"/>
      <c r="AC304" s="2053"/>
      <c r="AD304" s="2053"/>
      <c r="AE304" s="2053"/>
      <c r="AF304" s="2053"/>
      <c r="AG304" s="2053"/>
      <c r="AH304" s="2053"/>
      <c r="AI304" s="2053"/>
      <c r="AJ304" s="2053"/>
      <c r="AK304" s="2053"/>
      <c r="BN304" s="61"/>
    </row>
    <row r="305" spans="2:66" ht="12.75">
      <c r="B305" s="58" t="s">
        <v>92</v>
      </c>
      <c r="C305" s="58"/>
      <c r="D305" s="58"/>
      <c r="E305" s="58"/>
      <c r="F305" s="58"/>
      <c r="H305" s="2053" t="s">
        <v>2665</v>
      </c>
      <c r="I305" s="2053"/>
      <c r="J305" s="2053"/>
      <c r="K305" s="2053"/>
      <c r="L305" s="2053"/>
      <c r="M305" s="2053"/>
      <c r="N305" s="2053"/>
      <c r="O305" s="2053"/>
      <c r="P305" s="2053"/>
      <c r="Q305" s="2053"/>
      <c r="R305" s="2053"/>
      <c r="T305" s="58" t="s">
        <v>92</v>
      </c>
      <c r="V305" s="58"/>
      <c r="W305" s="58"/>
      <c r="X305" s="58"/>
      <c r="Y305" s="58"/>
      <c r="AA305" s="2053"/>
      <c r="AB305" s="2053"/>
      <c r="AC305" s="2053"/>
      <c r="AD305" s="2053"/>
      <c r="AE305" s="2053"/>
      <c r="AF305" s="2053"/>
      <c r="AG305" s="2053"/>
      <c r="AH305" s="2053"/>
      <c r="AI305" s="2053"/>
      <c r="AJ305" s="2053"/>
      <c r="AK305" s="2053"/>
      <c r="BN305" s="61"/>
    </row>
    <row r="306" spans="2:66" ht="12.75">
      <c r="B306" s="58" t="s">
        <v>93</v>
      </c>
      <c r="C306" s="58"/>
      <c r="D306" s="58"/>
      <c r="E306" s="58"/>
      <c r="F306" s="58"/>
      <c r="G306" s="58"/>
      <c r="H306" s="2218" t="s">
        <v>2548</v>
      </c>
      <c r="I306" s="2219"/>
      <c r="J306" s="2219"/>
      <c r="K306" s="2219"/>
      <c r="L306" s="2219"/>
      <c r="M306" s="2219"/>
      <c r="N306" s="7" t="s">
        <v>212</v>
      </c>
      <c r="O306" s="7"/>
      <c r="P306" s="2204">
        <v>8</v>
      </c>
      <c r="Q306" s="2204"/>
      <c r="R306" s="2204"/>
      <c r="S306" s="58"/>
      <c r="T306" s="58" t="s">
        <v>93</v>
      </c>
      <c r="V306" s="58"/>
      <c r="W306" s="58"/>
      <c r="X306" s="58"/>
      <c r="Y306" s="58"/>
      <c r="AA306" s="2219"/>
      <c r="AB306" s="2219"/>
      <c r="AC306" s="2219"/>
      <c r="AD306" s="2219"/>
      <c r="AE306" s="2219"/>
      <c r="AF306" s="2219"/>
      <c r="AG306" s="7" t="s">
        <v>212</v>
      </c>
      <c r="AH306" s="7"/>
      <c r="AI306" s="2204"/>
      <c r="AJ306" s="2204"/>
      <c r="AK306" s="2204"/>
      <c r="BN306" s="61"/>
    </row>
    <row r="307" spans="2:66" ht="12.75">
      <c r="B307" s="58" t="s">
        <v>94</v>
      </c>
      <c r="C307" s="58"/>
      <c r="D307" s="58"/>
      <c r="E307" s="58"/>
      <c r="F307" s="58"/>
      <c r="G307" s="58"/>
      <c r="H307" s="2190" t="s">
        <v>2549</v>
      </c>
      <c r="I307" s="2075"/>
      <c r="J307" s="2075"/>
      <c r="K307" s="2075"/>
      <c r="L307" s="2075"/>
      <c r="M307" s="2075"/>
      <c r="N307" s="60"/>
      <c r="O307" s="60"/>
      <c r="P307" s="62"/>
      <c r="Q307" s="62"/>
      <c r="R307" s="62"/>
      <c r="S307" s="58"/>
      <c r="T307" s="58" t="s">
        <v>94</v>
      </c>
      <c r="V307" s="58"/>
      <c r="W307" s="58"/>
      <c r="X307" s="58"/>
      <c r="Y307" s="58"/>
      <c r="AA307" s="2075"/>
      <c r="AB307" s="2075"/>
      <c r="AC307" s="2075"/>
      <c r="AD307" s="2075"/>
      <c r="AE307" s="2075"/>
      <c r="AF307" s="2075"/>
      <c r="AG307" s="60"/>
      <c r="AH307" s="60"/>
      <c r="AI307" s="62"/>
      <c r="AJ307" s="62"/>
      <c r="AK307" s="62"/>
      <c r="BN307" s="61"/>
    </row>
    <row r="308" spans="2:66" ht="12.75">
      <c r="B308" s="58" t="s">
        <v>80</v>
      </c>
      <c r="C308" s="58"/>
      <c r="D308" s="58"/>
      <c r="E308" s="58"/>
      <c r="F308" s="58"/>
      <c r="G308" s="58"/>
      <c r="H308" s="2053" t="s">
        <v>2666</v>
      </c>
      <c r="I308" s="2053"/>
      <c r="J308" s="2053"/>
      <c r="K308" s="2053"/>
      <c r="L308" s="2053"/>
      <c r="M308" s="2053"/>
      <c r="N308" s="2050"/>
      <c r="O308" s="2050"/>
      <c r="P308" s="2050"/>
      <c r="Q308" s="2050"/>
      <c r="R308" s="2050"/>
      <c r="S308" s="58"/>
      <c r="T308" s="58" t="s">
        <v>80</v>
      </c>
      <c r="V308" s="58"/>
      <c r="W308" s="58"/>
      <c r="X308" s="58"/>
      <c r="Y308" s="58"/>
      <c r="AA308" s="2053"/>
      <c r="AB308" s="2053"/>
      <c r="AC308" s="2053"/>
      <c r="AD308" s="2053"/>
      <c r="AE308" s="2053"/>
      <c r="AF308" s="2053"/>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0" t="s">
        <v>2553</v>
      </c>
      <c r="I310" s="2050"/>
      <c r="J310" s="2050"/>
      <c r="K310" s="2050"/>
      <c r="L310" s="2050"/>
      <c r="M310" s="2050"/>
      <c r="N310" s="2050"/>
      <c r="O310" s="2050"/>
      <c r="P310" s="2050"/>
      <c r="Q310" s="2050"/>
      <c r="R310" s="2050"/>
      <c r="S310" s="58"/>
      <c r="T310" s="58" t="s">
        <v>375</v>
      </c>
      <c r="V310" s="58"/>
      <c r="W310" s="58"/>
      <c r="X310" s="58"/>
      <c r="Y310" s="58"/>
      <c r="AA310" s="2050" t="s">
        <v>2586</v>
      </c>
      <c r="AB310" s="2050"/>
      <c r="AC310" s="2050"/>
      <c r="AD310" s="2050"/>
      <c r="AE310" s="2050"/>
      <c r="AF310" s="2050"/>
      <c r="AG310" s="2050"/>
      <c r="AH310" s="2050"/>
      <c r="AI310" s="2050"/>
      <c r="AJ310" s="2050"/>
      <c r="AK310" s="2050"/>
      <c r="BN310" s="61"/>
    </row>
    <row r="311" spans="2:66" ht="12.75">
      <c r="B311" s="58" t="s">
        <v>504</v>
      </c>
      <c r="C311" s="58"/>
      <c r="D311" s="58"/>
      <c r="E311" s="58"/>
      <c r="F311" s="58"/>
      <c r="H311" s="2053" t="s">
        <v>2554</v>
      </c>
      <c r="I311" s="2053"/>
      <c r="J311" s="2053"/>
      <c r="K311" s="2053"/>
      <c r="L311" s="2053"/>
      <c r="M311" s="2053"/>
      <c r="N311" s="2053"/>
      <c r="O311" s="2053"/>
      <c r="P311" s="2053"/>
      <c r="Q311" s="2053"/>
      <c r="R311" s="2053"/>
      <c r="S311" s="58"/>
      <c r="T311" s="58" t="s">
        <v>504</v>
      </c>
      <c r="V311" s="58"/>
      <c r="W311" s="58"/>
      <c r="X311" s="58"/>
      <c r="Y311" s="58"/>
      <c r="AA311" s="2053"/>
      <c r="AB311" s="2053"/>
      <c r="AC311" s="2053"/>
      <c r="AD311" s="2053"/>
      <c r="AE311" s="2053"/>
      <c r="AF311" s="2053"/>
      <c r="AG311" s="2053"/>
      <c r="AH311" s="2053"/>
      <c r="AI311" s="2053"/>
      <c r="AJ311" s="2053"/>
      <c r="AK311" s="2053"/>
      <c r="BN311" s="61"/>
    </row>
    <row r="312" spans="2:66" ht="12.75" customHeight="1">
      <c r="B312" s="58" t="s">
        <v>505</v>
      </c>
      <c r="C312" s="58"/>
      <c r="D312" s="58"/>
      <c r="E312" s="58"/>
      <c r="F312" s="58"/>
      <c r="H312" s="2053" t="s">
        <v>2555</v>
      </c>
      <c r="I312" s="2053"/>
      <c r="J312" s="2053"/>
      <c r="K312" s="2053"/>
      <c r="L312" s="2053"/>
      <c r="M312" s="2053"/>
      <c r="N312" s="2053"/>
      <c r="O312" s="2053"/>
      <c r="P312" s="2053"/>
      <c r="Q312" s="2053"/>
      <c r="R312" s="2053"/>
      <c r="S312" s="58"/>
      <c r="T312" s="58" t="s">
        <v>79</v>
      </c>
      <c r="V312" s="58"/>
      <c r="W312" s="58"/>
      <c r="X312" s="58"/>
      <c r="Y312" s="58"/>
      <c r="AA312" s="2053"/>
      <c r="AB312" s="2053"/>
      <c r="AC312" s="2053"/>
      <c r="AD312" s="2053"/>
      <c r="AE312" s="2053"/>
      <c r="AF312" s="2053"/>
      <c r="AG312" s="2053"/>
      <c r="AH312" s="2053"/>
      <c r="AI312" s="2053"/>
      <c r="AJ312" s="2053"/>
      <c r="AK312" s="2053"/>
      <c r="BN312" s="61"/>
    </row>
    <row r="313" spans="2:66" ht="12.75">
      <c r="B313" s="58" t="s">
        <v>92</v>
      </c>
      <c r="C313" s="58"/>
      <c r="D313" s="58"/>
      <c r="E313" s="58"/>
      <c r="F313" s="58"/>
      <c r="H313" s="2053" t="s">
        <v>2556</v>
      </c>
      <c r="I313" s="2053"/>
      <c r="J313" s="2053"/>
      <c r="K313" s="2053"/>
      <c r="L313" s="2053"/>
      <c r="M313" s="2053"/>
      <c r="N313" s="2053"/>
      <c r="O313" s="2053"/>
      <c r="P313" s="2053"/>
      <c r="Q313" s="2053"/>
      <c r="R313" s="2053"/>
      <c r="S313" s="58"/>
      <c r="T313" s="58" t="s">
        <v>92</v>
      </c>
      <c r="V313" s="58"/>
      <c r="W313" s="58"/>
      <c r="X313" s="58"/>
      <c r="Y313" s="58"/>
      <c r="AA313" s="2053"/>
      <c r="AB313" s="2053"/>
      <c r="AC313" s="2053"/>
      <c r="AD313" s="2053"/>
      <c r="AE313" s="2053"/>
      <c r="AF313" s="2053"/>
      <c r="AG313" s="2053"/>
      <c r="AH313" s="2053"/>
      <c r="AI313" s="2053"/>
      <c r="AJ313" s="2053"/>
      <c r="AK313" s="2053"/>
      <c r="BN313" s="61"/>
    </row>
    <row r="314" spans="2:66" ht="12.75">
      <c r="B314" s="58" t="s">
        <v>93</v>
      </c>
      <c r="C314" s="58"/>
      <c r="D314" s="58"/>
      <c r="E314" s="58"/>
      <c r="F314" s="58"/>
      <c r="G314" s="58"/>
      <c r="H314" s="2218" t="s">
        <v>2557</v>
      </c>
      <c r="I314" s="2219"/>
      <c r="J314" s="2219"/>
      <c r="K314" s="2219"/>
      <c r="L314" s="2219"/>
      <c r="M314" s="2219"/>
      <c r="N314" s="7" t="s">
        <v>212</v>
      </c>
      <c r="O314" s="7"/>
      <c r="P314" s="2204"/>
      <c r="Q314" s="2204"/>
      <c r="R314" s="2204"/>
      <c r="S314" s="58"/>
      <c r="T314" s="58" t="s">
        <v>93</v>
      </c>
      <c r="V314" s="58"/>
      <c r="W314" s="58"/>
      <c r="X314" s="58"/>
      <c r="Y314" s="58"/>
      <c r="AA314" s="2219"/>
      <c r="AB314" s="2219"/>
      <c r="AC314" s="2219"/>
      <c r="AD314" s="2219"/>
      <c r="AE314" s="2219"/>
      <c r="AF314" s="2219"/>
      <c r="AG314" s="7" t="s">
        <v>212</v>
      </c>
      <c r="AH314" s="7"/>
      <c r="AI314" s="2204"/>
      <c r="AJ314" s="2204"/>
      <c r="AK314" s="2204"/>
      <c r="BN314" s="61"/>
    </row>
    <row r="315" spans="2:66" ht="12.75">
      <c r="B315" s="58" t="s">
        <v>94</v>
      </c>
      <c r="C315" s="58"/>
      <c r="D315" s="58"/>
      <c r="E315" s="58"/>
      <c r="F315" s="58"/>
      <c r="G315" s="58"/>
      <c r="H315" s="2190" t="s">
        <v>2558</v>
      </c>
      <c r="I315" s="2075"/>
      <c r="J315" s="2075"/>
      <c r="K315" s="2075"/>
      <c r="L315" s="2075"/>
      <c r="M315" s="2075"/>
      <c r="N315" s="60"/>
      <c r="O315" s="60"/>
      <c r="P315" s="62"/>
      <c r="Q315" s="62"/>
      <c r="R315" s="62"/>
      <c r="S315" s="58"/>
      <c r="T315" s="58" t="s">
        <v>94</v>
      </c>
      <c r="V315" s="58"/>
      <c r="W315" s="58"/>
      <c r="X315" s="58"/>
      <c r="Y315" s="58"/>
      <c r="AA315" s="2075"/>
      <c r="AB315" s="2075"/>
      <c r="AC315" s="2075"/>
      <c r="AD315" s="2075"/>
      <c r="AE315" s="2075"/>
      <c r="AF315" s="2075"/>
      <c r="AG315" s="60"/>
      <c r="AH315" s="60"/>
      <c r="AI315" s="62"/>
      <c r="AJ315" s="62"/>
      <c r="AK315" s="62"/>
      <c r="BN315" s="61"/>
    </row>
    <row r="316" spans="2:66" ht="12.75">
      <c r="B316" s="58" t="s">
        <v>80</v>
      </c>
      <c r="C316" s="58"/>
      <c r="D316" s="58"/>
      <c r="E316" s="58"/>
      <c r="F316" s="58"/>
      <c r="G316" s="58"/>
      <c r="H316" s="2053" t="s">
        <v>2559</v>
      </c>
      <c r="I316" s="2053"/>
      <c r="J316" s="2053"/>
      <c r="K316" s="2053"/>
      <c r="L316" s="2053"/>
      <c r="M316" s="2053"/>
      <c r="N316" s="2050"/>
      <c r="O316" s="2050"/>
      <c r="P316" s="2050"/>
      <c r="Q316" s="2050"/>
      <c r="R316" s="2050"/>
      <c r="S316" s="58"/>
      <c r="T316" s="58" t="s">
        <v>80</v>
      </c>
      <c r="V316" s="58"/>
      <c r="W316" s="58"/>
      <c r="X316" s="58"/>
      <c r="Y316" s="58"/>
      <c r="AA316" s="2053"/>
      <c r="AB316" s="2053"/>
      <c r="AC316" s="2053"/>
      <c r="AD316" s="2053"/>
      <c r="AE316" s="2053"/>
      <c r="AF316" s="2053"/>
      <c r="AG316" s="2050"/>
      <c r="AH316" s="2050"/>
      <c r="AI316" s="2050"/>
      <c r="AJ316" s="2050"/>
      <c r="AK316" s="2050"/>
      <c r="BN316" s="61"/>
    </row>
    <row r="317" spans="2:66" ht="12.75">
      <c r="BN317" s="61"/>
    </row>
    <row r="318" spans="2:66" ht="12.75">
      <c r="B318" s="7" t="s">
        <v>977</v>
      </c>
      <c r="C318" s="58"/>
      <c r="D318" s="58"/>
      <c r="E318" s="58"/>
      <c r="F318" s="58"/>
      <c r="H318" s="2050" t="s">
        <v>2560</v>
      </c>
      <c r="I318" s="2050"/>
      <c r="J318" s="2050"/>
      <c r="K318" s="2050"/>
      <c r="L318" s="2050"/>
      <c r="M318" s="2050"/>
      <c r="N318" s="2050"/>
      <c r="O318" s="2050"/>
      <c r="P318" s="2050"/>
      <c r="Q318" s="2050"/>
      <c r="R318" s="2050"/>
      <c r="T318" s="58" t="s">
        <v>376</v>
      </c>
      <c r="V318" s="58"/>
      <c r="W318" s="58"/>
      <c r="X318" s="58"/>
      <c r="Y318" s="58"/>
      <c r="AA318" s="2050" t="s">
        <v>2572</v>
      </c>
      <c r="AB318" s="2050"/>
      <c r="AC318" s="2050"/>
      <c r="AD318" s="2050"/>
      <c r="AE318" s="2050"/>
      <c r="AF318" s="2050"/>
      <c r="AG318" s="2050"/>
      <c r="AH318" s="2050"/>
      <c r="AI318" s="2050"/>
      <c r="AJ318" s="2050"/>
      <c r="AK318" s="2050"/>
      <c r="BN318" s="61"/>
    </row>
    <row r="319" spans="2:66" ht="12.75">
      <c r="B319" s="58" t="s">
        <v>504</v>
      </c>
      <c r="C319" s="58"/>
      <c r="D319" s="58"/>
      <c r="E319" s="58"/>
      <c r="F319" s="58"/>
      <c r="H319" s="2053" t="s">
        <v>2561</v>
      </c>
      <c r="I319" s="2053"/>
      <c r="J319" s="2053"/>
      <c r="K319" s="2053"/>
      <c r="L319" s="2053"/>
      <c r="M319" s="2053"/>
      <c r="N319" s="2053"/>
      <c r="O319" s="2053"/>
      <c r="P319" s="2053"/>
      <c r="Q319" s="2053"/>
      <c r="R319" s="2053"/>
      <c r="T319" s="58" t="s">
        <v>504</v>
      </c>
      <c r="V319" s="58"/>
      <c r="W319" s="58"/>
      <c r="X319" s="58"/>
      <c r="Y319" s="58"/>
      <c r="AA319" s="2053" t="s">
        <v>2573</v>
      </c>
      <c r="AB319" s="2053"/>
      <c r="AC319" s="2053"/>
      <c r="AD319" s="2053"/>
      <c r="AE319" s="2053"/>
      <c r="AF319" s="2053"/>
      <c r="AG319" s="2053"/>
      <c r="AH319" s="2053"/>
      <c r="AI319" s="2053"/>
      <c r="AJ319" s="2053"/>
      <c r="AK319" s="2053"/>
      <c r="BN319" s="61"/>
    </row>
    <row r="320" spans="2:66" ht="12.75">
      <c r="B320" s="58" t="s">
        <v>505</v>
      </c>
      <c r="C320" s="58"/>
      <c r="D320" s="58"/>
      <c r="E320" s="58"/>
      <c r="F320" s="58"/>
      <c r="H320" s="2053" t="s">
        <v>2562</v>
      </c>
      <c r="I320" s="2053"/>
      <c r="J320" s="2053"/>
      <c r="K320" s="2053"/>
      <c r="L320" s="2053"/>
      <c r="M320" s="2053"/>
      <c r="N320" s="2053"/>
      <c r="O320" s="2053"/>
      <c r="P320" s="2053"/>
      <c r="Q320" s="2053"/>
      <c r="R320" s="2053"/>
      <c r="T320" s="58" t="s">
        <v>79</v>
      </c>
      <c r="V320" s="58"/>
      <c r="W320" s="58"/>
      <c r="X320" s="58"/>
      <c r="Y320" s="58"/>
      <c r="AA320" s="2053" t="s">
        <v>2574</v>
      </c>
      <c r="AB320" s="2053"/>
      <c r="AC320" s="2053"/>
      <c r="AD320" s="2053"/>
      <c r="AE320" s="2053"/>
      <c r="AF320" s="2053"/>
      <c r="AG320" s="2053"/>
      <c r="AH320" s="2053"/>
      <c r="AI320" s="2053"/>
      <c r="AJ320" s="2053"/>
      <c r="AK320" s="2053"/>
      <c r="BN320" s="61"/>
    </row>
    <row r="321" spans="1:66" ht="12.75" customHeight="1">
      <c r="A321" s="39"/>
      <c r="B321" s="58" t="s">
        <v>92</v>
      </c>
      <c r="C321" s="58"/>
      <c r="D321" s="58"/>
      <c r="E321" s="58"/>
      <c r="F321" s="58"/>
      <c r="H321" s="2053" t="s">
        <v>2563</v>
      </c>
      <c r="I321" s="2053"/>
      <c r="J321" s="2053"/>
      <c r="K321" s="2053"/>
      <c r="L321" s="2053"/>
      <c r="M321" s="2053"/>
      <c r="N321" s="2053"/>
      <c r="O321" s="2053"/>
      <c r="P321" s="2053"/>
      <c r="Q321" s="2053"/>
      <c r="R321" s="2053"/>
      <c r="T321" s="58" t="s">
        <v>92</v>
      </c>
      <c r="V321" s="58"/>
      <c r="W321" s="58"/>
      <c r="X321" s="58"/>
      <c r="Y321" s="58"/>
      <c r="AA321" s="2053" t="s">
        <v>2575</v>
      </c>
      <c r="AB321" s="2053"/>
      <c r="AC321" s="2053"/>
      <c r="AD321" s="2053"/>
      <c r="AE321" s="2053"/>
      <c r="AF321" s="2053"/>
      <c r="AG321" s="2053"/>
      <c r="AH321" s="2053"/>
      <c r="AI321" s="2053"/>
      <c r="AJ321" s="2053"/>
      <c r="AK321" s="2053"/>
      <c r="AL321" s="39"/>
      <c r="BN321" s="61"/>
    </row>
    <row r="322" spans="1:66" ht="12.75">
      <c r="A322" s="39"/>
      <c r="B322" s="58" t="s">
        <v>93</v>
      </c>
      <c r="C322" s="58"/>
      <c r="D322" s="58"/>
      <c r="E322" s="58"/>
      <c r="F322" s="58"/>
      <c r="G322" s="58"/>
      <c r="H322" s="2218" t="s">
        <v>2564</v>
      </c>
      <c r="I322" s="2219"/>
      <c r="J322" s="2219"/>
      <c r="K322" s="2219"/>
      <c r="L322" s="2219"/>
      <c r="M322" s="2219"/>
      <c r="N322" s="7" t="s">
        <v>212</v>
      </c>
      <c r="O322" s="7"/>
      <c r="P322" s="2204">
        <v>324</v>
      </c>
      <c r="Q322" s="2204"/>
      <c r="R322" s="2204"/>
      <c r="S322" s="58"/>
      <c r="T322" s="58" t="s">
        <v>93</v>
      </c>
      <c r="V322" s="58"/>
      <c r="W322" s="58"/>
      <c r="X322" s="58"/>
      <c r="Y322" s="58"/>
      <c r="AA322" s="2218" t="s">
        <v>2576</v>
      </c>
      <c r="AB322" s="2219"/>
      <c r="AC322" s="2219"/>
      <c r="AD322" s="2219"/>
      <c r="AE322" s="2219"/>
      <c r="AF322" s="2219"/>
      <c r="AG322" s="7" t="s">
        <v>212</v>
      </c>
      <c r="AH322" s="7"/>
      <c r="AI322" s="2204"/>
      <c r="AJ322" s="2204"/>
      <c r="AK322" s="2204"/>
      <c r="AL322" s="39"/>
      <c r="BN322" s="61"/>
    </row>
    <row r="323" spans="1:66" ht="12.75" customHeight="1">
      <c r="A323" s="39"/>
      <c r="B323" s="58" t="s">
        <v>94</v>
      </c>
      <c r="C323" s="58"/>
      <c r="D323" s="58"/>
      <c r="E323" s="58"/>
      <c r="F323" s="58"/>
      <c r="G323" s="58"/>
      <c r="H323" s="2075"/>
      <c r="I323" s="2075"/>
      <c r="J323" s="2075"/>
      <c r="K323" s="2075"/>
      <c r="L323" s="2075"/>
      <c r="M323" s="2075"/>
      <c r="N323" s="60"/>
      <c r="O323" s="60"/>
      <c r="P323" s="62"/>
      <c r="Q323" s="62"/>
      <c r="R323" s="62"/>
      <c r="S323" s="58"/>
      <c r="T323" s="58" t="s">
        <v>94</v>
      </c>
      <c r="V323" s="58"/>
      <c r="W323" s="58"/>
      <c r="X323" s="58"/>
      <c r="Y323" s="58"/>
      <c r="AA323" s="2190" t="s">
        <v>2577</v>
      </c>
      <c r="AB323" s="2075"/>
      <c r="AC323" s="2075"/>
      <c r="AD323" s="2075"/>
      <c r="AE323" s="2075"/>
      <c r="AF323" s="2075"/>
      <c r="AG323" s="60"/>
      <c r="AH323" s="60"/>
      <c r="AI323" s="62"/>
      <c r="AJ323" s="62"/>
      <c r="AK323" s="62"/>
      <c r="AL323" s="39"/>
    </row>
    <row r="324" spans="1:66" ht="12.75">
      <c r="A324" s="39"/>
      <c r="B324" s="58" t="s">
        <v>80</v>
      </c>
      <c r="C324" s="58"/>
      <c r="D324" s="58"/>
      <c r="E324" s="58"/>
      <c r="F324" s="58"/>
      <c r="G324" s="58"/>
      <c r="H324" s="2053" t="s">
        <v>2565</v>
      </c>
      <c r="I324" s="2053"/>
      <c r="J324" s="2053"/>
      <c r="K324" s="2053"/>
      <c r="L324" s="2053"/>
      <c r="M324" s="2053"/>
      <c r="N324" s="2050"/>
      <c r="O324" s="2050"/>
      <c r="P324" s="2050"/>
      <c r="Q324" s="2050"/>
      <c r="R324" s="2050"/>
      <c r="S324" s="58"/>
      <c r="T324" s="58" t="s">
        <v>80</v>
      </c>
      <c r="V324" s="58"/>
      <c r="W324" s="58"/>
      <c r="X324" s="58"/>
      <c r="Y324" s="58"/>
      <c r="AA324" s="2053" t="s">
        <v>2578</v>
      </c>
      <c r="AB324" s="2053"/>
      <c r="AC324" s="2053"/>
      <c r="AD324" s="2053"/>
      <c r="AE324" s="2053"/>
      <c r="AF324" s="2053"/>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0" t="s">
        <v>2617</v>
      </c>
      <c r="I326" s="2050"/>
      <c r="J326" s="2050"/>
      <c r="K326" s="2050"/>
      <c r="L326" s="2050"/>
      <c r="M326" s="2050"/>
      <c r="N326" s="2050"/>
      <c r="O326" s="2050"/>
      <c r="P326" s="2050"/>
      <c r="Q326" s="2050"/>
      <c r="R326" s="2050"/>
      <c r="T326" s="58" t="s">
        <v>378</v>
      </c>
      <c r="V326" s="58"/>
      <c r="W326" s="58"/>
      <c r="X326" s="58"/>
      <c r="Y326" s="58"/>
      <c r="AA326" s="2050"/>
      <c r="AB326" s="2050"/>
      <c r="AC326" s="2050"/>
      <c r="AD326" s="2050"/>
      <c r="AE326" s="2050"/>
      <c r="AF326" s="2050"/>
      <c r="AG326" s="2050"/>
      <c r="AH326" s="2050"/>
      <c r="AI326" s="2050"/>
      <c r="AJ326" s="2050"/>
      <c r="AK326" s="2050"/>
      <c r="AL326" s="39"/>
    </row>
    <row r="327" spans="1:66" ht="12.75">
      <c r="A327" s="39"/>
      <c r="B327" s="58" t="s">
        <v>504</v>
      </c>
      <c r="C327" s="58"/>
      <c r="D327" s="58"/>
      <c r="E327" s="58"/>
      <c r="F327" s="58"/>
      <c r="H327" s="2053" t="s">
        <v>2618</v>
      </c>
      <c r="I327" s="2053"/>
      <c r="J327" s="2053"/>
      <c r="K327" s="2053"/>
      <c r="L327" s="2053"/>
      <c r="M327" s="2053"/>
      <c r="N327" s="2053"/>
      <c r="O327" s="2053"/>
      <c r="P327" s="2053"/>
      <c r="Q327" s="2053"/>
      <c r="R327" s="2053"/>
      <c r="T327" s="58" t="s">
        <v>504</v>
      </c>
      <c r="V327" s="58"/>
      <c r="W327" s="58"/>
      <c r="X327" s="58"/>
      <c r="Y327" s="58"/>
      <c r="AA327" s="2053"/>
      <c r="AB327" s="2053"/>
      <c r="AC327" s="2053"/>
      <c r="AD327" s="2053"/>
      <c r="AE327" s="2053"/>
      <c r="AF327" s="2053"/>
      <c r="AG327" s="2053"/>
      <c r="AH327" s="2053"/>
      <c r="AI327" s="2053"/>
      <c r="AJ327" s="2053"/>
      <c r="AK327" s="2053"/>
      <c r="AL327" s="39"/>
    </row>
    <row r="328" spans="1:66" ht="12.75">
      <c r="A328" s="39"/>
      <c r="B328" s="58" t="s">
        <v>505</v>
      </c>
      <c r="C328" s="58"/>
      <c r="D328" s="58"/>
      <c r="E328" s="58"/>
      <c r="F328" s="58"/>
      <c r="H328" s="2053" t="s">
        <v>2619</v>
      </c>
      <c r="I328" s="2053"/>
      <c r="J328" s="2053"/>
      <c r="K328" s="2053"/>
      <c r="L328" s="2053"/>
      <c r="M328" s="2053"/>
      <c r="N328" s="2053"/>
      <c r="O328" s="2053"/>
      <c r="P328" s="2053"/>
      <c r="Q328" s="2053"/>
      <c r="R328" s="2053"/>
      <c r="T328" s="58" t="s">
        <v>79</v>
      </c>
      <c r="V328" s="58"/>
      <c r="W328" s="58"/>
      <c r="X328" s="58"/>
      <c r="Y328" s="58"/>
      <c r="AA328" s="2053"/>
      <c r="AB328" s="2053"/>
      <c r="AC328" s="2053"/>
      <c r="AD328" s="2053"/>
      <c r="AE328" s="2053"/>
      <c r="AF328" s="2053"/>
      <c r="AG328" s="2053"/>
      <c r="AH328" s="2053"/>
      <c r="AI328" s="2053"/>
      <c r="AJ328" s="2053"/>
      <c r="AK328" s="2053"/>
      <c r="AL328" s="39"/>
    </row>
    <row r="329" spans="1:66" ht="12.75">
      <c r="A329" s="39"/>
      <c r="B329" s="58" t="s">
        <v>92</v>
      </c>
      <c r="C329" s="58"/>
      <c r="D329" s="58"/>
      <c r="E329" s="58"/>
      <c r="F329" s="58"/>
      <c r="H329" s="2053" t="s">
        <v>2620</v>
      </c>
      <c r="I329" s="2053"/>
      <c r="J329" s="2053"/>
      <c r="K329" s="2053"/>
      <c r="L329" s="2053"/>
      <c r="M329" s="2053"/>
      <c r="N329" s="2053"/>
      <c r="O329" s="2053"/>
      <c r="P329" s="2053"/>
      <c r="Q329" s="2053"/>
      <c r="R329" s="2053"/>
      <c r="T329" s="58" t="s">
        <v>92</v>
      </c>
      <c r="V329" s="58"/>
      <c r="W329" s="58"/>
      <c r="X329" s="58"/>
      <c r="Y329" s="58"/>
      <c r="AA329" s="2053"/>
      <c r="AB329" s="2053"/>
      <c r="AC329" s="2053"/>
      <c r="AD329" s="2053"/>
      <c r="AE329" s="2053"/>
      <c r="AF329" s="2053"/>
      <c r="AG329" s="2053"/>
      <c r="AH329" s="2053"/>
      <c r="AI329" s="2053"/>
      <c r="AJ329" s="2053"/>
      <c r="AK329" s="2053"/>
      <c r="AL329" s="39"/>
    </row>
    <row r="330" spans="1:66" ht="12.75" customHeight="1">
      <c r="A330" s="39"/>
      <c r="B330" s="58" t="s">
        <v>93</v>
      </c>
      <c r="C330" s="58"/>
      <c r="D330" s="58"/>
      <c r="E330" s="58"/>
      <c r="F330" s="58"/>
      <c r="G330" s="58"/>
      <c r="H330" s="2218" t="s">
        <v>2621</v>
      </c>
      <c r="I330" s="2219"/>
      <c r="J330" s="2219"/>
      <c r="K330" s="2219"/>
      <c r="L330" s="2219"/>
      <c r="M330" s="2219"/>
      <c r="N330" s="7" t="s">
        <v>212</v>
      </c>
      <c r="O330" s="7"/>
      <c r="P330" s="2204"/>
      <c r="Q330" s="2204"/>
      <c r="R330" s="2204"/>
      <c r="S330" s="58"/>
      <c r="T330" s="58" t="s">
        <v>93</v>
      </c>
      <c r="V330" s="58"/>
      <c r="W330" s="58"/>
      <c r="X330" s="58"/>
      <c r="Y330" s="58"/>
      <c r="AA330" s="2219"/>
      <c r="AB330" s="2219"/>
      <c r="AC330" s="2219"/>
      <c r="AD330" s="2219"/>
      <c r="AE330" s="2219"/>
      <c r="AF330" s="2219"/>
      <c r="AG330" s="7" t="s">
        <v>212</v>
      </c>
      <c r="AH330" s="7"/>
      <c r="AI330" s="2204"/>
      <c r="AJ330" s="2204"/>
      <c r="AK330" s="2204"/>
      <c r="AL330" s="39"/>
    </row>
    <row r="331" spans="1:66" ht="12.75">
      <c r="A331" s="39"/>
      <c r="B331" s="58" t="s">
        <v>94</v>
      </c>
      <c r="C331" s="58"/>
      <c r="D331" s="58"/>
      <c r="E331" s="58"/>
      <c r="F331" s="58"/>
      <c r="G331" s="58"/>
      <c r="H331" s="2075"/>
      <c r="I331" s="2075"/>
      <c r="J331" s="2075"/>
      <c r="K331" s="2075"/>
      <c r="L331" s="2075"/>
      <c r="M331" s="2075"/>
      <c r="N331" s="60"/>
      <c r="O331" s="60"/>
      <c r="P331" s="62"/>
      <c r="Q331" s="62"/>
      <c r="R331" s="62"/>
      <c r="S331" s="58"/>
      <c r="T331" s="58" t="s">
        <v>94</v>
      </c>
      <c r="V331" s="58"/>
      <c r="W331" s="58"/>
      <c r="X331" s="58"/>
      <c r="Y331" s="58"/>
      <c r="AA331" s="2075"/>
      <c r="AB331" s="2075"/>
      <c r="AC331" s="2075"/>
      <c r="AD331" s="2075"/>
      <c r="AE331" s="2075"/>
      <c r="AF331" s="2075"/>
      <c r="AG331" s="60"/>
      <c r="AH331" s="60"/>
      <c r="AI331" s="62"/>
      <c r="AJ331" s="62"/>
      <c r="AK331" s="62"/>
      <c r="AL331" s="39"/>
    </row>
    <row r="332" spans="1:66" ht="12.75">
      <c r="A332" s="39"/>
      <c r="B332" s="58" t="s">
        <v>80</v>
      </c>
      <c r="C332" s="58"/>
      <c r="D332" s="58"/>
      <c r="E332" s="58"/>
      <c r="F332" s="58"/>
      <c r="G332" s="58"/>
      <c r="H332" s="2053" t="s">
        <v>2622</v>
      </c>
      <c r="I332" s="2053"/>
      <c r="J332" s="2053"/>
      <c r="K332" s="2053"/>
      <c r="L332" s="2053"/>
      <c r="M332" s="2053"/>
      <c r="N332" s="2050"/>
      <c r="O332" s="2050"/>
      <c r="P332" s="2050"/>
      <c r="Q332" s="2050"/>
      <c r="R332" s="2050"/>
      <c r="S332" s="58"/>
      <c r="T332" s="58" t="s">
        <v>80</v>
      </c>
      <c r="V332" s="58"/>
      <c r="W332" s="58"/>
      <c r="X332" s="58"/>
      <c r="Y332" s="58"/>
      <c r="AA332" s="2053"/>
      <c r="AB332" s="2053"/>
      <c r="AC332" s="2053"/>
      <c r="AD332" s="2053"/>
      <c r="AE332" s="2053"/>
      <c r="AF332" s="2053"/>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0" t="s">
        <v>2667</v>
      </c>
      <c r="I334" s="2050"/>
      <c r="J334" s="2050"/>
      <c r="K334" s="2050"/>
      <c r="L334" s="2050"/>
      <c r="M334" s="2050"/>
      <c r="N334" s="2050"/>
      <c r="O334" s="2050"/>
      <c r="P334" s="2050"/>
      <c r="Q334" s="2050"/>
      <c r="R334" s="2050"/>
      <c r="T334" s="405" t="s">
        <v>952</v>
      </c>
      <c r="V334" s="58"/>
      <c r="W334" s="58"/>
      <c r="X334" s="58"/>
      <c r="Y334" s="58"/>
      <c r="AA334" s="2050" t="s">
        <v>2587</v>
      </c>
      <c r="AB334" s="2050"/>
      <c r="AC334" s="2050"/>
      <c r="AD334" s="2050"/>
      <c r="AE334" s="2050"/>
      <c r="AF334" s="2050"/>
      <c r="AG334" s="2050"/>
      <c r="AH334" s="2050"/>
      <c r="AI334" s="2050"/>
      <c r="AJ334" s="2050"/>
      <c r="AK334" s="2050"/>
      <c r="AL334" s="39"/>
    </row>
    <row r="335" spans="1:66" ht="12.75" customHeight="1">
      <c r="B335" s="58" t="s">
        <v>504</v>
      </c>
      <c r="C335" s="240"/>
      <c r="D335" s="240"/>
      <c r="E335" s="240"/>
      <c r="F335" s="240"/>
      <c r="G335" s="3"/>
      <c r="H335" s="2053" t="s">
        <v>2611</v>
      </c>
      <c r="I335" s="2053"/>
      <c r="J335" s="2053"/>
      <c r="K335" s="2053"/>
      <c r="L335" s="2053"/>
      <c r="M335" s="2053"/>
      <c r="N335" s="2053"/>
      <c r="O335" s="2053"/>
      <c r="P335" s="2053"/>
      <c r="Q335" s="2053"/>
      <c r="R335" s="2053"/>
      <c r="T335" s="58" t="s">
        <v>504</v>
      </c>
      <c r="V335" s="58"/>
      <c r="W335" s="58"/>
      <c r="X335" s="58"/>
      <c r="Y335" s="58"/>
      <c r="AA335" s="2053" t="s">
        <v>2530</v>
      </c>
      <c r="AB335" s="2053"/>
      <c r="AC335" s="2053"/>
      <c r="AD335" s="2053"/>
      <c r="AE335" s="2053"/>
      <c r="AF335" s="2053"/>
      <c r="AG335" s="2053"/>
      <c r="AH335" s="2053"/>
      <c r="AI335" s="2053"/>
      <c r="AJ335" s="2053"/>
      <c r="AK335" s="2053"/>
      <c r="AL335" s="39"/>
    </row>
    <row r="336" spans="1:66" ht="12.75" customHeight="1">
      <c r="B336" s="58" t="s">
        <v>79</v>
      </c>
      <c r="C336" s="240"/>
      <c r="D336" s="240"/>
      <c r="E336" s="240"/>
      <c r="F336" s="240"/>
      <c r="G336" s="3"/>
      <c r="H336" s="2053" t="s">
        <v>2612</v>
      </c>
      <c r="I336" s="2053"/>
      <c r="J336" s="2053"/>
      <c r="K336" s="2053"/>
      <c r="L336" s="2053"/>
      <c r="M336" s="2053"/>
      <c r="N336" s="2053"/>
      <c r="O336" s="2053"/>
      <c r="P336" s="2053"/>
      <c r="Q336" s="2053"/>
      <c r="R336" s="2053"/>
      <c r="T336" s="58" t="s">
        <v>79</v>
      </c>
      <c r="V336" s="58"/>
      <c r="W336" s="58"/>
      <c r="X336" s="58"/>
      <c r="Y336" s="58"/>
      <c r="AA336" s="2053" t="s">
        <v>2588</v>
      </c>
      <c r="AB336" s="2053"/>
      <c r="AC336" s="2053"/>
      <c r="AD336" s="2053"/>
      <c r="AE336" s="2053"/>
      <c r="AF336" s="2053"/>
      <c r="AG336" s="2053"/>
      <c r="AH336" s="2053"/>
      <c r="AI336" s="2053"/>
      <c r="AJ336" s="2053"/>
      <c r="AK336" s="2053"/>
      <c r="AL336" s="39"/>
    </row>
    <row r="337" spans="1:66" ht="12.75" customHeight="1">
      <c r="A337" s="39"/>
      <c r="B337" s="58" t="s">
        <v>92</v>
      </c>
      <c r="C337" s="240"/>
      <c r="D337" s="240"/>
      <c r="E337" s="240"/>
      <c r="F337" s="240"/>
      <c r="G337" s="240"/>
      <c r="H337" s="2053" t="s">
        <v>2613</v>
      </c>
      <c r="I337" s="2053"/>
      <c r="J337" s="2053"/>
      <c r="K337" s="2053"/>
      <c r="L337" s="2053"/>
      <c r="M337" s="2053"/>
      <c r="N337" s="2053"/>
      <c r="O337" s="2053"/>
      <c r="P337" s="2053"/>
      <c r="Q337" s="2053"/>
      <c r="R337" s="2053"/>
      <c r="T337" s="58" t="s">
        <v>92</v>
      </c>
      <c r="V337" s="58"/>
      <c r="W337" s="58"/>
      <c r="X337" s="58"/>
      <c r="Y337" s="58"/>
      <c r="AA337" s="2053" t="s">
        <v>2589</v>
      </c>
      <c r="AB337" s="2053"/>
      <c r="AC337" s="2053"/>
      <c r="AD337" s="2053"/>
      <c r="AE337" s="2053"/>
      <c r="AF337" s="2053"/>
      <c r="AG337" s="2053"/>
      <c r="AH337" s="2053"/>
      <c r="AI337" s="2053"/>
      <c r="AJ337" s="2053"/>
      <c r="AK337" s="2053"/>
      <c r="AL337" s="39"/>
    </row>
    <row r="338" spans="1:66" ht="12.75" customHeight="1">
      <c r="A338" s="39"/>
      <c r="B338" s="58" t="s">
        <v>93</v>
      </c>
      <c r="C338" s="240"/>
      <c r="D338" s="240"/>
      <c r="E338" s="240"/>
      <c r="F338" s="240"/>
      <c r="G338" s="240"/>
      <c r="H338" s="2218" t="s">
        <v>2614</v>
      </c>
      <c r="I338" s="2219"/>
      <c r="J338" s="2219"/>
      <c r="K338" s="2219"/>
      <c r="L338" s="2219"/>
      <c r="M338" s="2219"/>
      <c r="N338" s="7" t="s">
        <v>212</v>
      </c>
      <c r="O338" s="7"/>
      <c r="P338" s="2204"/>
      <c r="Q338" s="2204"/>
      <c r="R338" s="2204"/>
      <c r="S338" s="58"/>
      <c r="T338" s="58" t="s">
        <v>93</v>
      </c>
      <c r="V338" s="58"/>
      <c r="W338" s="58"/>
      <c r="X338" s="58"/>
      <c r="Y338" s="58"/>
      <c r="AA338" s="2218" t="s">
        <v>2532</v>
      </c>
      <c r="AB338" s="2219"/>
      <c r="AC338" s="2219"/>
      <c r="AD338" s="2219"/>
      <c r="AE338" s="2219"/>
      <c r="AF338" s="2219"/>
      <c r="AG338" s="7" t="s">
        <v>212</v>
      </c>
      <c r="AH338" s="7"/>
      <c r="AI338" s="2204">
        <v>226</v>
      </c>
      <c r="AJ338" s="2204"/>
      <c r="AK338" s="2204"/>
      <c r="AL338" s="39"/>
    </row>
    <row r="339" spans="1:66" ht="12.75">
      <c r="A339" s="39"/>
      <c r="B339" s="58" t="s">
        <v>94</v>
      </c>
      <c r="C339" s="240"/>
      <c r="D339" s="240"/>
      <c r="E339" s="240"/>
      <c r="F339" s="240"/>
      <c r="G339" s="240"/>
      <c r="H339" s="2075"/>
      <c r="I339" s="2075"/>
      <c r="J339" s="2075"/>
      <c r="K339" s="2075"/>
      <c r="L339" s="2075"/>
      <c r="M339" s="2075"/>
      <c r="N339" s="60"/>
      <c r="O339" s="60"/>
      <c r="P339" s="62"/>
      <c r="Q339" s="62"/>
      <c r="R339" s="62"/>
      <c r="S339" s="58"/>
      <c r="T339" s="58" t="s">
        <v>94</v>
      </c>
      <c r="V339" s="58"/>
      <c r="W339" s="58"/>
      <c r="X339" s="58"/>
      <c r="Y339" s="58"/>
      <c r="AA339" s="2075"/>
      <c r="AB339" s="2075"/>
      <c r="AC339" s="2075"/>
      <c r="AD339" s="2075"/>
      <c r="AE339" s="2075"/>
      <c r="AF339" s="2075"/>
      <c r="AG339" s="60"/>
      <c r="AH339" s="60"/>
      <c r="AI339" s="62"/>
      <c r="AJ339" s="62"/>
      <c r="AK339" s="62"/>
      <c r="AL339" s="39"/>
    </row>
    <row r="340" spans="1:66" ht="12.75">
      <c r="A340" s="39"/>
      <c r="B340" s="58" t="s">
        <v>80</v>
      </c>
      <c r="C340" s="237"/>
      <c r="D340" s="237"/>
      <c r="E340" s="237"/>
      <c r="F340" s="237"/>
      <c r="G340" s="237"/>
      <c r="H340" s="2053" t="s">
        <v>2615</v>
      </c>
      <c r="I340" s="2053"/>
      <c r="J340" s="2053"/>
      <c r="K340" s="2053"/>
      <c r="L340" s="2053"/>
      <c r="M340" s="2053"/>
      <c r="N340" s="2050"/>
      <c r="O340" s="2050"/>
      <c r="P340" s="2050"/>
      <c r="Q340" s="2050"/>
      <c r="R340" s="2050"/>
      <c r="S340" s="58"/>
      <c r="T340" s="58" t="s">
        <v>80</v>
      </c>
      <c r="V340" s="58"/>
      <c r="W340" s="58"/>
      <c r="X340" s="58"/>
      <c r="Y340" s="58"/>
      <c r="AA340" s="2053" t="s">
        <v>2590</v>
      </c>
      <c r="AB340" s="2053"/>
      <c r="AC340" s="2053"/>
      <c r="AD340" s="2053"/>
      <c r="AE340" s="2053"/>
      <c r="AF340" s="2053"/>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626</v>
      </c>
    </row>
    <row r="343" spans="1:66" ht="12.75">
      <c r="A343" s="3"/>
      <c r="B343" s="60"/>
      <c r="C343" s="60"/>
      <c r="D343" s="60"/>
      <c r="E343" s="60"/>
      <c r="F343" s="60"/>
      <c r="G343" s="3"/>
      <c r="H343" s="88"/>
      <c r="I343" s="7" t="s">
        <v>504</v>
      </c>
      <c r="P343" s="2053"/>
      <c r="Q343" s="2053"/>
      <c r="R343" s="2053"/>
      <c r="S343" s="2053"/>
      <c r="T343" s="2053"/>
      <c r="U343" s="2053"/>
      <c r="V343" s="2053"/>
      <c r="W343" s="2053"/>
      <c r="X343" s="2053"/>
      <c r="Y343" s="2053"/>
      <c r="Z343" s="2053"/>
      <c r="AA343" s="2053"/>
      <c r="AB343" s="2053"/>
      <c r="AC343" s="2053"/>
      <c r="AD343" s="2053"/>
      <c r="AE343" s="2053"/>
      <c r="AF343" s="88"/>
      <c r="AG343" s="88"/>
      <c r="AH343" s="88"/>
      <c r="AI343" s="88"/>
      <c r="AJ343" s="88"/>
      <c r="AK343" s="88"/>
      <c r="AL343" s="39"/>
      <c r="BN343" s="12" t="s">
        <v>706</v>
      </c>
    </row>
    <row r="344" spans="1:66" ht="12.75">
      <c r="A344" s="3"/>
      <c r="B344" s="60"/>
      <c r="C344" s="60"/>
      <c r="D344" s="60"/>
      <c r="E344" s="60"/>
      <c r="F344" s="60"/>
      <c r="G344" s="3"/>
      <c r="H344" s="88"/>
      <c r="I344" s="7" t="s">
        <v>79</v>
      </c>
      <c r="P344" s="2053"/>
      <c r="Q344" s="2053"/>
      <c r="R344" s="2053"/>
      <c r="S344" s="2053"/>
      <c r="T344" s="2053"/>
      <c r="U344" s="2053"/>
      <c r="V344" s="2053"/>
      <c r="W344" s="2053"/>
      <c r="X344" s="2053"/>
      <c r="Y344" s="2053"/>
      <c r="Z344" s="2053"/>
      <c r="AA344" s="2053"/>
      <c r="AB344" s="2053"/>
      <c r="AC344" s="2053"/>
      <c r="AD344" s="2053"/>
      <c r="AE344" s="2053"/>
      <c r="AF344" s="88"/>
      <c r="AG344" s="88"/>
      <c r="AH344" s="88"/>
      <c r="AI344" s="88"/>
      <c r="AJ344" s="88"/>
      <c r="AK344" s="88"/>
      <c r="AL344" s="39"/>
      <c r="BN344" s="12" t="s">
        <v>578</v>
      </c>
    </row>
    <row r="345" spans="1:66" ht="12.75">
      <c r="A345" s="3"/>
      <c r="B345" s="60"/>
      <c r="C345" s="60"/>
      <c r="D345" s="60"/>
      <c r="E345" s="60"/>
      <c r="F345" s="60"/>
      <c r="G345" s="60"/>
      <c r="H345" s="88"/>
      <c r="I345" s="7" t="s">
        <v>92</v>
      </c>
      <c r="P345" s="2053"/>
      <c r="Q345" s="2053"/>
      <c r="R345" s="2053"/>
      <c r="S345" s="2053"/>
      <c r="T345" s="2053"/>
      <c r="U345" s="2053"/>
      <c r="V345" s="2053"/>
      <c r="W345" s="2053"/>
      <c r="X345" s="2053"/>
      <c r="Y345" s="2053"/>
      <c r="Z345" s="2053"/>
      <c r="AA345" s="2053"/>
      <c r="AB345" s="2053"/>
      <c r="AC345" s="2053"/>
      <c r="AD345" s="2053"/>
      <c r="AE345" s="2053"/>
      <c r="AF345" s="88"/>
      <c r="AG345" s="88"/>
      <c r="AH345" s="88"/>
      <c r="AI345" s="88"/>
      <c r="AJ345" s="88"/>
      <c r="AK345" s="88"/>
      <c r="AL345" s="39"/>
    </row>
    <row r="346" spans="1:66" ht="12.75">
      <c r="A346" s="3"/>
      <c r="B346" s="60"/>
      <c r="C346" s="60"/>
      <c r="D346" s="60"/>
      <c r="E346" s="60"/>
      <c r="F346" s="60"/>
      <c r="G346" s="60"/>
      <c r="H346" s="465"/>
      <c r="I346" s="7" t="s">
        <v>93</v>
      </c>
      <c r="P346" s="2075"/>
      <c r="Q346" s="2075"/>
      <c r="R346" s="2075"/>
      <c r="S346" s="2075"/>
      <c r="T346" s="2075"/>
      <c r="U346" s="2075"/>
      <c r="V346" s="2075"/>
      <c r="W346" s="2075"/>
      <c r="X346" s="2075"/>
      <c r="Y346" s="2075"/>
      <c r="Z346" s="2075"/>
      <c r="AA346" s="7" t="s">
        <v>212</v>
      </c>
      <c r="AB346" s="7"/>
      <c r="AC346" s="2041"/>
      <c r="AD346" s="2041"/>
      <c r="AE346" s="2041"/>
      <c r="AF346" s="465"/>
      <c r="AG346" s="60"/>
      <c r="AH346" s="60"/>
      <c r="AI346" s="406"/>
      <c r="AJ346" s="406"/>
      <c r="AK346" s="406"/>
      <c r="AL346" s="39"/>
    </row>
    <row r="347" spans="1:66" ht="12.75" customHeight="1">
      <c r="A347" s="3"/>
      <c r="B347" s="60"/>
      <c r="C347" s="60"/>
      <c r="D347" s="60"/>
      <c r="E347" s="60"/>
      <c r="F347" s="60"/>
      <c r="G347" s="60"/>
      <c r="H347" s="465"/>
      <c r="I347" s="7" t="s">
        <v>94</v>
      </c>
      <c r="P347" s="2075"/>
      <c r="Q347" s="2075"/>
      <c r="R347" s="2075"/>
      <c r="S347" s="2075"/>
      <c r="T347" s="2075"/>
      <c r="U347" s="2075"/>
      <c r="V347" s="2075"/>
      <c r="W347" s="2075"/>
      <c r="X347" s="2075"/>
      <c r="Y347" s="2075"/>
      <c r="Z347" s="2075"/>
      <c r="AF347" s="465"/>
      <c r="AG347" s="60"/>
      <c r="AH347" s="60"/>
      <c r="AI347" s="62"/>
      <c r="AJ347" s="62"/>
      <c r="AK347" s="62"/>
      <c r="AL347" s="39"/>
    </row>
    <row r="348" spans="1:66" ht="12.75">
      <c r="A348" s="3"/>
      <c r="B348" s="60"/>
      <c r="C348" s="406"/>
      <c r="D348" s="406"/>
      <c r="E348" s="406"/>
      <c r="F348" s="406"/>
      <c r="G348" s="406"/>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5" t="s">
        <v>575</v>
      </c>
      <c r="B350" s="2095"/>
      <c r="C350" s="2095"/>
      <c r="D350" s="2095"/>
      <c r="E350" s="2095"/>
      <c r="F350" s="2095"/>
      <c r="G350" s="2095"/>
      <c r="H350" s="2095"/>
      <c r="I350" s="2095"/>
      <c r="J350" s="2095"/>
      <c r="K350" s="2095"/>
      <c r="L350" s="2095"/>
      <c r="M350" s="2095"/>
      <c r="N350" s="2095"/>
      <c r="O350" s="2095"/>
      <c r="P350" s="2095"/>
      <c r="Q350" s="2095"/>
      <c r="R350" s="2095"/>
      <c r="S350" s="2095"/>
      <c r="T350" s="2095"/>
      <c r="U350" s="2095"/>
      <c r="V350" s="2095"/>
      <c r="W350" s="2095"/>
      <c r="X350" s="2095"/>
      <c r="Y350" s="2095"/>
      <c r="Z350" s="2095"/>
      <c r="AA350" s="2095"/>
      <c r="AB350" s="2095"/>
      <c r="AC350" s="2095"/>
      <c r="AD350" s="2095"/>
      <c r="AE350" s="2095"/>
      <c r="AF350" s="2095"/>
      <c r="AG350" s="2095"/>
      <c r="AH350" s="2095"/>
      <c r="AI350" s="2095"/>
      <c r="AJ350" s="2095"/>
      <c r="AK350" s="2095"/>
      <c r="AL350" s="2095"/>
      <c r="AM350" s="144"/>
      <c r="AN350" s="144"/>
      <c r="AO350" s="144"/>
      <c r="AP350" s="144"/>
      <c r="AQ350" s="144"/>
      <c r="AR350" s="144"/>
      <c r="AS350" s="144"/>
      <c r="AT350" s="144"/>
      <c r="AU350" s="144"/>
      <c r="AV350" s="144"/>
      <c r="AW350" s="144"/>
      <c r="AX350" s="144"/>
      <c r="AY350" s="144"/>
    </row>
    <row r="351" spans="1:66" ht="13.5" thickBot="1">
      <c r="A351" s="2096"/>
      <c r="B351" s="2096"/>
      <c r="C351" s="2096"/>
      <c r="D351" s="2096"/>
      <c r="E351" s="2096"/>
      <c r="F351" s="2096"/>
      <c r="G351" s="2096"/>
      <c r="H351" s="2096"/>
      <c r="I351" s="2096"/>
      <c r="J351" s="2096"/>
      <c r="K351" s="2096"/>
      <c r="L351" s="2096"/>
      <c r="M351" s="2096"/>
      <c r="N351" s="2096"/>
      <c r="O351" s="2096"/>
      <c r="P351" s="2096"/>
      <c r="Q351" s="2096"/>
      <c r="R351" s="2096"/>
      <c r="S351" s="2096"/>
      <c r="T351" s="2096"/>
      <c r="U351" s="2096"/>
      <c r="V351" s="2096"/>
      <c r="W351" s="2096"/>
      <c r="X351" s="2096"/>
      <c r="Y351" s="2096"/>
      <c r="Z351" s="2096"/>
      <c r="AA351" s="2096"/>
      <c r="AB351" s="2096"/>
      <c r="AC351" s="2096"/>
      <c r="AD351" s="2096"/>
      <c r="AE351" s="2096"/>
      <c r="AF351" s="2096"/>
      <c r="AG351" s="2096"/>
      <c r="AH351" s="2096"/>
      <c r="AI351" s="2096"/>
      <c r="AJ351" s="2096"/>
      <c r="AK351" s="2096"/>
      <c r="AL351" s="209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9" t="s">
        <v>578</v>
      </c>
      <c r="N354" s="2049"/>
      <c r="P354" s="12" t="s">
        <v>2001</v>
      </c>
      <c r="AJ354" s="2049" t="s">
        <v>706</v>
      </c>
      <c r="AK354" s="2049"/>
    </row>
    <row r="355" spans="1:37" ht="12.75" customHeight="1">
      <c r="D355" s="58" t="s">
        <v>1990</v>
      </c>
      <c r="M355" s="2049" t="s">
        <v>626</v>
      </c>
      <c r="N355" s="2049"/>
      <c r="P355" s="58" t="s">
        <v>2215</v>
      </c>
      <c r="AJ355" s="2145"/>
      <c r="AK355" s="2145"/>
    </row>
    <row r="356" spans="1:37" ht="12.75" customHeight="1">
      <c r="D356" s="12" t="s">
        <v>745</v>
      </c>
      <c r="M356" s="2049" t="s">
        <v>626</v>
      </c>
      <c r="N356" s="2049"/>
      <c r="P356" s="719" t="s">
        <v>2000</v>
      </c>
      <c r="AJ356" s="2049" t="s">
        <v>626</v>
      </c>
      <c r="AK356" s="2049"/>
    </row>
    <row r="357" spans="1:37" ht="12.75" customHeight="1">
      <c r="D357" s="12" t="s">
        <v>746</v>
      </c>
      <c r="M357" s="2049" t="s">
        <v>626</v>
      </c>
      <c r="N357" s="204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9" t="s">
        <v>626</v>
      </c>
      <c r="O362" s="2049"/>
      <c r="P362" s="69"/>
      <c r="Q362" s="69"/>
      <c r="R362" s="69"/>
      <c r="S362" s="69"/>
      <c r="T362" s="69"/>
      <c r="U362" s="69"/>
      <c r="V362" s="69"/>
      <c r="W362" s="69"/>
      <c r="X362" s="69"/>
      <c r="Y362" s="70"/>
      <c r="Z362" s="70"/>
      <c r="AC362" s="69"/>
      <c r="AD362" s="69"/>
      <c r="AE362" s="69"/>
    </row>
    <row r="363" spans="1:37" ht="12.75" customHeight="1">
      <c r="E363" s="12" t="s">
        <v>381</v>
      </c>
      <c r="Y363" s="2049" t="s">
        <v>626</v>
      </c>
      <c r="Z363" s="2049"/>
    </row>
    <row r="364" spans="1:37" ht="12.75" customHeight="1">
      <c r="D364" s="7" t="s">
        <v>1058</v>
      </c>
      <c r="Q364" s="2050" t="s">
        <v>626</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9" t="s">
        <v>626</v>
      </c>
      <c r="K366" s="2049"/>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747</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074"/>
      <c r="O369" s="2074"/>
      <c r="P369" s="2074"/>
      <c r="Q369" s="2074"/>
      <c r="R369" s="7"/>
      <c r="U369" s="7" t="s">
        <v>480</v>
      </c>
      <c r="V369" s="7"/>
      <c r="W369" s="7"/>
      <c r="X369" s="7"/>
      <c r="Y369" s="7"/>
      <c r="Z369" s="7"/>
      <c r="AA369" s="7"/>
      <c r="AB369" s="7"/>
      <c r="AC369" s="2074"/>
      <c r="AD369" s="2074"/>
      <c r="AE369" s="2074"/>
      <c r="AF369" s="2074"/>
    </row>
    <row r="370" spans="1:36" ht="12.75" customHeight="1">
      <c r="E370" s="7" t="s">
        <v>481</v>
      </c>
      <c r="F370" s="7"/>
      <c r="G370" s="7"/>
      <c r="H370" s="7"/>
      <c r="I370" s="7"/>
      <c r="J370" s="7"/>
      <c r="K370" s="7"/>
      <c r="L370" s="7"/>
      <c r="N370" s="2074"/>
      <c r="O370" s="2074"/>
      <c r="P370" s="2074"/>
      <c r="Q370" s="2074"/>
      <c r="R370" s="7"/>
      <c r="U370" s="7" t="s">
        <v>0</v>
      </c>
      <c r="V370" s="7"/>
      <c r="W370" s="7"/>
      <c r="X370" s="7"/>
      <c r="Y370" s="7"/>
      <c r="Z370" s="7"/>
      <c r="AA370" s="7"/>
      <c r="AB370" s="7"/>
      <c r="AC370" s="2074"/>
      <c r="AD370" s="2074"/>
      <c r="AE370" s="2074"/>
      <c r="AF370" s="2074"/>
    </row>
    <row r="371" spans="1:36" ht="12.75" customHeight="1">
      <c r="E371" s="7" t="s">
        <v>1</v>
      </c>
      <c r="F371" s="7"/>
      <c r="G371" s="7"/>
      <c r="H371" s="7"/>
      <c r="I371" s="7"/>
      <c r="J371" s="7"/>
      <c r="K371" s="7"/>
      <c r="L371" s="7"/>
      <c r="N371" s="2074"/>
      <c r="O371" s="2074"/>
      <c r="P371" s="2074"/>
      <c r="Q371" s="2074"/>
      <c r="R371" s="7"/>
      <c r="V371" s="7"/>
      <c r="W371" s="7"/>
      <c r="X371" s="7"/>
      <c r="Y371" s="7"/>
      <c r="Z371" s="7"/>
      <c r="AA371" s="7"/>
      <c r="AB371" s="7"/>
    </row>
    <row r="372" spans="1:36" ht="12.75" customHeight="1">
      <c r="E372" s="7" t="s">
        <v>2</v>
      </c>
      <c r="F372" s="7"/>
      <c r="G372" s="7"/>
      <c r="H372" s="7"/>
      <c r="I372" s="7"/>
      <c r="J372" s="7"/>
      <c r="K372" s="7"/>
      <c r="L372" s="7"/>
      <c r="N372" s="2076"/>
      <c r="O372" s="2076"/>
      <c r="P372" s="2076"/>
      <c r="Q372" s="2076"/>
      <c r="R372" s="2076"/>
      <c r="S372" s="2076"/>
      <c r="T372" s="2076"/>
      <c r="U372" s="2076"/>
      <c r="V372" s="2076"/>
      <c r="W372" s="2076"/>
      <c r="X372" s="2076"/>
      <c r="Y372" s="2076"/>
      <c r="Z372" s="2076"/>
      <c r="AA372" s="2076"/>
      <c r="AB372" s="2076"/>
      <c r="AC372" s="2076"/>
      <c r="AD372" s="2076"/>
      <c r="AE372" s="2076"/>
      <c r="AF372" s="2076"/>
    </row>
    <row r="373" spans="1:36" ht="12.75" customHeight="1">
      <c r="E373" s="7"/>
      <c r="F373" s="7"/>
      <c r="G373" s="7"/>
      <c r="H373" s="7"/>
      <c r="I373" s="7"/>
      <c r="J373" s="7"/>
      <c r="K373" s="7"/>
      <c r="L373" s="7"/>
      <c r="N373" s="2077"/>
      <c r="O373" s="2077"/>
      <c r="P373" s="2077"/>
      <c r="Q373" s="2077"/>
      <c r="R373" s="2077"/>
      <c r="S373" s="2077"/>
      <c r="T373" s="2077"/>
      <c r="U373" s="2077"/>
      <c r="V373" s="2077"/>
      <c r="W373" s="2077"/>
      <c r="X373" s="2077"/>
      <c r="Y373" s="2077"/>
      <c r="Z373" s="2077"/>
      <c r="AA373" s="2077"/>
      <c r="AB373" s="2077"/>
      <c r="AC373" s="2077"/>
      <c r="AD373" s="2077"/>
      <c r="AE373" s="2077"/>
      <c r="AF373" s="207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7"/>
      <c r="T376" s="2097"/>
      <c r="U376" s="4" t="s">
        <v>315</v>
      </c>
      <c r="V376" s="2097"/>
      <c r="W376" s="2097"/>
      <c r="Y376" s="25" t="s">
        <v>313</v>
      </c>
      <c r="AA376" s="25"/>
      <c r="AB376" s="25" t="s">
        <v>314</v>
      </c>
      <c r="AD376" s="2097"/>
      <c r="AE376" s="2097"/>
      <c r="AF376" s="4" t="s">
        <v>315</v>
      </c>
      <c r="AG376" s="2097"/>
      <c r="AH376" s="2097"/>
    </row>
    <row r="377" spans="1:36" ht="12.75" customHeight="1">
      <c r="E377" s="7" t="s">
        <v>1089</v>
      </c>
      <c r="F377" s="7"/>
      <c r="G377" s="7"/>
      <c r="H377" s="7"/>
      <c r="I377" s="7"/>
      <c r="J377" s="7"/>
      <c r="K377" s="7"/>
      <c r="L377" s="7"/>
      <c r="N377" s="2097"/>
      <c r="O377" s="2097"/>
      <c r="P377" s="2097"/>
    </row>
    <row r="378" spans="1:36" ht="12.75" customHeight="1">
      <c r="E378" s="382" t="s">
        <v>1090</v>
      </c>
      <c r="F378" s="7"/>
      <c r="G378" s="7"/>
      <c r="H378" s="7"/>
      <c r="I378" s="7"/>
      <c r="J378" s="7"/>
      <c r="K378" s="7"/>
      <c r="L378" s="7"/>
      <c r="AG378" s="2251" t="s">
        <v>626</v>
      </c>
      <c r="AH378" s="2251"/>
    </row>
    <row r="379" spans="1:36" ht="12.75" customHeight="1">
      <c r="E379" s="7"/>
      <c r="F379" s="7"/>
      <c r="G379" s="7" t="s">
        <v>1111</v>
      </c>
      <c r="H379" s="7"/>
      <c r="I379" s="7"/>
      <c r="J379" s="7"/>
      <c r="K379" s="7"/>
      <c r="L379" s="7"/>
      <c r="AG379" s="2251" t="s">
        <v>626</v>
      </c>
      <c r="AH379" s="2251"/>
    </row>
    <row r="380" spans="1:36" ht="12.75" customHeight="1">
      <c r="E380" s="7"/>
      <c r="F380" s="7"/>
      <c r="G380" s="509" t="s">
        <v>1091</v>
      </c>
      <c r="H380" s="7"/>
      <c r="I380" s="7"/>
      <c r="J380" s="7"/>
      <c r="K380" s="7"/>
      <c r="L380" s="7"/>
      <c r="V380" s="2049" t="s">
        <v>626</v>
      </c>
      <c r="W380" s="2049"/>
      <c r="Y380" s="35" t="s">
        <v>1060</v>
      </c>
    </row>
    <row r="381" spans="1:36" ht="12.75" customHeight="1">
      <c r="E381" s="7" t="s">
        <v>1061</v>
      </c>
      <c r="F381" s="7"/>
      <c r="G381" s="7"/>
      <c r="H381" s="7"/>
      <c r="I381" s="7"/>
      <c r="J381" s="7"/>
      <c r="K381" s="7"/>
      <c r="L381" s="7"/>
      <c r="V381" s="2049" t="s">
        <v>626</v>
      </c>
      <c r="W381" s="2049"/>
      <c r="Y381" s="7" t="s">
        <v>1062</v>
      </c>
    </row>
    <row r="382" spans="1:36" ht="12.75" customHeight="1"/>
    <row r="383" spans="1:36" ht="12.75" customHeight="1">
      <c r="A383" s="50" t="s">
        <v>82</v>
      </c>
      <c r="B383" s="50"/>
    </row>
    <row r="384" spans="1:36" ht="12.75" customHeight="1">
      <c r="D384" s="12" t="s">
        <v>449</v>
      </c>
      <c r="J384" s="2050" t="s">
        <v>2591</v>
      </c>
      <c r="K384" s="2050"/>
      <c r="L384" s="2050"/>
      <c r="M384" s="2050"/>
      <c r="N384" s="2050"/>
      <c r="O384" s="2050"/>
      <c r="P384" s="2050"/>
      <c r="Q384" s="2050"/>
      <c r="R384" s="2050"/>
      <c r="S384" s="2050"/>
      <c r="T384" s="2050"/>
      <c r="U384" s="2050"/>
      <c r="V384" s="14" t="s">
        <v>88</v>
      </c>
      <c r="W384" s="14"/>
      <c r="X384" s="14"/>
      <c r="Y384" s="14"/>
      <c r="Z384" s="14"/>
      <c r="AA384" s="14"/>
      <c r="AB384" s="14"/>
      <c r="AC384" s="2050" t="s">
        <v>2592</v>
      </c>
      <c r="AD384" s="2050"/>
      <c r="AE384" s="2050"/>
      <c r="AF384" s="2050"/>
      <c r="AG384" s="2050"/>
      <c r="AH384" s="2050"/>
      <c r="AI384" s="2050"/>
      <c r="AJ384" s="2050"/>
    </row>
    <row r="385" spans="1:96" ht="12.75" customHeight="1">
      <c r="A385" s="719"/>
      <c r="B385" s="719"/>
      <c r="C385" s="719"/>
      <c r="D385" s="58" t="s">
        <v>1381</v>
      </c>
      <c r="E385" s="719"/>
      <c r="F385" s="719"/>
      <c r="G385" s="719"/>
      <c r="H385" s="719"/>
      <c r="I385" s="719"/>
      <c r="J385" s="2053" t="s">
        <v>2592</v>
      </c>
      <c r="K385" s="2053"/>
      <c r="L385" s="2053"/>
      <c r="M385" s="2053"/>
      <c r="N385" s="2053"/>
      <c r="O385" s="2053"/>
      <c r="P385" s="2053"/>
      <c r="Q385" s="2053"/>
      <c r="R385" s="2053"/>
      <c r="S385" s="2053"/>
      <c r="T385" s="2053"/>
      <c r="U385" s="2053"/>
      <c r="V385" s="58" t="s">
        <v>1381</v>
      </c>
      <c r="W385" s="14"/>
      <c r="X385" s="14"/>
      <c r="Y385" s="14"/>
      <c r="Z385" s="14"/>
      <c r="AA385" s="14"/>
      <c r="AB385" s="14"/>
      <c r="AC385" s="2050" t="s">
        <v>2592</v>
      </c>
      <c r="AD385" s="2050"/>
      <c r="AE385" s="2050"/>
      <c r="AF385" s="2050"/>
      <c r="AG385" s="2050"/>
      <c r="AH385" s="2050"/>
      <c r="AI385" s="2050"/>
      <c r="AJ385" s="2050"/>
      <c r="AK385" s="719"/>
      <c r="AL385" s="719"/>
    </row>
    <row r="386" spans="1:96" ht="12.75" customHeight="1">
      <c r="A386" s="719"/>
      <c r="B386" s="719"/>
      <c r="C386" s="719"/>
      <c r="D386" s="58" t="s">
        <v>464</v>
      </c>
      <c r="E386" s="719"/>
      <c r="F386" s="719"/>
      <c r="G386" s="719"/>
      <c r="H386" s="719"/>
      <c r="I386" s="719"/>
      <c r="J386" s="2053" t="s">
        <v>2593</v>
      </c>
      <c r="K386" s="2053"/>
      <c r="L386" s="2053"/>
      <c r="M386" s="2053"/>
      <c r="N386" s="2053"/>
      <c r="O386" s="2053"/>
      <c r="P386" s="2053"/>
      <c r="Q386" s="2053"/>
      <c r="R386" s="2053"/>
      <c r="S386" s="2053"/>
      <c r="T386" s="2053"/>
      <c r="U386" s="2053"/>
      <c r="V386" s="58" t="s">
        <v>464</v>
      </c>
      <c r="W386" s="14"/>
      <c r="X386" s="14"/>
      <c r="Y386" s="14"/>
      <c r="Z386" s="14"/>
      <c r="AA386" s="14"/>
      <c r="AB386" s="14"/>
      <c r="AC386" s="2050" t="s">
        <v>2593</v>
      </c>
      <c r="AD386" s="2050"/>
      <c r="AE386" s="2050"/>
      <c r="AF386" s="2050"/>
      <c r="AG386" s="2050"/>
      <c r="AH386" s="2050"/>
      <c r="AI386" s="2050"/>
      <c r="AJ386" s="2050"/>
      <c r="AK386" s="719"/>
      <c r="AL386" s="719"/>
    </row>
    <row r="387" spans="1:96" ht="12.75" customHeight="1">
      <c r="A387" s="719"/>
      <c r="B387" s="719"/>
      <c r="C387" s="719"/>
      <c r="D387" s="479" t="s">
        <v>1377</v>
      </c>
      <c r="E387" s="719"/>
      <c r="F387" s="719"/>
      <c r="G387" s="719"/>
      <c r="H387" s="719"/>
      <c r="I387" s="88"/>
      <c r="J387" s="2070" t="s">
        <v>2599</v>
      </c>
      <c r="K387" s="2070"/>
      <c r="L387" s="2070"/>
      <c r="M387" s="2070"/>
      <c r="N387" s="2070"/>
      <c r="O387" s="2070"/>
      <c r="P387" s="2070"/>
      <c r="Q387" s="2070"/>
      <c r="R387" s="2070"/>
      <c r="S387" s="2070"/>
      <c r="T387" s="2070"/>
      <c r="U387" s="2070"/>
      <c r="V387" s="2050" t="s">
        <v>2594</v>
      </c>
      <c r="W387" s="2050"/>
      <c r="X387" s="2050"/>
      <c r="Y387" s="2050"/>
      <c r="Z387" s="2050"/>
      <c r="AA387" s="2050"/>
      <c r="AB387" s="2050"/>
      <c r="AC387" s="2050"/>
      <c r="AD387" s="2050"/>
      <c r="AE387" s="2050"/>
      <c r="AF387" s="2050"/>
      <c r="AG387" s="2050"/>
      <c r="AH387" s="2050"/>
      <c r="AI387" s="2050"/>
      <c r="AJ387" s="2050"/>
      <c r="AK387" s="719"/>
      <c r="AL387" s="719"/>
    </row>
    <row r="388" spans="1:96" ht="12.75" customHeight="1">
      <c r="D388" s="12" t="s">
        <v>4</v>
      </c>
      <c r="Q388" s="2266">
        <v>44260</v>
      </c>
      <c r="R388" s="2266"/>
      <c r="S388" s="2266"/>
      <c r="T388" s="2266"/>
      <c r="U388" s="2266"/>
      <c r="V388" s="12" t="s">
        <v>318</v>
      </c>
      <c r="AI388" s="2049" t="s">
        <v>706</v>
      </c>
      <c r="AJ388" s="2049"/>
    </row>
    <row r="389" spans="1:96" ht="12.75" customHeight="1">
      <c r="D389" s="12" t="s">
        <v>5</v>
      </c>
      <c r="Q389" s="2341">
        <v>44926</v>
      </c>
      <c r="R389" s="2383"/>
      <c r="S389" s="2383"/>
      <c r="T389" s="2383"/>
      <c r="U389" s="2383"/>
      <c r="W389" s="33" t="s">
        <v>78</v>
      </c>
      <c r="AG389" s="2072"/>
      <c r="AH389" s="2072"/>
      <c r="AI389" s="2072"/>
      <c r="AJ389" s="2072"/>
    </row>
    <row r="390" spans="1:96" ht="12.75" customHeight="1">
      <c r="D390" s="12" t="s">
        <v>448</v>
      </c>
      <c r="Q390" s="2267">
        <v>100</v>
      </c>
      <c r="R390" s="2267"/>
      <c r="S390" s="2267"/>
      <c r="T390" s="2267"/>
      <c r="U390" s="2267"/>
      <c r="V390" s="58" t="s">
        <v>1380</v>
      </c>
      <c r="AG390" s="2073">
        <v>44713</v>
      </c>
      <c r="AH390" s="2073"/>
      <c r="AI390" s="2073"/>
      <c r="AJ390" s="2073"/>
    </row>
    <row r="391" spans="1:96" ht="12.75" customHeight="1">
      <c r="D391" s="12" t="s">
        <v>93</v>
      </c>
      <c r="I391" s="2218" t="s">
        <v>2595</v>
      </c>
      <c r="J391" s="2219"/>
      <c r="K391" s="2219"/>
      <c r="L391" s="2219"/>
      <c r="M391" s="2219"/>
      <c r="N391" s="2219"/>
      <c r="Q391" s="57" t="s">
        <v>212</v>
      </c>
      <c r="S391" s="2265"/>
      <c r="T391" s="2265"/>
      <c r="U391" s="2265"/>
      <c r="V391" s="12" t="s">
        <v>77</v>
      </c>
      <c r="AI391" s="2049" t="s">
        <v>706</v>
      </c>
      <c r="AJ391" s="2049"/>
    </row>
    <row r="392" spans="1:96" ht="12.75" customHeight="1">
      <c r="D392" s="12" t="s">
        <v>319</v>
      </c>
      <c r="Q392" s="2054">
        <v>0</v>
      </c>
      <c r="R392" s="2054"/>
      <c r="S392" s="2054"/>
      <c r="T392" s="2054"/>
      <c r="U392" s="2054"/>
      <c r="V392" s="12" t="s">
        <v>320</v>
      </c>
      <c r="AG392" s="2072">
        <v>0</v>
      </c>
      <c r="AH392" s="2072"/>
      <c r="AI392" s="2072"/>
      <c r="AJ392" s="2072"/>
    </row>
    <row r="393" spans="1:96" ht="12.75" customHeight="1">
      <c r="D393" s="12" t="s">
        <v>321</v>
      </c>
      <c r="Q393" s="2222">
        <v>1.0999999999999999E-2</v>
      </c>
      <c r="R393" s="2222"/>
      <c r="S393" s="2222"/>
      <c r="T393" s="2222"/>
      <c r="U393" s="2222"/>
      <c r="V393" s="719" t="s">
        <v>1357</v>
      </c>
      <c r="AG393" s="2072">
        <v>0</v>
      </c>
      <c r="AH393" s="2072"/>
      <c r="AI393" s="2072"/>
      <c r="AJ393" s="2072"/>
    </row>
    <row r="394" spans="1:96" ht="12.75">
      <c r="D394" s="719" t="s">
        <v>1356</v>
      </c>
      <c r="V394" s="719"/>
      <c r="AG394" s="2072">
        <v>0</v>
      </c>
      <c r="AH394" s="2072"/>
      <c r="AI394" s="2072"/>
      <c r="AJ394" s="207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49" t="s">
        <v>578</v>
      </c>
      <c r="AJ396" s="2049"/>
      <c r="AM396" s="39"/>
      <c r="AN396" s="39"/>
      <c r="AO396" s="39"/>
      <c r="AP396" s="39"/>
      <c r="AQ396" s="39"/>
      <c r="AR396" s="39"/>
      <c r="AS396" s="39"/>
      <c r="AT396" s="39"/>
      <c r="AU396" s="39"/>
      <c r="AV396" s="39"/>
      <c r="AW396" s="39"/>
      <c r="AX396" s="39"/>
      <c r="AY396" s="39"/>
      <c r="CR396" s="25"/>
    </row>
    <row r="397" spans="1:96" s="719" customFormat="1" ht="12.75">
      <c r="D397" s="58" t="s">
        <v>2021</v>
      </c>
      <c r="T397" s="2115" t="s">
        <v>2591</v>
      </c>
      <c r="U397" s="2115"/>
      <c r="V397" s="2115"/>
      <c r="W397" s="2115"/>
      <c r="X397" s="2115"/>
      <c r="Y397" s="2115"/>
      <c r="Z397" s="2115"/>
      <c r="AA397" s="2115"/>
      <c r="AB397" s="2115"/>
      <c r="AC397" s="2115"/>
      <c r="AD397" s="2115"/>
      <c r="AE397" s="2115"/>
      <c r="AF397" s="2115"/>
      <c r="AG397" s="2115"/>
      <c r="AH397" s="2115"/>
      <c r="AI397" s="2115"/>
      <c r="AJ397" s="2115"/>
      <c r="AM397" s="39"/>
      <c r="AN397" s="39"/>
      <c r="AO397" s="39"/>
      <c r="AP397" s="39"/>
      <c r="AQ397" s="39"/>
      <c r="AR397" s="39"/>
      <c r="AS397" s="39"/>
      <c r="AT397" s="39"/>
      <c r="AU397" s="39"/>
      <c r="AV397" s="39"/>
      <c r="AW397" s="39"/>
      <c r="AX397" s="39"/>
      <c r="AY397" s="39"/>
      <c r="CR397" s="25"/>
    </row>
    <row r="398" spans="1:96" s="719" customFormat="1" ht="12.75">
      <c r="D398" s="58" t="s">
        <v>2020</v>
      </c>
      <c r="T398" s="2115" t="s">
        <v>2616</v>
      </c>
      <c r="U398" s="2115"/>
      <c r="V398" s="2115"/>
      <c r="W398" s="2115"/>
      <c r="X398" s="2115"/>
      <c r="Y398" s="2115"/>
      <c r="Z398" s="2115"/>
      <c r="AA398" s="2115"/>
      <c r="AB398" s="2115"/>
      <c r="AC398" s="2115"/>
      <c r="AD398" s="2115"/>
      <c r="AE398" s="2115"/>
      <c r="AF398" s="2115"/>
      <c r="AG398" s="2115"/>
      <c r="AH398" s="2115"/>
      <c r="AI398" s="2115"/>
      <c r="AJ398" s="211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115" t="s">
        <v>706</v>
      </c>
      <c r="T400" s="2115"/>
      <c r="U400" s="2115"/>
      <c r="V400" s="479" t="s">
        <v>2014</v>
      </c>
      <c r="W400" s="719"/>
      <c r="X400" s="719"/>
      <c r="Y400" s="719"/>
      <c r="Z400" s="719"/>
      <c r="AA400" s="719"/>
      <c r="AB400" s="39"/>
      <c r="AC400" s="39"/>
      <c r="AD400" s="39"/>
      <c r="AE400" s="39"/>
      <c r="AF400" s="39"/>
      <c r="AG400" s="2195"/>
      <c r="AH400" s="2195"/>
      <c r="AI400" s="2195"/>
      <c r="AJ400" s="2195"/>
      <c r="AK400" s="39"/>
      <c r="AL400" s="719"/>
    </row>
    <row r="401" spans="1:96" s="719" customFormat="1" ht="12.75">
      <c r="D401" s="58" t="s">
        <v>2010</v>
      </c>
      <c r="S401" s="2115" t="s">
        <v>626</v>
      </c>
      <c r="T401" s="2115"/>
      <c r="U401" s="2115"/>
      <c r="V401" s="479" t="s">
        <v>2016</v>
      </c>
      <c r="AB401" s="39"/>
      <c r="AC401" s="39"/>
      <c r="AD401" s="39"/>
      <c r="AE401" s="2159"/>
      <c r="AF401" s="2159"/>
      <c r="AG401" s="2159"/>
      <c r="AH401" s="2159"/>
      <c r="AI401" s="2159"/>
      <c r="AJ401" s="2159"/>
      <c r="AK401" s="39"/>
      <c r="AM401" s="39"/>
      <c r="AN401" s="39"/>
      <c r="AO401" s="39"/>
      <c r="AP401" s="39"/>
      <c r="AQ401" s="39"/>
      <c r="AR401" s="39"/>
      <c r="AS401" s="39"/>
      <c r="AT401" s="39"/>
      <c r="AU401" s="39"/>
      <c r="AV401" s="39"/>
      <c r="AW401" s="39"/>
      <c r="AX401" s="39"/>
      <c r="AY401" s="39"/>
      <c r="CR401" s="25"/>
    </row>
    <row r="402" spans="1:96" s="719" customFormat="1" ht="12.75">
      <c r="D402" s="58" t="s">
        <v>2012</v>
      </c>
      <c r="K402" s="2101"/>
      <c r="L402" s="2101"/>
      <c r="M402" s="2101"/>
      <c r="N402" s="2101"/>
      <c r="O402" s="2101"/>
      <c r="P402" s="2101"/>
      <c r="Q402" s="2101"/>
      <c r="R402" s="2101"/>
      <c r="S402" s="2101"/>
      <c r="T402" s="2101"/>
      <c r="U402" s="2101"/>
      <c r="V402" s="2101"/>
      <c r="W402" s="2101"/>
      <c r="X402" s="2101"/>
      <c r="Y402" s="2101"/>
      <c r="Z402" s="2101"/>
      <c r="AA402" s="2101"/>
      <c r="AB402" s="2101"/>
      <c r="AC402" s="2101"/>
      <c r="AD402" s="2101"/>
      <c r="AE402" s="2101"/>
      <c r="AF402" s="2101"/>
      <c r="AG402" s="2101"/>
      <c r="AH402" s="2101"/>
      <c r="AI402" s="2101"/>
      <c r="AJ402" s="2101"/>
      <c r="AK402" s="39"/>
      <c r="AM402" s="39"/>
      <c r="AN402" s="39"/>
      <c r="AO402" s="39"/>
      <c r="AP402" s="39"/>
      <c r="AQ402" s="39"/>
      <c r="AR402" s="39"/>
      <c r="AS402" s="39"/>
      <c r="AT402" s="39"/>
      <c r="AU402" s="39"/>
      <c r="AV402" s="39"/>
      <c r="AW402" s="39"/>
      <c r="AX402" s="39"/>
      <c r="AY402" s="39"/>
      <c r="CR402" s="25"/>
    </row>
    <row r="403" spans="1:96" s="719" customFormat="1" ht="12.75">
      <c r="D403" s="58" t="s">
        <v>2015</v>
      </c>
      <c r="K403" s="2101"/>
      <c r="L403" s="2101"/>
      <c r="M403" s="2101"/>
      <c r="N403" s="2101"/>
      <c r="O403" s="2101"/>
      <c r="P403" s="2101"/>
      <c r="Q403" s="2101"/>
      <c r="R403" s="2101"/>
      <c r="S403" s="2101"/>
      <c r="T403" s="2101"/>
      <c r="U403" s="2101"/>
      <c r="V403" s="2101"/>
      <c r="W403" s="2101"/>
      <c r="X403" s="2101"/>
      <c r="Y403" s="2101"/>
      <c r="Z403" s="2101"/>
      <c r="AA403" s="2101"/>
      <c r="AB403" s="2101"/>
      <c r="AC403" s="2101"/>
      <c r="AD403" s="2101"/>
      <c r="AE403" s="2101"/>
      <c r="AF403" s="2101"/>
      <c r="AG403" s="2101"/>
      <c r="AH403" s="2101"/>
      <c r="AI403" s="2101"/>
      <c r="AJ403" s="2101"/>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161" t="s">
        <v>2656</v>
      </c>
      <c r="T404" s="2161"/>
      <c r="U404" s="2161"/>
      <c r="V404" s="2161"/>
      <c r="W404" s="2161"/>
      <c r="X404" s="2161"/>
      <c r="Y404" s="2161"/>
      <c r="Z404" s="2161"/>
      <c r="AA404" s="2161"/>
      <c r="AB404" s="2161"/>
      <c r="AC404" s="2161"/>
      <c r="AD404" s="2161"/>
      <c r="AE404" s="2161"/>
      <c r="AF404" s="2161"/>
      <c r="AG404" s="2161"/>
      <c r="AH404" s="2161"/>
      <c r="AI404" s="2161"/>
      <c r="AJ404" s="2161"/>
      <c r="AK404" s="39"/>
      <c r="AL404" s="39"/>
      <c r="AM404" s="39"/>
      <c r="AN404" s="39"/>
      <c r="AO404" s="39"/>
      <c r="AP404" s="39"/>
      <c r="AQ404" s="39"/>
      <c r="AR404" s="39"/>
      <c r="AS404" s="39"/>
      <c r="AT404" s="39"/>
      <c r="AU404" s="39"/>
      <c r="AV404" s="39"/>
      <c r="AW404" s="39"/>
      <c r="AX404" s="39"/>
      <c r="AY404" s="39"/>
      <c r="CR404" s="25"/>
    </row>
    <row r="405" spans="1:96" s="719" customFormat="1" ht="12.75">
      <c r="D405" s="2160" t="s">
        <v>2017</v>
      </c>
      <c r="E405" s="2160"/>
      <c r="F405" s="2160"/>
      <c r="G405" s="2160"/>
      <c r="H405" s="2160"/>
      <c r="I405" s="2160"/>
      <c r="J405" s="2160"/>
      <c r="K405" s="2160"/>
      <c r="L405" s="2160"/>
      <c r="M405" s="2160"/>
      <c r="N405" s="2160"/>
      <c r="O405" s="2160"/>
      <c r="P405" s="2160"/>
      <c r="Q405" s="2160"/>
      <c r="R405" s="2160"/>
      <c r="S405" s="2160"/>
      <c r="T405" s="2160"/>
      <c r="U405" s="2160"/>
      <c r="V405" s="2160"/>
      <c r="W405" s="2160"/>
      <c r="X405" s="2160"/>
      <c r="Y405" s="2160"/>
      <c r="Z405" s="2160"/>
      <c r="AA405" s="2160"/>
      <c r="AB405" s="2160"/>
      <c r="AC405" s="2160"/>
      <c r="AD405" s="2160"/>
      <c r="AE405" s="2160"/>
      <c r="AF405" s="2160"/>
      <c r="AG405" s="2160"/>
      <c r="AH405" s="2160"/>
      <c r="AI405" s="2160"/>
      <c r="AJ405" s="2160"/>
      <c r="AK405" s="39"/>
      <c r="AL405" s="39"/>
      <c r="AM405" s="39"/>
      <c r="AN405" s="39"/>
      <c r="AO405" s="39"/>
      <c r="AP405" s="39"/>
      <c r="AQ405" s="39"/>
      <c r="AR405" s="39"/>
      <c r="AS405" s="39"/>
      <c r="AT405" s="39"/>
      <c r="AU405" s="39"/>
      <c r="AV405" s="39"/>
      <c r="AW405" s="39"/>
      <c r="AX405" s="39"/>
      <c r="AY405" s="39"/>
      <c r="CR405" s="25"/>
    </row>
    <row r="406" spans="1:96" s="719" customFormat="1" ht="12.75">
      <c r="D406" s="2160"/>
      <c r="E406" s="2160"/>
      <c r="F406" s="2160"/>
      <c r="G406" s="2160"/>
      <c r="H406" s="2160"/>
      <c r="I406" s="2160"/>
      <c r="J406" s="2160"/>
      <c r="K406" s="2160"/>
      <c r="L406" s="2160"/>
      <c r="M406" s="2160"/>
      <c r="N406" s="2160"/>
      <c r="O406" s="2160"/>
      <c r="P406" s="2160"/>
      <c r="Q406" s="2160"/>
      <c r="R406" s="2160"/>
      <c r="S406" s="2160"/>
      <c r="T406" s="2160"/>
      <c r="U406" s="2160"/>
      <c r="V406" s="2160"/>
      <c r="W406" s="2160"/>
      <c r="X406" s="2160"/>
      <c r="Y406" s="2160"/>
      <c r="Z406" s="2160"/>
      <c r="AA406" s="2160"/>
      <c r="AB406" s="2160"/>
      <c r="AC406" s="2160"/>
      <c r="AD406" s="2160"/>
      <c r="AE406" s="2160"/>
      <c r="AF406" s="2160"/>
      <c r="AG406" s="2160"/>
      <c r="AH406" s="2160"/>
      <c r="AI406" s="2160"/>
      <c r="AJ406" s="216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1" t="s">
        <v>2596</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19"/>
      <c r="Q410" s="719"/>
      <c r="R410" s="2049" t="s">
        <v>578</v>
      </c>
      <c r="S410" s="2049"/>
      <c r="T410" s="12" t="s">
        <v>604</v>
      </c>
      <c r="U410" s="719"/>
      <c r="V410" s="719"/>
      <c r="W410" s="719"/>
      <c r="X410" s="719"/>
      <c r="Y410" s="719"/>
      <c r="Z410" s="719"/>
      <c r="AA410" s="719"/>
      <c r="AB410" s="719"/>
      <c r="AC410" s="719"/>
      <c r="AD410" s="2074">
        <v>4</v>
      </c>
      <c r="AE410" s="2074"/>
      <c r="AF410" s="719"/>
    </row>
    <row r="411" spans="1:96" ht="12.75">
      <c r="C411" s="25"/>
      <c r="E411" s="12" t="s">
        <v>112</v>
      </c>
      <c r="F411" s="719"/>
      <c r="G411" s="719"/>
      <c r="H411" s="719"/>
      <c r="I411" s="719"/>
      <c r="J411" s="719"/>
      <c r="K411" s="719"/>
      <c r="L411" s="719"/>
      <c r="M411" s="719"/>
      <c r="N411" s="25"/>
      <c r="O411" s="25"/>
      <c r="P411" s="719"/>
      <c r="Q411" s="719"/>
      <c r="R411" s="2049" t="s">
        <v>626</v>
      </c>
      <c r="S411" s="2049"/>
      <c r="T411" s="12" t="s">
        <v>604</v>
      </c>
      <c r="U411" s="719"/>
      <c r="V411" s="719"/>
      <c r="W411" s="719"/>
      <c r="X411" s="719"/>
      <c r="Y411" s="719"/>
      <c r="Z411" s="719"/>
      <c r="AA411" s="719"/>
      <c r="AB411" s="719"/>
      <c r="AC411" s="719"/>
      <c r="AD411" s="2074">
        <v>0</v>
      </c>
      <c r="AE411" s="2074"/>
      <c r="AF411" s="719"/>
    </row>
    <row r="412" spans="1:96" ht="12.75" customHeight="1">
      <c r="C412" s="25"/>
      <c r="E412" s="12" t="s">
        <v>113</v>
      </c>
      <c r="F412" s="719"/>
      <c r="G412" s="719"/>
      <c r="H412" s="719"/>
      <c r="I412" s="719"/>
      <c r="J412" s="719"/>
      <c r="K412" s="719"/>
      <c r="L412" s="719"/>
      <c r="M412" s="719"/>
      <c r="N412" s="25"/>
      <c r="O412" s="25"/>
      <c r="P412" s="719"/>
      <c r="Q412" s="719"/>
      <c r="R412" s="719"/>
      <c r="S412" s="2049" t="s">
        <v>626</v>
      </c>
      <c r="T412" s="2049"/>
      <c r="U412" s="719"/>
      <c r="V412" s="719"/>
      <c r="W412" s="719"/>
      <c r="X412" s="719"/>
      <c r="Y412" s="719"/>
      <c r="Z412" s="719"/>
      <c r="AA412" s="719"/>
      <c r="AB412" s="719"/>
      <c r="AC412" s="719"/>
      <c r="AD412" s="719"/>
      <c r="AE412" s="719"/>
      <c r="AF412" s="719"/>
    </row>
    <row r="413" spans="1:96" ht="12.75" customHeight="1">
      <c r="E413" s="12" t="s">
        <v>175</v>
      </c>
      <c r="F413" s="719"/>
      <c r="G413" s="719"/>
      <c r="H413" s="2220" t="s">
        <v>343</v>
      </c>
      <c r="I413" s="2220"/>
      <c r="J413" s="2220"/>
      <c r="K413" s="2220"/>
      <c r="L413" s="2220"/>
      <c r="M413" s="2220"/>
      <c r="N413" s="2220"/>
      <c r="O413" s="2220"/>
      <c r="P413" s="2220"/>
      <c r="Q413" s="2220"/>
      <c r="R413" s="2220"/>
      <c r="S413" s="2220"/>
      <c r="T413" s="2220"/>
      <c r="U413" s="2220"/>
      <c r="V413" s="2220"/>
      <c r="W413" s="2220"/>
      <c r="X413" s="2220"/>
      <c r="Y413" s="2220"/>
      <c r="Z413" s="2220"/>
      <c r="AA413" s="2220"/>
      <c r="AB413" s="2220"/>
      <c r="AC413" s="2220"/>
      <c r="AD413" s="2220"/>
      <c r="AE413" s="2220"/>
      <c r="AF413" s="719"/>
    </row>
    <row r="414" spans="1:96" ht="12.75" customHeight="1">
      <c r="E414" s="25"/>
      <c r="F414" s="719"/>
      <c r="G414" s="719"/>
      <c r="H414" s="2221"/>
      <c r="I414" s="2221"/>
      <c r="J414" s="2221"/>
      <c r="K414" s="2221"/>
      <c r="L414" s="2221"/>
      <c r="M414" s="2221"/>
      <c r="N414" s="2221"/>
      <c r="O414" s="2221"/>
      <c r="P414" s="2221"/>
      <c r="Q414" s="2221"/>
      <c r="R414" s="2221"/>
      <c r="S414" s="2221"/>
      <c r="T414" s="2221"/>
      <c r="U414" s="2221"/>
      <c r="V414" s="2221"/>
      <c r="W414" s="2221"/>
      <c r="X414" s="2221"/>
      <c r="Y414" s="2221"/>
      <c r="Z414" s="2221"/>
      <c r="AA414" s="2221"/>
      <c r="AB414" s="2221"/>
      <c r="AC414" s="2221"/>
      <c r="AD414" s="2221"/>
      <c r="AE414" s="2221"/>
      <c r="AF414" s="719"/>
    </row>
    <row r="415" spans="1:96" ht="12.75" customHeight="1"/>
    <row r="416" spans="1:96" ht="12.75" customHeight="1">
      <c r="A416" s="50" t="s">
        <v>625</v>
      </c>
      <c r="B416" s="50"/>
      <c r="C416" s="50"/>
      <c r="D416" s="50" t="s">
        <v>119</v>
      </c>
      <c r="AF416" s="50" t="s">
        <v>1036</v>
      </c>
    </row>
    <row r="417" spans="1:96" ht="12.75" customHeight="1">
      <c r="E417" s="2097"/>
      <c r="F417" s="2097"/>
      <c r="G417" s="2097"/>
      <c r="H417" s="23" t="s">
        <v>120</v>
      </c>
      <c r="I417" s="2097"/>
      <c r="J417" s="2097"/>
      <c r="K417" s="2097"/>
      <c r="L417" s="12" t="s">
        <v>121</v>
      </c>
      <c r="N417" s="141" t="s">
        <v>610</v>
      </c>
      <c r="P417" s="2264">
        <v>2.66</v>
      </c>
      <c r="Q417" s="2264"/>
      <c r="R417" s="2264"/>
      <c r="S417" s="12" t="s">
        <v>122</v>
      </c>
      <c r="W417" s="2086">
        <f>IF(E417&gt;0,(E417*I417),(P417*43560))</f>
        <v>115869.6</v>
      </c>
      <c r="X417" s="2086"/>
      <c r="Y417" s="2086"/>
      <c r="Z417" s="12" t="s">
        <v>123</v>
      </c>
      <c r="AF417" s="2270">
        <f>IF(P417&gt;0,(AG436/P417),(AG436/(W417/43560)))</f>
        <v>56.390977443609017</v>
      </c>
      <c r="AG417" s="2270"/>
      <c r="AH417" s="2270"/>
      <c r="AM417" s="239"/>
    </row>
    <row r="418" spans="1:96" ht="12.75">
      <c r="E418" s="12" t="s">
        <v>54</v>
      </c>
    </row>
    <row r="419" spans="1:96" ht="12.75" customHeight="1">
      <c r="E419" s="2134"/>
      <c r="F419" s="2134"/>
      <c r="G419" s="2134"/>
      <c r="H419" s="2134"/>
      <c r="I419" s="2134"/>
      <c r="J419" s="2134"/>
      <c r="K419" s="2134"/>
      <c r="L419" s="2134"/>
      <c r="M419" s="2134"/>
      <c r="N419" s="2134"/>
      <c r="O419" s="2134"/>
      <c r="P419" s="2134"/>
      <c r="Q419" s="2134"/>
      <c r="R419" s="2134"/>
      <c r="S419" s="2134"/>
      <c r="T419" s="2134"/>
      <c r="U419" s="2134"/>
      <c r="V419" s="2134"/>
      <c r="W419" s="2134"/>
      <c r="X419" s="2134"/>
      <c r="Y419" s="2134"/>
      <c r="Z419" s="2134"/>
      <c r="AA419" s="2134"/>
      <c r="AB419" s="2134"/>
      <c r="AC419" s="2134"/>
      <c r="AD419" s="2134"/>
      <c r="AE419" s="2134"/>
      <c r="AF419" s="2134"/>
      <c r="AG419" s="2134"/>
      <c r="AH419" s="2134"/>
      <c r="AI419" s="2134"/>
      <c r="AJ419" s="2134"/>
    </row>
    <row r="420" spans="1:96" s="39" customFormat="1" ht="12.75" customHeight="1">
      <c r="E420" s="254" t="s">
        <v>2232</v>
      </c>
      <c r="F420" s="1806"/>
      <c r="G420" s="1806"/>
      <c r="H420" s="1806"/>
      <c r="I420" s="2388">
        <v>2.0459999999999998</v>
      </c>
      <c r="J420" s="2388"/>
      <c r="K420" s="2388"/>
      <c r="L420" s="1806"/>
      <c r="M420" s="254"/>
      <c r="N420" s="1806"/>
      <c r="O420" s="1806"/>
      <c r="P420" s="2424">
        <f>(CS637+CS645+CS661)/I420</f>
        <v>80.645161290322591</v>
      </c>
      <c r="Q420" s="2424"/>
      <c r="R420" s="2424"/>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9">
        <v>1</v>
      </c>
      <c r="Q423" s="2049"/>
      <c r="S423" s="12" t="s">
        <v>195</v>
      </c>
      <c r="AE423" s="2049">
        <v>1</v>
      </c>
      <c r="AF423" s="2049"/>
    </row>
    <row r="424" spans="1:96" ht="12.75">
      <c r="E424" s="12" t="s">
        <v>196</v>
      </c>
      <c r="P424" s="2049">
        <v>0</v>
      </c>
      <c r="Q424" s="2049"/>
      <c r="S424" s="12" t="s">
        <v>136</v>
      </c>
      <c r="AE424" s="2049" t="s">
        <v>626</v>
      </c>
      <c r="AF424" s="2049"/>
    </row>
    <row r="425" spans="1:96" ht="12.75">
      <c r="F425" s="67" t="s">
        <v>137</v>
      </c>
    </row>
    <row r="426" spans="1:96" ht="12.75">
      <c r="F426" s="2098"/>
      <c r="G426" s="2098"/>
      <c r="H426" s="2098"/>
      <c r="I426" s="2098"/>
      <c r="J426" s="2098"/>
      <c r="K426" s="2098"/>
      <c r="L426" s="2098"/>
      <c r="M426" s="2098"/>
      <c r="N426" s="2098"/>
      <c r="O426" s="2098"/>
      <c r="P426" s="2098"/>
      <c r="Q426" s="2098"/>
      <c r="R426" s="2098"/>
      <c r="S426" s="2098"/>
      <c r="T426" s="2098"/>
      <c r="U426" s="2098"/>
      <c r="V426" s="2098"/>
      <c r="W426" s="2098"/>
      <c r="X426" s="2098"/>
      <c r="Y426" s="2098"/>
      <c r="Z426" s="2098"/>
      <c r="AA426" s="2098"/>
      <c r="AB426" s="2098"/>
      <c r="AC426" s="2098"/>
      <c r="AD426" s="2098"/>
      <c r="AE426" s="2098"/>
      <c r="AF426" s="2098"/>
      <c r="AG426" s="2098"/>
      <c r="AH426" s="2098"/>
    </row>
    <row r="427" spans="1:96" ht="12.75" customHeight="1">
      <c r="F427" s="2099"/>
      <c r="G427" s="2099"/>
      <c r="H427" s="2099"/>
      <c r="I427" s="2099"/>
      <c r="J427" s="2099"/>
      <c r="K427" s="2099"/>
      <c r="L427" s="2099"/>
      <c r="M427" s="2099"/>
      <c r="N427" s="2099"/>
      <c r="O427" s="2099"/>
      <c r="P427" s="2099"/>
      <c r="Q427" s="2099"/>
      <c r="R427" s="2099"/>
      <c r="S427" s="2099"/>
      <c r="T427" s="2099"/>
      <c r="U427" s="2099"/>
      <c r="V427" s="2099"/>
      <c r="W427" s="2099"/>
      <c r="X427" s="2099"/>
      <c r="Y427" s="2099"/>
      <c r="Z427" s="2099"/>
      <c r="AA427" s="2099"/>
      <c r="AB427" s="2099"/>
      <c r="AC427" s="2099"/>
      <c r="AD427" s="2099"/>
      <c r="AE427" s="2099"/>
      <c r="AF427" s="2099"/>
      <c r="AG427" s="2099"/>
      <c r="AH427" s="2099"/>
    </row>
    <row r="428" spans="1:96" ht="12.75" customHeight="1">
      <c r="E428" s="12" t="s">
        <v>643</v>
      </c>
      <c r="N428" s="39"/>
      <c r="O428" s="39"/>
      <c r="P428" s="235"/>
      <c r="Q428" s="2049" t="s">
        <v>578</v>
      </c>
      <c r="R428" s="204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9" t="s">
        <v>626</v>
      </c>
      <c r="AG429" s="2117"/>
    </row>
    <row r="430" spans="1:96" ht="12.75" customHeight="1">
      <c r="S430" s="25"/>
      <c r="T430" s="25"/>
    </row>
    <row r="431" spans="1:96" ht="12.75" customHeight="1">
      <c r="A431" s="50"/>
      <c r="B431" s="50"/>
      <c r="C431" s="50"/>
      <c r="E431" s="7" t="s">
        <v>317</v>
      </c>
      <c r="Z431" s="2049" t="s">
        <v>706</v>
      </c>
      <c r="AA431" s="204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9" t="s">
        <v>626</v>
      </c>
      <c r="AA433" s="2049"/>
    </row>
    <row r="434" spans="1:110" ht="12.75" customHeight="1"/>
    <row r="435" spans="1:110" ht="12.75" customHeight="1">
      <c r="A435" s="50" t="s">
        <v>500</v>
      </c>
      <c r="B435" s="50"/>
      <c r="C435" s="50"/>
      <c r="D435" s="50" t="s">
        <v>822</v>
      </c>
      <c r="AF435" s="80"/>
    </row>
    <row r="436" spans="1:110" ht="12.75" customHeight="1">
      <c r="D436" s="2083" t="s">
        <v>46</v>
      </c>
      <c r="E436" s="2081"/>
      <c r="F436" s="2081"/>
      <c r="G436" s="2081"/>
      <c r="H436" s="2081"/>
      <c r="I436" s="2081"/>
      <c r="J436" s="2081"/>
      <c r="K436" s="2081"/>
      <c r="L436" s="2081"/>
      <c r="M436" s="2081"/>
      <c r="N436" s="2081"/>
      <c r="O436" s="2081"/>
      <c r="P436" s="2081"/>
      <c r="Q436" s="2081"/>
      <c r="R436" s="2081"/>
      <c r="S436" s="2081"/>
      <c r="T436" s="2081"/>
      <c r="U436" s="2081"/>
      <c r="V436" s="2081"/>
      <c r="W436" s="2081"/>
      <c r="X436" s="2081"/>
      <c r="Y436" s="2081"/>
      <c r="Z436" s="2081"/>
      <c r="AA436" s="2081"/>
      <c r="AB436" s="2081"/>
      <c r="AC436" s="2081"/>
      <c r="AD436" s="2081"/>
      <c r="AE436" s="2081"/>
      <c r="AF436" s="2082"/>
      <c r="AG436" s="2066">
        <v>150</v>
      </c>
      <c r="AH436" s="2066"/>
      <c r="AI436" s="2066"/>
      <c r="AJ436" s="2066"/>
    </row>
    <row r="437" spans="1:110" ht="12.75" customHeight="1">
      <c r="D437" s="2032" t="s">
        <v>1436</v>
      </c>
      <c r="E437" s="2033"/>
      <c r="F437" s="2033"/>
      <c r="G437" s="2033"/>
      <c r="H437" s="2033"/>
      <c r="I437" s="2033"/>
      <c r="J437" s="2033"/>
      <c r="K437" s="2033"/>
      <c r="L437" s="2033"/>
      <c r="M437" s="2033"/>
      <c r="N437" s="2033"/>
      <c r="O437" s="2033"/>
      <c r="P437" s="2033"/>
      <c r="Q437" s="2033"/>
      <c r="R437" s="2033"/>
      <c r="S437" s="2033"/>
      <c r="T437" s="2033"/>
      <c r="U437" s="2033"/>
      <c r="V437" s="2033"/>
      <c r="W437" s="2033"/>
      <c r="X437" s="2033"/>
      <c r="Y437" s="2033"/>
      <c r="Z437" s="2033"/>
      <c r="AA437" s="2033"/>
      <c r="AB437" s="2033"/>
      <c r="AC437" s="2033"/>
      <c r="AD437" s="2033"/>
      <c r="AE437" s="2033"/>
      <c r="AF437" s="2034"/>
      <c r="AG437" s="2093"/>
      <c r="AH437" s="2094"/>
      <c r="AI437" s="2094"/>
      <c r="AJ437" s="2094"/>
    </row>
    <row r="438" spans="1:110" ht="12.75" customHeight="1">
      <c r="D438" s="2032" t="s">
        <v>1144</v>
      </c>
      <c r="E438" s="2033"/>
      <c r="F438" s="2033"/>
      <c r="G438" s="2033"/>
      <c r="H438" s="2033"/>
      <c r="I438" s="2033"/>
      <c r="J438" s="2033"/>
      <c r="K438" s="2033"/>
      <c r="L438" s="2033"/>
      <c r="M438" s="2033"/>
      <c r="N438" s="2033"/>
      <c r="O438" s="2033"/>
      <c r="P438" s="2033"/>
      <c r="Q438" s="2033"/>
      <c r="R438" s="2033"/>
      <c r="S438" s="2033"/>
      <c r="T438" s="2033"/>
      <c r="U438" s="2033"/>
      <c r="V438" s="2033"/>
      <c r="W438" s="2033"/>
      <c r="X438" s="2033"/>
      <c r="Y438" s="2033"/>
      <c r="Z438" s="2033"/>
      <c r="AA438" s="2033"/>
      <c r="AB438" s="2033"/>
      <c r="AC438" s="2033"/>
      <c r="AD438" s="2033"/>
      <c r="AE438" s="2033"/>
      <c r="AF438" s="2034"/>
      <c r="AG438" s="2066">
        <v>149</v>
      </c>
      <c r="AH438" s="2066"/>
      <c r="AI438" s="2066"/>
      <c r="AJ438" s="2066"/>
    </row>
    <row r="439" spans="1:110" ht="12.75" customHeight="1">
      <c r="D439" s="2032" t="s">
        <v>1145</v>
      </c>
      <c r="E439" s="2033"/>
      <c r="F439" s="2033"/>
      <c r="G439" s="2033"/>
      <c r="H439" s="2033"/>
      <c r="I439" s="2033"/>
      <c r="J439" s="2033"/>
      <c r="K439" s="2033"/>
      <c r="L439" s="2033"/>
      <c r="M439" s="2033"/>
      <c r="N439" s="2033"/>
      <c r="O439" s="2033"/>
      <c r="P439" s="2033"/>
      <c r="Q439" s="2033"/>
      <c r="R439" s="2033"/>
      <c r="S439" s="2033"/>
      <c r="T439" s="2033"/>
      <c r="U439" s="2033"/>
      <c r="V439" s="2033"/>
      <c r="W439" s="2033"/>
      <c r="X439" s="2033"/>
      <c r="Y439" s="2033"/>
      <c r="Z439" s="2033"/>
      <c r="AA439" s="2033"/>
      <c r="AB439" s="2033"/>
      <c r="AC439" s="2033"/>
      <c r="AD439" s="2033"/>
      <c r="AE439" s="2033"/>
      <c r="AF439" s="2034"/>
      <c r="AG439" s="2066">
        <v>149</v>
      </c>
      <c r="AH439" s="2066"/>
      <c r="AI439" s="2066"/>
      <c r="AJ439" s="2066"/>
    </row>
    <row r="440" spans="1:110" ht="12.75" customHeight="1">
      <c r="D440" s="2032" t="s">
        <v>1147</v>
      </c>
      <c r="E440" s="2033"/>
      <c r="F440" s="2033"/>
      <c r="G440" s="2033"/>
      <c r="H440" s="2033"/>
      <c r="I440" s="2033"/>
      <c r="J440" s="2033"/>
      <c r="K440" s="2033"/>
      <c r="L440" s="2033"/>
      <c r="M440" s="2033"/>
      <c r="N440" s="2033"/>
      <c r="O440" s="2033"/>
      <c r="P440" s="2033"/>
      <c r="Q440" s="2033"/>
      <c r="R440" s="2033"/>
      <c r="S440" s="2033"/>
      <c r="T440" s="2033"/>
      <c r="U440" s="2033"/>
      <c r="V440" s="2033"/>
      <c r="W440" s="2033"/>
      <c r="X440" s="2033"/>
      <c r="Y440" s="2033"/>
      <c r="Z440" s="2033"/>
      <c r="AA440" s="2033"/>
      <c r="AB440" s="2033"/>
      <c r="AC440" s="2033"/>
      <c r="AD440" s="2033"/>
      <c r="AE440" s="2033"/>
      <c r="AF440" s="2034"/>
      <c r="AG440" s="2085">
        <f>IF(ISERROR(AG439/AG438),"",AG439/AG438)</f>
        <v>1</v>
      </c>
      <c r="AH440" s="2085"/>
      <c r="AI440" s="2085"/>
      <c r="AJ440" s="2085"/>
    </row>
    <row r="441" spans="1:110" ht="12.75" customHeight="1">
      <c r="D441" s="2032" t="s">
        <v>1146</v>
      </c>
      <c r="E441" s="2033"/>
      <c r="F441" s="2033"/>
      <c r="G441" s="2033"/>
      <c r="H441" s="2033"/>
      <c r="I441" s="2033"/>
      <c r="J441" s="2033"/>
      <c r="K441" s="2033"/>
      <c r="L441" s="2033"/>
      <c r="M441" s="2033"/>
      <c r="N441" s="2033"/>
      <c r="O441" s="2033"/>
      <c r="P441" s="2033"/>
      <c r="Q441" s="2033"/>
      <c r="R441" s="2033"/>
      <c r="S441" s="2033"/>
      <c r="T441" s="2033"/>
      <c r="U441" s="2033"/>
      <c r="V441" s="2033"/>
      <c r="W441" s="2033"/>
      <c r="X441" s="2033"/>
      <c r="Y441" s="2033"/>
      <c r="Z441" s="2033"/>
      <c r="AA441" s="2033"/>
      <c r="AB441" s="2033"/>
      <c r="AC441" s="2033"/>
      <c r="AD441" s="2033"/>
      <c r="AE441" s="2033"/>
      <c r="AF441" s="2034"/>
      <c r="AG441" s="2084">
        <v>88284</v>
      </c>
      <c r="AH441" s="2084"/>
      <c r="AI441" s="2084"/>
      <c r="AJ441" s="2084"/>
    </row>
    <row r="442" spans="1:110" ht="12.75" customHeight="1">
      <c r="D442" s="2032" t="s">
        <v>1148</v>
      </c>
      <c r="E442" s="2033"/>
      <c r="F442" s="2033"/>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34"/>
      <c r="AG442" s="2084">
        <v>88284</v>
      </c>
      <c r="AH442" s="2084"/>
      <c r="AI442" s="2084"/>
      <c r="AJ442" s="2084"/>
    </row>
    <row r="443" spans="1:110" ht="12.75" customHeight="1">
      <c r="D443" s="2032" t="s">
        <v>1149</v>
      </c>
      <c r="E443" s="2033"/>
      <c r="F443" s="2033"/>
      <c r="G443" s="2033"/>
      <c r="H443" s="2033"/>
      <c r="I443" s="2033"/>
      <c r="J443" s="2033"/>
      <c r="K443" s="2033"/>
      <c r="L443" s="2033"/>
      <c r="M443" s="2033"/>
      <c r="N443" s="2033"/>
      <c r="O443" s="2033"/>
      <c r="P443" s="2033"/>
      <c r="Q443" s="2033"/>
      <c r="R443" s="2033"/>
      <c r="S443" s="2033"/>
      <c r="T443" s="2033"/>
      <c r="U443" s="2033"/>
      <c r="V443" s="2033"/>
      <c r="W443" s="2033"/>
      <c r="X443" s="2033"/>
      <c r="Y443" s="2033"/>
      <c r="Z443" s="2033"/>
      <c r="AA443" s="2033"/>
      <c r="AB443" s="2033"/>
      <c r="AC443" s="2033"/>
      <c r="AD443" s="2033"/>
      <c r="AE443" s="2033"/>
      <c r="AF443" s="2034"/>
      <c r="AG443" s="2085">
        <f>IF(ISERROR(AG442/AG441),"",AG442/AG441)</f>
        <v>1</v>
      </c>
      <c r="AH443" s="2085"/>
      <c r="AI443" s="2085"/>
      <c r="AJ443" s="2085"/>
    </row>
    <row r="444" spans="1:110" ht="12.75" customHeight="1">
      <c r="D444" s="2032" t="s">
        <v>1150</v>
      </c>
      <c r="E444" s="2033"/>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2034"/>
      <c r="AG444" s="2085">
        <f>MIN(IF(AG440&gt;AG443,AG443,AG440),1)</f>
        <v>1</v>
      </c>
      <c r="AH444" s="2085"/>
      <c r="AI444" s="2085"/>
      <c r="AJ444" s="2085"/>
    </row>
    <row r="445" spans="1:110" ht="12.75" customHeight="1">
      <c r="D445" s="2032" t="s">
        <v>1411</v>
      </c>
      <c r="E445" s="2081"/>
      <c r="F445" s="2081"/>
      <c r="G445" s="2081"/>
      <c r="H445" s="2081"/>
      <c r="I445" s="2081"/>
      <c r="J445" s="2081"/>
      <c r="K445" s="2081"/>
      <c r="L445" s="2081"/>
      <c r="M445" s="2081"/>
      <c r="N445" s="2081"/>
      <c r="O445" s="2081"/>
      <c r="P445" s="2081"/>
      <c r="Q445" s="2081"/>
      <c r="R445" s="2081"/>
      <c r="S445" s="2081"/>
      <c r="T445" s="2081"/>
      <c r="U445" s="2081"/>
      <c r="V445" s="2081"/>
      <c r="W445" s="2081"/>
      <c r="X445" s="2081"/>
      <c r="Y445" s="2081"/>
      <c r="Z445" s="2081"/>
      <c r="AA445" s="2081"/>
      <c r="AB445" s="2081"/>
      <c r="AC445" s="2081"/>
      <c r="AD445" s="2081"/>
      <c r="AE445" s="2081"/>
      <c r="AF445" s="2082"/>
      <c r="AG445" s="2084">
        <v>4048</v>
      </c>
      <c r="AH445" s="2084"/>
      <c r="AI445" s="2084"/>
      <c r="AJ445" s="2084"/>
    </row>
    <row r="446" spans="1:110" ht="12.75" customHeight="1">
      <c r="D446" s="2083" t="s">
        <v>602</v>
      </c>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2082"/>
      <c r="AG446" s="2084">
        <v>0</v>
      </c>
      <c r="AH446" s="2084"/>
      <c r="AI446" s="2084"/>
      <c r="AJ446" s="20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032" t="s">
        <v>1412</v>
      </c>
      <c r="E447" s="2081"/>
      <c r="F447" s="2081"/>
      <c r="G447" s="2081"/>
      <c r="H447" s="2081"/>
      <c r="I447" s="2081"/>
      <c r="J447" s="2081"/>
      <c r="K447" s="2081"/>
      <c r="L447" s="2081"/>
      <c r="M447" s="2081"/>
      <c r="N447" s="2081"/>
      <c r="O447" s="2081"/>
      <c r="P447" s="2081"/>
      <c r="Q447" s="2081"/>
      <c r="R447" s="2081"/>
      <c r="S447" s="2081"/>
      <c r="T447" s="2081"/>
      <c r="U447" s="2081"/>
      <c r="V447" s="2081"/>
      <c r="W447" s="2081"/>
      <c r="X447" s="2081"/>
      <c r="Y447" s="2081"/>
      <c r="Z447" s="2081"/>
      <c r="AA447" s="2081"/>
      <c r="AB447" s="2081"/>
      <c r="AC447" s="2081"/>
      <c r="AD447" s="2081"/>
      <c r="AE447" s="2081"/>
      <c r="AF447" s="2082"/>
      <c r="AG447" s="2084">
        <v>31566</v>
      </c>
      <c r="AH447" s="2084"/>
      <c r="AI447" s="2084"/>
      <c r="AJ447" s="20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32" t="s">
        <v>1151</v>
      </c>
      <c r="E448" s="2081"/>
      <c r="F448" s="2081"/>
      <c r="G448" s="2081"/>
      <c r="H448" s="2081"/>
      <c r="I448" s="2081"/>
      <c r="J448" s="2081"/>
      <c r="K448" s="2081"/>
      <c r="L448" s="2081"/>
      <c r="M448" s="2081"/>
      <c r="N448" s="2081"/>
      <c r="O448" s="2081"/>
      <c r="P448" s="2081"/>
      <c r="Q448" s="2081"/>
      <c r="R448" s="2081"/>
      <c r="S448" s="2081"/>
      <c r="T448" s="2081"/>
      <c r="U448" s="2081"/>
      <c r="V448" s="2081"/>
      <c r="W448" s="2081"/>
      <c r="X448" s="2081"/>
      <c r="Y448" s="2081"/>
      <c r="Z448" s="2081"/>
      <c r="AA448" s="2081"/>
      <c r="AB448" s="2081"/>
      <c r="AC448" s="2081"/>
      <c r="AD448" s="2081"/>
      <c r="AE448" s="2081"/>
      <c r="AF448" s="2082"/>
      <c r="AG448" s="2084">
        <v>0</v>
      </c>
      <c r="AH448" s="2084"/>
      <c r="AI448" s="2084"/>
      <c r="AJ448" s="20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9" t="s">
        <v>1152</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13">
        <f>AG441+AG445+AG447+AG448</f>
        <v>123898</v>
      </c>
      <c r="AH449" s="2113"/>
      <c r="AI449" s="2113"/>
      <c r="AJ449" s="211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2" t="s">
        <v>1413</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4">
        <f>'Sources and Uses Budget'!B105/Application!AG436</f>
        <v>353816.16</v>
      </c>
      <c r="AD453" s="2114"/>
      <c r="AE453" s="2114"/>
      <c r="AF453" s="21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4">
        <f>'Sources and Uses Budget'!C105/Application!AG436</f>
        <v>353816.16</v>
      </c>
      <c r="AD454" s="2114"/>
      <c r="AE454" s="2114"/>
      <c r="AF454" s="21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4">
        <f>('Sources and Uses Budget'!$S$107+'Sources and Uses Budget'!$T$107)/Application!AG436</f>
        <v>310206.51333333331</v>
      </c>
      <c r="AD455" s="2114"/>
      <c r="AE455" s="2114"/>
      <c r="AF455" s="21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12" t="s">
        <v>731</v>
      </c>
      <c r="E464" s="2110"/>
      <c r="F464" s="2110"/>
      <c r="G464" s="2110"/>
      <c r="H464" s="2110"/>
      <c r="I464" s="2110"/>
      <c r="J464" s="2110"/>
      <c r="K464" s="2110"/>
      <c r="L464" s="2110"/>
      <c r="M464" s="2110"/>
      <c r="N464" s="2110"/>
      <c r="O464" s="2110"/>
      <c r="P464" s="2110"/>
      <c r="Q464" s="2110"/>
      <c r="R464" s="2110"/>
      <c r="S464" s="2110"/>
      <c r="T464" s="2110"/>
      <c r="U464" s="2110"/>
      <c r="V464" s="2111"/>
      <c r="W464" s="2119" t="s">
        <v>626</v>
      </c>
      <c r="X464" s="2107"/>
      <c r="Y464" s="21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12" t="s">
        <v>732</v>
      </c>
      <c r="E465" s="2110"/>
      <c r="F465" s="2110"/>
      <c r="G465" s="2110"/>
      <c r="H465" s="2110"/>
      <c r="I465" s="2110"/>
      <c r="J465" s="2110"/>
      <c r="K465" s="2110"/>
      <c r="L465" s="2110"/>
      <c r="M465" s="2110"/>
      <c r="N465" s="2110"/>
      <c r="O465" s="2110"/>
      <c r="P465" s="2110"/>
      <c r="Q465" s="2110"/>
      <c r="R465" s="2110"/>
      <c r="S465" s="2110"/>
      <c r="T465" s="2110"/>
      <c r="U465" s="2110"/>
      <c r="V465" s="2111"/>
      <c r="W465" s="2119" t="s">
        <v>626</v>
      </c>
      <c r="X465" s="2107"/>
      <c r="Y465" s="21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12" t="s">
        <v>733</v>
      </c>
      <c r="E466" s="2110"/>
      <c r="F466" s="2110"/>
      <c r="G466" s="2110"/>
      <c r="H466" s="2110"/>
      <c r="I466" s="2110"/>
      <c r="J466" s="2110"/>
      <c r="K466" s="2110"/>
      <c r="L466" s="2110"/>
      <c r="M466" s="2110"/>
      <c r="N466" s="2110"/>
      <c r="O466" s="2110"/>
      <c r="P466" s="2110"/>
      <c r="Q466" s="2110"/>
      <c r="R466" s="2110"/>
      <c r="S466" s="2110"/>
      <c r="T466" s="2110"/>
      <c r="U466" s="2110"/>
      <c r="V466" s="2111"/>
      <c r="W466" s="2119" t="s">
        <v>626</v>
      </c>
      <c r="X466" s="2107"/>
      <c r="Y466" s="21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2" t="s">
        <v>734</v>
      </c>
      <c r="E467" s="2110"/>
      <c r="F467" s="2110"/>
      <c r="G467" s="2110"/>
      <c r="H467" s="2110"/>
      <c r="I467" s="2110"/>
      <c r="J467" s="2110"/>
      <c r="K467" s="2110"/>
      <c r="L467" s="2110"/>
      <c r="M467" s="2110"/>
      <c r="N467" s="2110"/>
      <c r="O467" s="2110"/>
      <c r="P467" s="2110"/>
      <c r="Q467" s="2110"/>
      <c r="R467" s="2110"/>
      <c r="S467" s="2110"/>
      <c r="T467" s="2110"/>
      <c r="U467" s="2110"/>
      <c r="V467" s="2111"/>
      <c r="W467" s="2119" t="s">
        <v>626</v>
      </c>
      <c r="X467" s="2107"/>
      <c r="Y467" s="21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2" t="s">
        <v>946</v>
      </c>
      <c r="E468" s="2110"/>
      <c r="F468" s="2110"/>
      <c r="G468" s="2110"/>
      <c r="H468" s="2110"/>
      <c r="I468" s="2110"/>
      <c r="J468" s="2110"/>
      <c r="K468" s="2110"/>
      <c r="L468" s="2110"/>
      <c r="M468" s="2110"/>
      <c r="N468" s="2110"/>
      <c r="O468" s="2110"/>
      <c r="P468" s="2110"/>
      <c r="Q468" s="2110"/>
      <c r="R468" s="2110"/>
      <c r="S468" s="2110"/>
      <c r="T468" s="2110"/>
      <c r="U468" s="2110"/>
      <c r="V468" s="2111"/>
      <c r="W468" s="2119" t="s">
        <v>626</v>
      </c>
      <c r="X468" s="2107"/>
      <c r="Y468" s="21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12" t="s">
        <v>735</v>
      </c>
      <c r="E469" s="2110"/>
      <c r="F469" s="2110"/>
      <c r="G469" s="2110"/>
      <c r="H469" s="2110"/>
      <c r="I469" s="2110"/>
      <c r="J469" s="2110"/>
      <c r="K469" s="2110"/>
      <c r="L469" s="2110"/>
      <c r="M469" s="2110"/>
      <c r="N469" s="2110"/>
      <c r="O469" s="2110"/>
      <c r="P469" s="2110"/>
      <c r="Q469" s="2110"/>
      <c r="R469" s="2110"/>
      <c r="S469" s="2110"/>
      <c r="T469" s="2110"/>
      <c r="U469" s="2110"/>
      <c r="V469" s="2111"/>
      <c r="W469" s="2119" t="s">
        <v>626</v>
      </c>
      <c r="X469" s="2107"/>
      <c r="Y469" s="21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12" t="s">
        <v>1118</v>
      </c>
      <c r="E470" s="2110"/>
      <c r="F470" s="2110"/>
      <c r="G470" s="2110"/>
      <c r="H470" s="2110"/>
      <c r="I470" s="2110"/>
      <c r="J470" s="2110"/>
      <c r="K470" s="2110"/>
      <c r="L470" s="2110"/>
      <c r="M470" s="2110"/>
      <c r="N470" s="2110"/>
      <c r="O470" s="2110"/>
      <c r="P470" s="2110"/>
      <c r="Q470" s="2110"/>
      <c r="R470" s="2110"/>
      <c r="S470" s="2110"/>
      <c r="T470" s="2110"/>
      <c r="U470" s="2110"/>
      <c r="V470" s="2111"/>
      <c r="W470" s="2119" t="s">
        <v>626</v>
      </c>
      <c r="X470" s="2107"/>
      <c r="Y470" s="21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9" t="s">
        <v>2005</v>
      </c>
      <c r="E471" s="2110"/>
      <c r="F471" s="2110"/>
      <c r="G471" s="2110"/>
      <c r="H471" s="2110"/>
      <c r="I471" s="2110"/>
      <c r="J471" s="2110"/>
      <c r="K471" s="2110"/>
      <c r="L471" s="2110"/>
      <c r="M471" s="2110"/>
      <c r="N471" s="2110"/>
      <c r="O471" s="2110"/>
      <c r="P471" s="2110"/>
      <c r="Q471" s="2110"/>
      <c r="R471" s="2110"/>
      <c r="S471" s="2110"/>
      <c r="T471" s="2110"/>
      <c r="U471" s="2110"/>
      <c r="V471" s="2111"/>
      <c r="W471" s="2106">
        <v>38</v>
      </c>
      <c r="X471" s="2107"/>
      <c r="Y471" s="21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103" t="s">
        <v>2597</v>
      </c>
      <c r="H472" s="2104"/>
      <c r="I472" s="2104"/>
      <c r="J472" s="2104"/>
      <c r="K472" s="2104"/>
      <c r="L472" s="2104"/>
      <c r="M472" s="2104"/>
      <c r="N472" s="2104"/>
      <c r="O472" s="2104"/>
      <c r="P472" s="2104"/>
      <c r="Q472" s="2104"/>
      <c r="R472" s="2104"/>
      <c r="S472" s="2104"/>
      <c r="T472" s="2104"/>
      <c r="U472" s="2104"/>
      <c r="V472" s="2105"/>
      <c r="W472" s="2106">
        <v>150</v>
      </c>
      <c r="X472" s="2107"/>
      <c r="Y472" s="21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5" t="s">
        <v>869</v>
      </c>
      <c r="B478" s="2095"/>
      <c r="C478" s="2095"/>
      <c r="D478" s="2095"/>
      <c r="E478" s="2095"/>
      <c r="F478" s="2095"/>
      <c r="G478" s="2095"/>
      <c r="H478" s="2095"/>
      <c r="I478" s="2095"/>
      <c r="J478" s="2095"/>
      <c r="K478" s="2095"/>
      <c r="L478" s="2095"/>
      <c r="M478" s="2095"/>
      <c r="N478" s="2095"/>
      <c r="O478" s="2095"/>
      <c r="P478" s="2095"/>
      <c r="Q478" s="2095"/>
      <c r="R478" s="2095"/>
      <c r="S478" s="2095"/>
      <c r="T478" s="2095"/>
      <c r="U478" s="2095"/>
      <c r="V478" s="2095"/>
      <c r="W478" s="2095"/>
      <c r="X478" s="2095"/>
      <c r="Y478" s="2095"/>
      <c r="Z478" s="2095"/>
      <c r="AA478" s="2095"/>
      <c r="AB478" s="2095"/>
      <c r="AC478" s="2095"/>
      <c r="AD478" s="2095"/>
      <c r="AE478" s="2095"/>
      <c r="AF478" s="2095"/>
      <c r="AG478" s="2095"/>
      <c r="AH478" s="2095"/>
      <c r="AI478" s="2095"/>
      <c r="AJ478" s="2095"/>
      <c r="AK478" s="2095"/>
      <c r="AL478" s="209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6"/>
      <c r="B479" s="2096"/>
      <c r="C479" s="2096"/>
      <c r="D479" s="2096"/>
      <c r="E479" s="2096"/>
      <c r="F479" s="2096"/>
      <c r="G479" s="2096"/>
      <c r="H479" s="2096"/>
      <c r="I479" s="2096"/>
      <c r="J479" s="2096"/>
      <c r="K479" s="2096"/>
      <c r="L479" s="2096"/>
      <c r="M479" s="2096"/>
      <c r="N479" s="2096"/>
      <c r="O479" s="2096"/>
      <c r="P479" s="2096"/>
      <c r="Q479" s="2096"/>
      <c r="R479" s="2096"/>
      <c r="S479" s="2096"/>
      <c r="T479" s="2096"/>
      <c r="U479" s="2096"/>
      <c r="V479" s="2096"/>
      <c r="W479" s="2096"/>
      <c r="X479" s="2096"/>
      <c r="Y479" s="2096"/>
      <c r="Z479" s="2096"/>
      <c r="AA479" s="2096"/>
      <c r="AB479" s="2096"/>
      <c r="AC479" s="2096"/>
      <c r="AD479" s="2096"/>
      <c r="AE479" s="2096"/>
      <c r="AF479" s="2096"/>
      <c r="AG479" s="2096"/>
      <c r="AH479" s="2096"/>
      <c r="AI479" s="2096"/>
      <c r="AJ479" s="2096"/>
      <c r="AK479" s="2096"/>
      <c r="AL479" s="209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20" t="s">
        <v>870</v>
      </c>
      <c r="U483" s="2121"/>
      <c r="V483" s="2121"/>
      <c r="W483" s="2121"/>
      <c r="X483" s="2121"/>
      <c r="Y483" s="2121"/>
      <c r="Z483" s="2121"/>
      <c r="AA483" s="2121"/>
      <c r="AB483" s="2121"/>
      <c r="AC483" s="2121"/>
      <c r="AD483" s="2121"/>
      <c r="AE483" s="2121"/>
      <c r="AF483" s="2121"/>
      <c r="AG483" s="2121"/>
      <c r="AH483" s="21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7" t="s">
        <v>36</v>
      </c>
      <c r="U484" s="2197"/>
      <c r="V484" s="2197"/>
      <c r="W484" s="2197"/>
      <c r="X484" s="2197"/>
      <c r="Y484" s="2197" t="s">
        <v>37</v>
      </c>
      <c r="Z484" s="2197"/>
      <c r="AA484" s="2197"/>
      <c r="AB484" s="2197"/>
      <c r="AC484" s="2197"/>
      <c r="AD484" s="2197" t="s">
        <v>348</v>
      </c>
      <c r="AE484" s="2197"/>
      <c r="AF484" s="2197"/>
      <c r="AG484" s="2197"/>
      <c r="AH484" s="219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7"/>
      <c r="U485" s="2197"/>
      <c r="V485" s="2197"/>
      <c r="W485" s="2197"/>
      <c r="X485" s="2197"/>
      <c r="Y485" s="2197"/>
      <c r="Z485" s="2197"/>
      <c r="AA485" s="2197"/>
      <c r="AB485" s="2197"/>
      <c r="AC485" s="2197"/>
      <c r="AD485" s="2197"/>
      <c r="AE485" s="2197"/>
      <c r="AF485" s="2197"/>
      <c r="AG485" s="2197"/>
      <c r="AH485" s="219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42">
        <v>0</v>
      </c>
      <c r="U486" s="2042"/>
      <c r="V486" s="2042"/>
      <c r="W486" s="2042"/>
      <c r="X486" s="2042"/>
      <c r="Y486" s="2042">
        <v>0</v>
      </c>
      <c r="Z486" s="2042"/>
      <c r="AA486" s="2042"/>
      <c r="AB486" s="2042"/>
      <c r="AC486" s="2042"/>
      <c r="AD486" s="2042">
        <v>44295</v>
      </c>
      <c r="AE486" s="2042"/>
      <c r="AF486" s="2042"/>
      <c r="AG486" s="2042"/>
      <c r="AH486" s="204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42">
        <v>0</v>
      </c>
      <c r="U487" s="2042"/>
      <c r="V487" s="2042"/>
      <c r="W487" s="2042"/>
      <c r="X487" s="2042"/>
      <c r="Y487" s="2042">
        <v>0</v>
      </c>
      <c r="Z487" s="2042"/>
      <c r="AA487" s="2042"/>
      <c r="AB487" s="2042"/>
      <c r="AC487" s="2042"/>
      <c r="AD487" s="2042" t="s">
        <v>2598</v>
      </c>
      <c r="AE487" s="2042"/>
      <c r="AF487" s="2042"/>
      <c r="AG487" s="2042"/>
      <c r="AH487" s="204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42">
        <v>0</v>
      </c>
      <c r="U488" s="2042"/>
      <c r="V488" s="2042"/>
      <c r="W488" s="2042"/>
      <c r="X488" s="2042"/>
      <c r="Y488" s="2042">
        <v>0</v>
      </c>
      <c r="Z488" s="2042"/>
      <c r="AA488" s="2042"/>
      <c r="AB488" s="2042"/>
      <c r="AC488" s="2042"/>
      <c r="AD488" s="2042" t="s">
        <v>2598</v>
      </c>
      <c r="AE488" s="2042"/>
      <c r="AF488" s="2042"/>
      <c r="AG488" s="2042"/>
      <c r="AH488" s="204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42">
        <v>0</v>
      </c>
      <c r="U489" s="2042"/>
      <c r="V489" s="2042"/>
      <c r="W489" s="2042"/>
      <c r="X489" s="2042"/>
      <c r="Y489" s="2042">
        <v>0</v>
      </c>
      <c r="Z489" s="2042"/>
      <c r="AA489" s="2042"/>
      <c r="AB489" s="2042"/>
      <c r="AC489" s="2042"/>
      <c r="AD489" s="2042" t="s">
        <v>2598</v>
      </c>
      <c r="AE489" s="2042"/>
      <c r="AF489" s="2042"/>
      <c r="AG489" s="2042"/>
      <c r="AH489" s="204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42">
        <v>0</v>
      </c>
      <c r="U490" s="2042"/>
      <c r="V490" s="2042"/>
      <c r="W490" s="2042"/>
      <c r="X490" s="2042"/>
      <c r="Y490" s="2042">
        <v>0</v>
      </c>
      <c r="Z490" s="2042"/>
      <c r="AA490" s="2042"/>
      <c r="AB490" s="2042"/>
      <c r="AC490" s="2042"/>
      <c r="AD490" s="2042" t="s">
        <v>2598</v>
      </c>
      <c r="AE490" s="2042"/>
      <c r="AF490" s="2042"/>
      <c r="AG490" s="2042"/>
      <c r="AH490" s="204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42">
        <v>0</v>
      </c>
      <c r="U491" s="2042"/>
      <c r="V491" s="2042"/>
      <c r="W491" s="2042"/>
      <c r="X491" s="2042"/>
      <c r="Y491" s="2042">
        <v>0</v>
      </c>
      <c r="Z491" s="2042"/>
      <c r="AA491" s="2042"/>
      <c r="AB491" s="2042"/>
      <c r="AC491" s="2042"/>
      <c r="AD491" s="2042" t="s">
        <v>2598</v>
      </c>
      <c r="AE491" s="2042"/>
      <c r="AF491" s="2042"/>
      <c r="AG491" s="2042"/>
      <c r="AH491" s="204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42">
        <v>0</v>
      </c>
      <c r="U492" s="2042"/>
      <c r="V492" s="2042"/>
      <c r="W492" s="2042"/>
      <c r="X492" s="2042"/>
      <c r="Y492" s="2042">
        <v>0</v>
      </c>
      <c r="Z492" s="2042"/>
      <c r="AA492" s="2042"/>
      <c r="AB492" s="2042"/>
      <c r="AC492" s="2042"/>
      <c r="AD492" s="2042">
        <v>44295</v>
      </c>
      <c r="AE492" s="2042"/>
      <c r="AF492" s="2042"/>
      <c r="AG492" s="2042"/>
      <c r="AH492" s="204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42">
        <v>0</v>
      </c>
      <c r="U493" s="2042"/>
      <c r="V493" s="2042"/>
      <c r="W493" s="2042"/>
      <c r="X493" s="2042"/>
      <c r="Y493" s="2042">
        <v>0</v>
      </c>
      <c r="Z493" s="2042"/>
      <c r="AA493" s="2042"/>
      <c r="AB493" s="2042"/>
      <c r="AC493" s="2042"/>
      <c r="AD493" s="2042" t="s">
        <v>2598</v>
      </c>
      <c r="AE493" s="2042"/>
      <c r="AF493" s="2042"/>
      <c r="AG493" s="2042"/>
      <c r="AH493" s="204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42">
        <v>0</v>
      </c>
      <c r="U494" s="2042"/>
      <c r="V494" s="2042"/>
      <c r="W494" s="2042"/>
      <c r="X494" s="2042"/>
      <c r="Y494" s="2042">
        <v>0</v>
      </c>
      <c r="Z494" s="2042"/>
      <c r="AA494" s="2042"/>
      <c r="AB494" s="2042"/>
      <c r="AC494" s="2042"/>
      <c r="AD494" s="2042" t="s">
        <v>2598</v>
      </c>
      <c r="AE494" s="2042"/>
      <c r="AF494" s="2042"/>
      <c r="AG494" s="2042"/>
      <c r="AH494" s="204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42">
        <v>0</v>
      </c>
      <c r="U495" s="2042"/>
      <c r="V495" s="2042"/>
      <c r="W495" s="2042"/>
      <c r="X495" s="2042"/>
      <c r="Y495" s="2042">
        <v>0</v>
      </c>
      <c r="Z495" s="2042"/>
      <c r="AA495" s="2042"/>
      <c r="AB495" s="2042"/>
      <c r="AC495" s="2042"/>
      <c r="AD495" s="2042" t="s">
        <v>2598</v>
      </c>
      <c r="AE495" s="2042"/>
      <c r="AF495" s="2042"/>
      <c r="AG495" s="2042"/>
      <c r="AH495" s="204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2" t="s">
        <v>414</v>
      </c>
      <c r="R497" s="2163"/>
      <c r="S497" s="2163"/>
      <c r="T497" s="2163"/>
      <c r="U497" s="2163"/>
      <c r="V497" s="2163"/>
      <c r="W497" s="2163"/>
      <c r="X497" s="2163"/>
      <c r="Y497" s="2163"/>
      <c r="Z497" s="2163"/>
      <c r="AA497" s="2163"/>
      <c r="AB497" s="2163"/>
      <c r="AC497" s="2163"/>
      <c r="AD497" s="2163"/>
      <c r="AE497" s="2163"/>
      <c r="AF497" s="2163"/>
      <c r="AG497" s="2163"/>
      <c r="AH497" s="2163"/>
      <c r="AI497" s="2163"/>
      <c r="AJ497" s="2163"/>
      <c r="AK497" s="21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23" t="s">
        <v>2600</v>
      </c>
      <c r="R498" s="2053"/>
      <c r="S498" s="2053"/>
      <c r="T498" s="2053"/>
      <c r="U498" s="2053"/>
      <c r="V498" s="2053"/>
      <c r="W498" s="2053"/>
      <c r="X498" s="2053"/>
      <c r="Y498" s="2053"/>
      <c r="Z498" s="2053"/>
      <c r="AA498" s="2053"/>
      <c r="AB498" s="2053"/>
      <c r="AC498" s="2053"/>
      <c r="AD498" s="2053"/>
      <c r="AE498" s="2053"/>
      <c r="AF498" s="2053"/>
      <c r="AG498" s="2053"/>
      <c r="AH498" s="2053"/>
      <c r="AI498" s="2053"/>
      <c r="AJ498" s="2053"/>
      <c r="AK498" s="21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23" t="s">
        <v>2601</v>
      </c>
      <c r="R499" s="2053"/>
      <c r="S499" s="2053"/>
      <c r="T499" s="2053"/>
      <c r="U499" s="2053"/>
      <c r="V499" s="2053"/>
      <c r="W499" s="2053"/>
      <c r="X499" s="2053"/>
      <c r="Y499" s="2053"/>
      <c r="Z499" s="2053"/>
      <c r="AA499" s="2053"/>
      <c r="AB499" s="2053"/>
      <c r="AC499" s="2053"/>
      <c r="AD499" s="2053"/>
      <c r="AE499" s="2053"/>
      <c r="AF499" s="2053"/>
      <c r="AG499" s="2053"/>
      <c r="AH499" s="2053"/>
      <c r="AI499" s="2053"/>
      <c r="AJ499" s="2053"/>
      <c r="AK499" s="212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23" t="s">
        <v>2601</v>
      </c>
      <c r="R500" s="2053"/>
      <c r="S500" s="2053"/>
      <c r="T500" s="2053"/>
      <c r="U500" s="2053"/>
      <c r="V500" s="2053"/>
      <c r="W500" s="2053"/>
      <c r="X500" s="2053"/>
      <c r="Y500" s="2053"/>
      <c r="Z500" s="2053"/>
      <c r="AA500" s="2053"/>
      <c r="AB500" s="2053"/>
      <c r="AC500" s="2053"/>
      <c r="AD500" s="2053"/>
      <c r="AE500" s="2053"/>
      <c r="AF500" s="2053"/>
      <c r="AG500" s="2053"/>
      <c r="AH500" s="2053"/>
      <c r="AI500" s="2053"/>
      <c r="AJ500" s="2053"/>
      <c r="AK500" s="212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8" t="s">
        <v>418</v>
      </c>
      <c r="C501" s="2199"/>
      <c r="D501" s="2199"/>
      <c r="E501" s="2199"/>
      <c r="F501" s="2199"/>
      <c r="G501" s="2199"/>
      <c r="H501" s="2199"/>
      <c r="I501" s="2199"/>
      <c r="J501" s="2199"/>
      <c r="K501" s="2199"/>
      <c r="L501" s="2199"/>
      <c r="M501" s="2199"/>
      <c r="N501" s="2199"/>
      <c r="O501" s="2199"/>
      <c r="P501" s="2200"/>
      <c r="Q501" s="2214" t="s">
        <v>706</v>
      </c>
      <c r="R501" s="2215"/>
      <c r="S501" s="2405" t="s">
        <v>171</v>
      </c>
      <c r="T501" s="2406"/>
      <c r="U501" s="2406"/>
      <c r="V501" s="2406"/>
      <c r="W501" s="2406"/>
      <c r="X501" s="2406"/>
      <c r="Y501" s="2406"/>
      <c r="Z501" s="2406"/>
      <c r="AA501" s="2406"/>
      <c r="AB501" s="2406"/>
      <c r="AC501" s="2406"/>
      <c r="AD501" s="2406"/>
      <c r="AE501" s="2406"/>
      <c r="AF501" s="2406"/>
      <c r="AG501" s="2406"/>
      <c r="AH501" s="2406"/>
      <c r="AI501" s="2406"/>
      <c r="AJ501" s="2406"/>
      <c r="AK501" s="24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1"/>
      <c r="C502" s="2202"/>
      <c r="D502" s="2202"/>
      <c r="E502" s="2202"/>
      <c r="F502" s="2202"/>
      <c r="G502" s="2202"/>
      <c r="H502" s="2202"/>
      <c r="I502" s="2202"/>
      <c r="J502" s="2202"/>
      <c r="K502" s="2202"/>
      <c r="L502" s="2202"/>
      <c r="M502" s="2202"/>
      <c r="N502" s="2202"/>
      <c r="O502" s="2202"/>
      <c r="P502" s="2203"/>
      <c r="Q502" s="2216"/>
      <c r="R502" s="2217"/>
      <c r="S502" s="2408"/>
      <c r="T502" s="2409"/>
      <c r="U502" s="2409"/>
      <c r="V502" s="2409"/>
      <c r="W502" s="2409"/>
      <c r="X502" s="2409"/>
      <c r="Y502" s="2409"/>
      <c r="Z502" s="2409"/>
      <c r="AA502" s="2409"/>
      <c r="AB502" s="2409"/>
      <c r="AC502" s="2409"/>
      <c r="AD502" s="2409"/>
      <c r="AE502" s="2409"/>
      <c r="AF502" s="2409"/>
      <c r="AG502" s="2409"/>
      <c r="AH502" s="2409"/>
      <c r="AI502" s="2409"/>
      <c r="AJ502" s="2409"/>
      <c r="AK502" s="24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2" t="s">
        <v>2025</v>
      </c>
      <c r="C503" s="1490"/>
      <c r="D503" s="1490"/>
      <c r="E503" s="1490"/>
      <c r="F503" s="1490"/>
      <c r="G503" s="1490"/>
      <c r="H503" s="1490"/>
      <c r="I503" s="1490"/>
      <c r="J503" s="1490"/>
      <c r="K503" s="1490"/>
      <c r="L503" s="1490"/>
      <c r="M503" s="1490"/>
      <c r="N503" s="1490"/>
      <c r="O503" s="1490"/>
      <c r="P503" s="1490"/>
      <c r="Q503" s="2090" t="s">
        <v>578</v>
      </c>
      <c r="R503" s="2091"/>
      <c r="S503" s="2091"/>
      <c r="T503" s="2091"/>
      <c r="U503" s="2091"/>
      <c r="V503" s="2091"/>
      <c r="W503" s="2091"/>
      <c r="X503" s="2091"/>
      <c r="Y503" s="2091"/>
      <c r="Z503" s="2091"/>
      <c r="AA503" s="2091"/>
      <c r="AB503" s="2091"/>
      <c r="AC503" s="2091"/>
      <c r="AD503" s="2091"/>
      <c r="AE503" s="2091"/>
      <c r="AF503" s="2091"/>
      <c r="AG503" s="2091"/>
      <c r="AH503" s="2091"/>
      <c r="AI503" s="2091"/>
      <c r="AJ503" s="2091"/>
      <c r="AK503" s="20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23" t="s">
        <v>2602</v>
      </c>
      <c r="R504" s="2053"/>
      <c r="S504" s="2053"/>
      <c r="T504" s="2053"/>
      <c r="U504" s="2053"/>
      <c r="V504" s="2053"/>
      <c r="W504" s="2053"/>
      <c r="X504" s="2053"/>
      <c r="Y504" s="2053"/>
      <c r="Z504" s="2053"/>
      <c r="AA504" s="2053"/>
      <c r="AB504" s="2053"/>
      <c r="AC504" s="2053"/>
      <c r="AD504" s="2053"/>
      <c r="AE504" s="2053"/>
      <c r="AF504" s="2053"/>
      <c r="AG504" s="2053"/>
      <c r="AH504" s="2053"/>
      <c r="AI504" s="2053"/>
      <c r="AJ504" s="2053"/>
      <c r="AK504" s="21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23" t="s">
        <v>2623</v>
      </c>
      <c r="R505" s="2053"/>
      <c r="S505" s="2053"/>
      <c r="T505" s="2053"/>
      <c r="U505" s="2053"/>
      <c r="V505" s="2053"/>
      <c r="W505" s="2053"/>
      <c r="X505" s="2053"/>
      <c r="Y505" s="2053"/>
      <c r="Z505" s="2053"/>
      <c r="AA505" s="2053"/>
      <c r="AB505" s="2053"/>
      <c r="AC505" s="2053"/>
      <c r="AD505" s="2053"/>
      <c r="AE505" s="2053"/>
      <c r="AF505" s="2053"/>
      <c r="AG505" s="2053"/>
      <c r="AH505" s="2053"/>
      <c r="AI505" s="2053"/>
      <c r="AJ505" s="2053"/>
      <c r="AK505" s="21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23">
        <v>87</v>
      </c>
      <c r="R506" s="2053"/>
      <c r="S506" s="2053"/>
      <c r="T506" s="2053"/>
      <c r="U506" s="2053"/>
      <c r="V506" s="2053"/>
      <c r="W506" s="2053"/>
      <c r="X506" s="2053"/>
      <c r="Y506" s="2053"/>
      <c r="Z506" s="2053"/>
      <c r="AA506" s="2053"/>
      <c r="AB506" s="2053"/>
      <c r="AC506" s="2053"/>
      <c r="AD506" s="2053"/>
      <c r="AE506" s="2053"/>
      <c r="AF506" s="2053"/>
      <c r="AG506" s="2053"/>
      <c r="AH506" s="2053"/>
      <c r="AI506" s="2053"/>
      <c r="AJ506" s="2053"/>
      <c r="AK506" s="21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144">
        <v>0</v>
      </c>
      <c r="N507" s="2145"/>
      <c r="O507" s="2145"/>
      <c r="P507" s="2146"/>
      <c r="Q507" s="1520" t="s">
        <v>2024</v>
      </c>
      <c r="R507" s="1521"/>
      <c r="S507" s="1521"/>
      <c r="T507" s="1521"/>
      <c r="U507" s="1521"/>
      <c r="V507" s="1521"/>
      <c r="W507" s="1521"/>
      <c r="X507" s="1521"/>
      <c r="Y507" s="1521"/>
      <c r="Z507" s="1521"/>
      <c r="AA507" s="1521"/>
      <c r="AB507" s="1521"/>
      <c r="AC507" s="1521"/>
      <c r="AD507" s="1521"/>
      <c r="AE507" s="1521"/>
      <c r="AF507" s="1521"/>
      <c r="AG507" s="1521"/>
      <c r="AH507" s="2144">
        <v>87</v>
      </c>
      <c r="AI507" s="2145"/>
      <c r="AJ507" s="2145"/>
      <c r="AK507" s="21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2" t="s">
        <v>422</v>
      </c>
      <c r="AD511" s="2163"/>
      <c r="AE511" s="2163"/>
      <c r="AF511" s="2163"/>
      <c r="AG511" s="2163"/>
      <c r="AH511" s="2163"/>
      <c r="AI511" s="2163"/>
      <c r="AJ511" s="2163"/>
      <c r="AK511" s="21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0" t="s">
        <v>423</v>
      </c>
      <c r="AD512" s="2121"/>
      <c r="AE512" s="2121"/>
      <c r="AF512" s="2121"/>
      <c r="AG512" s="82" t="s">
        <v>424</v>
      </c>
      <c r="AH512" s="2121" t="s">
        <v>425</v>
      </c>
      <c r="AI512" s="2121"/>
      <c r="AJ512" s="2121"/>
      <c r="AK512" s="21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5" t="s">
        <v>426</v>
      </c>
      <c r="C513" s="2036"/>
      <c r="D513" s="2036"/>
      <c r="E513" s="2036"/>
      <c r="F513" s="2036"/>
      <c r="G513" s="2036"/>
      <c r="H513" s="2037"/>
      <c r="I513" s="72" t="s">
        <v>427</v>
      </c>
      <c r="J513" s="72"/>
      <c r="K513" s="72"/>
      <c r="L513" s="72"/>
      <c r="M513" s="72"/>
      <c r="N513" s="72"/>
      <c r="O513" s="72"/>
      <c r="P513" s="72"/>
      <c r="Q513" s="72"/>
      <c r="R513" s="72"/>
      <c r="S513" s="72"/>
      <c r="T513" s="72"/>
      <c r="U513" s="72"/>
      <c r="V513" s="72"/>
      <c r="W513" s="72"/>
      <c r="X513" s="25"/>
      <c r="Y513" s="25"/>
      <c r="AC513" s="2173" t="s">
        <v>626</v>
      </c>
      <c r="AD513" s="2074"/>
      <c r="AE513" s="2074"/>
      <c r="AF513" s="2074"/>
      <c r="AG513" s="75" t="s">
        <v>424</v>
      </c>
      <c r="AH513" s="2070">
        <v>0</v>
      </c>
      <c r="AI513" s="2070"/>
      <c r="AJ513" s="2070"/>
      <c r="AK513" s="207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8"/>
      <c r="C514" s="2039"/>
      <c r="D514" s="2039"/>
      <c r="E514" s="2039"/>
      <c r="F514" s="2039"/>
      <c r="G514" s="2039"/>
      <c r="H514" s="2040"/>
      <c r="I514" s="80" t="s">
        <v>428</v>
      </c>
      <c r="J514" s="80"/>
      <c r="K514" s="80"/>
      <c r="L514" s="80"/>
      <c r="M514" s="80"/>
      <c r="N514" s="80"/>
      <c r="O514" s="80"/>
      <c r="P514" s="80"/>
      <c r="Q514" s="80"/>
      <c r="R514" s="80"/>
      <c r="S514" s="80"/>
      <c r="T514" s="80"/>
      <c r="U514" s="80"/>
      <c r="V514" s="80"/>
      <c r="W514" s="80"/>
      <c r="X514" s="80"/>
      <c r="Y514" s="80"/>
      <c r="Z514" s="80"/>
      <c r="AA514" s="80"/>
      <c r="AB514" s="80"/>
      <c r="AC514" s="2173">
        <v>5</v>
      </c>
      <c r="AD514" s="2074"/>
      <c r="AE514" s="2074"/>
      <c r="AF514" s="2074"/>
      <c r="AG514" s="65" t="s">
        <v>424</v>
      </c>
      <c r="AH514" s="2070">
        <v>2022</v>
      </c>
      <c r="AI514" s="2070"/>
      <c r="AJ514" s="2070"/>
      <c r="AK514" s="207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5" t="s">
        <v>429</v>
      </c>
      <c r="C515" s="2036"/>
      <c r="D515" s="2036"/>
      <c r="E515" s="2036"/>
      <c r="F515" s="2036"/>
      <c r="G515" s="2036"/>
      <c r="H515" s="2037"/>
      <c r="I515" s="72" t="s">
        <v>430</v>
      </c>
      <c r="J515" s="72"/>
      <c r="K515" s="72"/>
      <c r="L515" s="72"/>
      <c r="M515" s="72"/>
      <c r="N515" s="72"/>
      <c r="O515" s="72"/>
      <c r="P515" s="72"/>
      <c r="Q515" s="72"/>
      <c r="R515" s="72"/>
      <c r="S515" s="72"/>
      <c r="T515" s="72"/>
      <c r="U515" s="72"/>
      <c r="V515" s="72"/>
      <c r="W515" s="72"/>
      <c r="X515" s="25"/>
      <c r="Y515" s="25"/>
      <c r="AC515" s="2173" t="s">
        <v>626</v>
      </c>
      <c r="AD515" s="2074"/>
      <c r="AE515" s="2074"/>
      <c r="AF515" s="2074"/>
      <c r="AG515" s="75" t="s">
        <v>424</v>
      </c>
      <c r="AH515" s="2070"/>
      <c r="AI515" s="2070"/>
      <c r="AJ515" s="2070"/>
      <c r="AK515" s="207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8"/>
      <c r="C516" s="2039"/>
      <c r="D516" s="2039"/>
      <c r="E516" s="2039"/>
      <c r="F516" s="2039"/>
      <c r="G516" s="2039"/>
      <c r="H516" s="2040"/>
      <c r="I516" s="25" t="s">
        <v>431</v>
      </c>
      <c r="J516" s="25"/>
      <c r="K516" s="25"/>
      <c r="L516" s="25"/>
      <c r="M516" s="25"/>
      <c r="N516" s="25"/>
      <c r="O516" s="25"/>
      <c r="P516" s="25"/>
      <c r="Q516" s="25"/>
      <c r="R516" s="25"/>
      <c r="S516" s="25"/>
      <c r="T516" s="25"/>
      <c r="U516" s="25"/>
      <c r="V516" s="25"/>
      <c r="W516" s="25"/>
      <c r="X516" s="25"/>
      <c r="Y516" s="25"/>
      <c r="AC516" s="2173" t="s">
        <v>626</v>
      </c>
      <c r="AD516" s="2074"/>
      <c r="AE516" s="2074"/>
      <c r="AF516" s="2074"/>
      <c r="AG516" s="75" t="s">
        <v>424</v>
      </c>
      <c r="AH516" s="2070"/>
      <c r="AI516" s="2070"/>
      <c r="AJ516" s="2070"/>
      <c r="AK516" s="207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8"/>
      <c r="C517" s="2039"/>
      <c r="D517" s="2039"/>
      <c r="E517" s="2039"/>
      <c r="F517" s="2039"/>
      <c r="G517" s="2039"/>
      <c r="H517" s="2040"/>
      <c r="I517" s="25" t="s">
        <v>432</v>
      </c>
      <c r="J517" s="25"/>
      <c r="K517" s="25"/>
      <c r="L517" s="25"/>
      <c r="M517" s="25"/>
      <c r="N517" s="25"/>
      <c r="O517" s="25"/>
      <c r="P517" s="25"/>
      <c r="Q517" s="25"/>
      <c r="R517" s="25"/>
      <c r="S517" s="25"/>
      <c r="T517" s="25"/>
      <c r="U517" s="25"/>
      <c r="V517" s="25"/>
      <c r="W517" s="25"/>
      <c r="X517" s="25"/>
      <c r="Y517" s="25"/>
      <c r="AC517" s="2173">
        <v>4</v>
      </c>
      <c r="AD517" s="2074"/>
      <c r="AE517" s="2074"/>
      <c r="AF517" s="2074"/>
      <c r="AG517" s="75" t="s">
        <v>424</v>
      </c>
      <c r="AH517" s="2070">
        <v>2021</v>
      </c>
      <c r="AI517" s="2070"/>
      <c r="AJ517" s="2070"/>
      <c r="AK517" s="207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8"/>
      <c r="C518" s="2039"/>
      <c r="D518" s="2039"/>
      <c r="E518" s="2039"/>
      <c r="F518" s="2039"/>
      <c r="G518" s="2039"/>
      <c r="H518" s="2040"/>
      <c r="I518" s="25" t="s">
        <v>433</v>
      </c>
      <c r="J518" s="25"/>
      <c r="K518" s="25"/>
      <c r="L518" s="25"/>
      <c r="M518" s="25"/>
      <c r="N518" s="25"/>
      <c r="O518" s="25"/>
      <c r="P518" s="25"/>
      <c r="Q518" s="25"/>
      <c r="R518" s="25"/>
      <c r="S518" s="25"/>
      <c r="T518" s="25"/>
      <c r="U518" s="25"/>
      <c r="V518" s="25"/>
      <c r="W518" s="25"/>
      <c r="X518" s="25"/>
      <c r="Y518" s="25"/>
      <c r="AC518" s="2173">
        <v>5</v>
      </c>
      <c r="AD518" s="2074"/>
      <c r="AE518" s="2074"/>
      <c r="AF518" s="2074"/>
      <c r="AG518" s="75" t="s">
        <v>424</v>
      </c>
      <c r="AH518" s="2070">
        <v>2022</v>
      </c>
      <c r="AI518" s="2070"/>
      <c r="AJ518" s="2070"/>
      <c r="AK518" s="207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8"/>
      <c r="C519" s="2039"/>
      <c r="D519" s="2039"/>
      <c r="E519" s="2039"/>
      <c r="F519" s="2039"/>
      <c r="G519" s="2039"/>
      <c r="H519" s="2040"/>
      <c r="I519" s="177" t="s">
        <v>434</v>
      </c>
      <c r="J519" s="25"/>
      <c r="K519" s="25"/>
      <c r="L519" s="25"/>
      <c r="M519" s="25"/>
      <c r="N519" s="25"/>
      <c r="O519" s="25"/>
      <c r="P519" s="25"/>
      <c r="Q519" s="25"/>
      <c r="R519" s="25"/>
      <c r="S519" s="25"/>
      <c r="T519" s="25"/>
      <c r="U519" s="25"/>
      <c r="V519" s="25"/>
      <c r="W519" s="25"/>
      <c r="X519" s="25"/>
      <c r="Y519" s="25"/>
      <c r="AC519" s="2057">
        <v>5</v>
      </c>
      <c r="AD519" s="2058"/>
      <c r="AE519" s="2058"/>
      <c r="AF519" s="2058"/>
      <c r="AG519" s="75" t="s">
        <v>424</v>
      </c>
      <c r="AH519" s="2070">
        <v>2022</v>
      </c>
      <c r="AI519" s="2070"/>
      <c r="AJ519" s="2070"/>
      <c r="AK519" s="207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8"/>
      <c r="C520" s="2039"/>
      <c r="D520" s="2039"/>
      <c r="E520" s="2039"/>
      <c r="F520" s="2039"/>
      <c r="G520" s="2039"/>
      <c r="H520" s="2040"/>
      <c r="I520" s="1523" t="s">
        <v>175</v>
      </c>
      <c r="J520" s="80"/>
      <c r="K520" s="80"/>
      <c r="L520" s="2171" t="s">
        <v>343</v>
      </c>
      <c r="M520" s="2115"/>
      <c r="N520" s="2115"/>
      <c r="O520" s="2115"/>
      <c r="P520" s="2115"/>
      <c r="Q520" s="2115"/>
      <c r="R520" s="2115"/>
      <c r="S520" s="2115"/>
      <c r="T520" s="2115"/>
      <c r="U520" s="2115"/>
      <c r="V520" s="2115"/>
      <c r="W520" s="2115"/>
      <c r="X520" s="2115"/>
      <c r="Y520" s="2115"/>
      <c r="Z520" s="2115"/>
      <c r="AA520" s="2115"/>
      <c r="AB520" s="2172"/>
      <c r="AC520" s="2173" t="s">
        <v>626</v>
      </c>
      <c r="AD520" s="2074"/>
      <c r="AE520" s="2074"/>
      <c r="AF520" s="2074"/>
      <c r="AG520" s="1494" t="s">
        <v>424</v>
      </c>
      <c r="AH520" s="2070"/>
      <c r="AI520" s="2070"/>
      <c r="AJ520" s="2070"/>
      <c r="AK520" s="207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66" t="s">
        <v>706</v>
      </c>
      <c r="AD521" s="2066"/>
      <c r="AE521" s="2066"/>
      <c r="AF521" s="2066"/>
      <c r="AG521" s="1786"/>
      <c r="AH521" s="2055"/>
      <c r="AI521" s="2055"/>
      <c r="AJ521" s="2055"/>
      <c r="AK521" s="20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057"/>
      <c r="AD522" s="2058"/>
      <c r="AE522" s="2058"/>
      <c r="AF522" s="2059"/>
      <c r="AG522" s="1786"/>
      <c r="AH522" s="2055"/>
      <c r="AI522" s="2055"/>
      <c r="AJ522" s="2055"/>
      <c r="AK522" s="20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60" t="s">
        <v>2662</v>
      </c>
      <c r="AD524" s="2061"/>
      <c r="AE524" s="2061"/>
      <c r="AF524" s="2062"/>
      <c r="AG524" s="1787"/>
      <c r="AH524" s="2063"/>
      <c r="AI524" s="2063"/>
      <c r="AJ524" s="2063"/>
      <c r="AK524" s="20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65" t="s">
        <v>423</v>
      </c>
      <c r="AD525" s="2166"/>
      <c r="AE525" s="2166"/>
      <c r="AF525" s="2166"/>
      <c r="AG525" s="1787" t="s">
        <v>424</v>
      </c>
      <c r="AH525" s="2166" t="s">
        <v>425</v>
      </c>
      <c r="AI525" s="2166"/>
      <c r="AJ525" s="2166"/>
      <c r="AK525" s="216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5" t="s">
        <v>435</v>
      </c>
      <c r="C526" s="2036"/>
      <c r="D526" s="2036"/>
      <c r="E526" s="2036"/>
      <c r="F526" s="2036"/>
      <c r="G526" s="2036"/>
      <c r="H526" s="2037"/>
      <c r="I526" s="72" t="s">
        <v>436</v>
      </c>
      <c r="J526" s="72"/>
      <c r="K526" s="72"/>
      <c r="L526" s="72"/>
      <c r="M526" s="72"/>
      <c r="N526" s="72"/>
      <c r="O526" s="72"/>
      <c r="P526" s="72"/>
      <c r="Q526" s="72"/>
      <c r="R526" s="72"/>
      <c r="S526" s="72"/>
      <c r="T526" s="72"/>
      <c r="U526" s="72"/>
      <c r="V526" s="72"/>
      <c r="W526" s="72"/>
      <c r="X526" s="25"/>
      <c r="Y526" s="25"/>
      <c r="AC526" s="2173">
        <v>9</v>
      </c>
      <c r="AD526" s="2074"/>
      <c r="AE526" s="2074"/>
      <c r="AF526" s="2074"/>
      <c r="AG526" s="75" t="s">
        <v>424</v>
      </c>
      <c r="AH526" s="2070">
        <v>2021</v>
      </c>
      <c r="AI526" s="2070"/>
      <c r="AJ526" s="2070"/>
      <c r="AK526" s="207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8"/>
      <c r="C527" s="2039"/>
      <c r="D527" s="2039"/>
      <c r="E527" s="2039"/>
      <c r="F527" s="2039"/>
      <c r="G527" s="2039"/>
      <c r="H527" s="2040"/>
      <c r="I527" s="25" t="s">
        <v>437</v>
      </c>
      <c r="J527" s="25"/>
      <c r="K527" s="25"/>
      <c r="L527" s="25"/>
      <c r="M527" s="25"/>
      <c r="N527" s="25"/>
      <c r="O527" s="25"/>
      <c r="P527" s="25"/>
      <c r="Q527" s="25"/>
      <c r="R527" s="25"/>
      <c r="S527" s="25"/>
      <c r="T527" s="25"/>
      <c r="U527" s="25"/>
      <c r="V527" s="25"/>
      <c r="W527" s="25"/>
      <c r="X527" s="25"/>
      <c r="Y527" s="25"/>
      <c r="AC527" s="2173">
        <v>9</v>
      </c>
      <c r="AD527" s="2074"/>
      <c r="AE527" s="2074"/>
      <c r="AF527" s="2074"/>
      <c r="AG527" s="75" t="s">
        <v>424</v>
      </c>
      <c r="AH527" s="2070">
        <v>2021</v>
      </c>
      <c r="AI527" s="2070"/>
      <c r="AJ527" s="2070"/>
      <c r="AK527" s="207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8"/>
      <c r="C528" s="2039"/>
      <c r="D528" s="2039"/>
      <c r="E528" s="2039"/>
      <c r="F528" s="2039"/>
      <c r="G528" s="2039"/>
      <c r="H528" s="2040"/>
      <c r="I528" s="80" t="s">
        <v>438</v>
      </c>
      <c r="J528" s="80"/>
      <c r="K528" s="80"/>
      <c r="L528" s="80"/>
      <c r="M528" s="80"/>
      <c r="N528" s="80"/>
      <c r="O528" s="80"/>
      <c r="P528" s="80"/>
      <c r="Q528" s="80"/>
      <c r="R528" s="80"/>
      <c r="S528" s="80"/>
      <c r="T528" s="80"/>
      <c r="U528" s="80"/>
      <c r="V528" s="80"/>
      <c r="W528" s="80"/>
      <c r="X528" s="80"/>
      <c r="Y528" s="80"/>
      <c r="Z528" s="80"/>
      <c r="AA528" s="80"/>
      <c r="AB528" s="80"/>
      <c r="AC528" s="2173">
        <v>5</v>
      </c>
      <c r="AD528" s="2074"/>
      <c r="AE528" s="2074"/>
      <c r="AF528" s="2074"/>
      <c r="AG528" s="65" t="s">
        <v>424</v>
      </c>
      <c r="AH528" s="2070">
        <v>2022</v>
      </c>
      <c r="AI528" s="2070"/>
      <c r="AJ528" s="2070"/>
      <c r="AK528" s="207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5" t="s">
        <v>439</v>
      </c>
      <c r="C529" s="2036"/>
      <c r="D529" s="2036"/>
      <c r="E529" s="2036"/>
      <c r="F529" s="2036"/>
      <c r="G529" s="2036"/>
      <c r="H529" s="2037"/>
      <c r="I529" s="72" t="s">
        <v>436</v>
      </c>
      <c r="J529" s="72"/>
      <c r="K529" s="72"/>
      <c r="L529" s="72"/>
      <c r="M529" s="72"/>
      <c r="N529" s="72"/>
      <c r="O529" s="72"/>
      <c r="P529" s="72"/>
      <c r="Q529" s="72"/>
      <c r="R529" s="72"/>
      <c r="S529" s="72"/>
      <c r="T529" s="72"/>
      <c r="U529" s="72"/>
      <c r="V529" s="72"/>
      <c r="W529" s="72"/>
      <c r="X529" s="72"/>
      <c r="Y529" s="72"/>
      <c r="Z529" s="72"/>
      <c r="AA529" s="72"/>
      <c r="AB529" s="72"/>
      <c r="AC529" s="2057">
        <v>9</v>
      </c>
      <c r="AD529" s="2058"/>
      <c r="AE529" s="2058"/>
      <c r="AF529" s="2058"/>
      <c r="AG529" s="196" t="s">
        <v>424</v>
      </c>
      <c r="AH529" s="2070">
        <v>2021</v>
      </c>
      <c r="AI529" s="2070"/>
      <c r="AJ529" s="2070"/>
      <c r="AK529" s="207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8"/>
      <c r="C530" s="2039"/>
      <c r="D530" s="2039"/>
      <c r="E530" s="2039"/>
      <c r="F530" s="2039"/>
      <c r="G530" s="2039"/>
      <c r="H530" s="2040"/>
      <c r="I530" s="25" t="s">
        <v>437</v>
      </c>
      <c r="J530" s="25"/>
      <c r="K530" s="25"/>
      <c r="L530" s="25"/>
      <c r="M530" s="25"/>
      <c r="N530" s="25"/>
      <c r="O530" s="25"/>
      <c r="P530" s="25"/>
      <c r="Q530" s="25"/>
      <c r="R530" s="25"/>
      <c r="S530" s="25"/>
      <c r="T530" s="25"/>
      <c r="U530" s="25"/>
      <c r="V530" s="25"/>
      <c r="W530" s="25"/>
      <c r="X530" s="25"/>
      <c r="Y530" s="25"/>
      <c r="Z530" s="25"/>
      <c r="AA530" s="25"/>
      <c r="AB530" s="25"/>
      <c r="AC530" s="2173">
        <v>9</v>
      </c>
      <c r="AD530" s="2074"/>
      <c r="AE530" s="2074"/>
      <c r="AF530" s="2074"/>
      <c r="AG530" s="75" t="s">
        <v>424</v>
      </c>
      <c r="AH530" s="2070">
        <v>2021</v>
      </c>
      <c r="AI530" s="2070"/>
      <c r="AJ530" s="2070"/>
      <c r="AK530" s="207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2"/>
      <c r="C531" s="2183"/>
      <c r="D531" s="2183"/>
      <c r="E531" s="2183"/>
      <c r="F531" s="2183"/>
      <c r="G531" s="2183"/>
      <c r="H531" s="2184"/>
      <c r="I531" s="80" t="s">
        <v>438</v>
      </c>
      <c r="J531" s="80"/>
      <c r="K531" s="80"/>
      <c r="L531" s="80"/>
      <c r="M531" s="80"/>
      <c r="N531" s="80"/>
      <c r="O531" s="80"/>
      <c r="P531" s="80"/>
      <c r="Q531" s="80"/>
      <c r="R531" s="80"/>
      <c r="S531" s="80"/>
      <c r="T531" s="80"/>
      <c r="U531" s="80"/>
      <c r="V531" s="80"/>
      <c r="W531" s="80"/>
      <c r="X531" s="80"/>
      <c r="Y531" s="80"/>
      <c r="Z531" s="80"/>
      <c r="AA531" s="80"/>
      <c r="AB531" s="80"/>
      <c r="AC531" s="2173">
        <v>12</v>
      </c>
      <c r="AD531" s="2074"/>
      <c r="AE531" s="2074"/>
      <c r="AF531" s="2074"/>
      <c r="AG531" s="65" t="s">
        <v>424</v>
      </c>
      <c r="AH531" s="2070">
        <v>2024</v>
      </c>
      <c r="AI531" s="2070"/>
      <c r="AJ531" s="2070"/>
      <c r="AK531" s="207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5" t="s">
        <v>440</v>
      </c>
      <c r="C532" s="2036"/>
      <c r="D532" s="2036"/>
      <c r="E532" s="2036"/>
      <c r="F532" s="2036"/>
      <c r="G532" s="2036"/>
      <c r="H532" s="2037"/>
      <c r="I532" s="71" t="s">
        <v>441</v>
      </c>
      <c r="J532" s="72"/>
      <c r="K532" s="72"/>
      <c r="L532" s="72"/>
      <c r="M532" s="72"/>
      <c r="N532" s="72"/>
      <c r="O532" s="2053" t="s">
        <v>2625</v>
      </c>
      <c r="P532" s="2053"/>
      <c r="Q532" s="2053"/>
      <c r="R532" s="2053"/>
      <c r="S532" s="2053"/>
      <c r="T532" s="2053"/>
      <c r="U532" s="2053"/>
      <c r="V532" s="2053"/>
      <c r="W532" s="2053"/>
      <c r="X532" s="2053"/>
      <c r="Y532" s="2053"/>
      <c r="Z532" s="2053"/>
      <c r="AA532" s="2053"/>
      <c r="AB532" s="94"/>
      <c r="AC532" s="2057">
        <v>5</v>
      </c>
      <c r="AD532" s="2058"/>
      <c r="AE532" s="2058"/>
      <c r="AF532" s="2058"/>
      <c r="AG532" s="196" t="s">
        <v>424</v>
      </c>
      <c r="AH532" s="2070">
        <v>2021</v>
      </c>
      <c r="AI532" s="2070"/>
      <c r="AJ532" s="2070"/>
      <c r="AK532" s="207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8"/>
      <c r="C533" s="2039"/>
      <c r="D533" s="2039"/>
      <c r="E533" s="2039"/>
      <c r="F533" s="2039"/>
      <c r="G533" s="2039"/>
      <c r="H533" s="2040"/>
      <c r="I533" s="171" t="s">
        <v>442</v>
      </c>
      <c r="J533" s="25"/>
      <c r="K533" s="25"/>
      <c r="L533" s="25"/>
      <c r="M533" s="25"/>
      <c r="N533" s="25"/>
      <c r="O533" s="25"/>
      <c r="P533" s="25"/>
      <c r="Q533" s="25"/>
      <c r="R533" s="25"/>
      <c r="S533" s="25"/>
      <c r="T533" s="25"/>
      <c r="U533" s="25"/>
      <c r="V533" s="25"/>
      <c r="W533" s="25"/>
      <c r="X533" s="25"/>
      <c r="Y533" s="25"/>
      <c r="Z533" s="25"/>
      <c r="AA533" s="25"/>
      <c r="AB533" s="101"/>
      <c r="AC533" s="2173" t="s">
        <v>626</v>
      </c>
      <c r="AD533" s="2074"/>
      <c r="AE533" s="2074"/>
      <c r="AF533" s="2074"/>
      <c r="AG533" s="75" t="s">
        <v>424</v>
      </c>
      <c r="AH533" s="2070"/>
      <c r="AI533" s="2070"/>
      <c r="AJ533" s="2070"/>
      <c r="AK533" s="207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8"/>
      <c r="C534" s="2039"/>
      <c r="D534" s="2039"/>
      <c r="E534" s="2039"/>
      <c r="F534" s="2039"/>
      <c r="G534" s="2039"/>
      <c r="H534" s="2040"/>
      <c r="I534" s="79" t="s">
        <v>443</v>
      </c>
      <c r="J534" s="80"/>
      <c r="K534" s="80"/>
      <c r="L534" s="80"/>
      <c r="M534" s="80"/>
      <c r="N534" s="80"/>
      <c r="O534" s="80"/>
      <c r="P534" s="80"/>
      <c r="Q534" s="80"/>
      <c r="R534" s="80"/>
      <c r="S534" s="80"/>
      <c r="T534" s="80"/>
      <c r="U534" s="80"/>
      <c r="V534" s="80"/>
      <c r="W534" s="80"/>
      <c r="X534" s="80"/>
      <c r="Y534" s="80"/>
      <c r="Z534" s="80"/>
      <c r="AA534" s="80"/>
      <c r="AB534" s="81"/>
      <c r="AC534" s="2173">
        <v>5</v>
      </c>
      <c r="AD534" s="2074"/>
      <c r="AE534" s="2074"/>
      <c r="AF534" s="2074"/>
      <c r="AG534" s="65" t="s">
        <v>424</v>
      </c>
      <c r="AH534" s="2070">
        <v>2022</v>
      </c>
      <c r="AI534" s="2070"/>
      <c r="AJ534" s="2070"/>
      <c r="AK534" s="207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8"/>
      <c r="C535" s="2039"/>
      <c r="D535" s="2039"/>
      <c r="E535" s="2039"/>
      <c r="F535" s="2039"/>
      <c r="G535" s="2039"/>
      <c r="H535" s="2040"/>
      <c r="I535" s="72" t="s">
        <v>444</v>
      </c>
      <c r="J535" s="72"/>
      <c r="K535" s="72"/>
      <c r="L535" s="72"/>
      <c r="M535" s="72"/>
      <c r="N535" s="72"/>
      <c r="O535" s="2050" t="s">
        <v>2645</v>
      </c>
      <c r="P535" s="2050"/>
      <c r="Q535" s="2050"/>
      <c r="R535" s="2050"/>
      <c r="S535" s="2050"/>
      <c r="T535" s="2050"/>
      <c r="U535" s="2050"/>
      <c r="V535" s="2050"/>
      <c r="W535" s="2050"/>
      <c r="X535" s="2050"/>
      <c r="Y535" s="2050"/>
      <c r="Z535" s="2050"/>
      <c r="AA535" s="2050"/>
      <c r="AC535" s="2173">
        <v>5</v>
      </c>
      <c r="AD535" s="2074"/>
      <c r="AE535" s="2074"/>
      <c r="AF535" s="2074"/>
      <c r="AG535" s="75" t="s">
        <v>424</v>
      </c>
      <c r="AH535" s="2070">
        <v>2021</v>
      </c>
      <c r="AI535" s="2070"/>
      <c r="AJ535" s="2070"/>
      <c r="AK535" s="207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8"/>
      <c r="C536" s="2039"/>
      <c r="D536" s="2039"/>
      <c r="E536" s="2039"/>
      <c r="F536" s="2039"/>
      <c r="G536" s="2039"/>
      <c r="H536" s="2040"/>
      <c r="I536" s="25" t="s">
        <v>442</v>
      </c>
      <c r="J536" s="25"/>
      <c r="K536" s="25"/>
      <c r="L536" s="25"/>
      <c r="M536" s="25"/>
      <c r="N536" s="25"/>
      <c r="O536" s="25"/>
      <c r="P536" s="25"/>
      <c r="Q536" s="25"/>
      <c r="R536" s="25"/>
      <c r="S536" s="25"/>
      <c r="T536" s="25"/>
      <c r="U536" s="25"/>
      <c r="V536" s="25"/>
      <c r="W536" s="25"/>
      <c r="X536" s="25"/>
      <c r="Y536" s="25"/>
      <c r="AC536" s="2173" t="s">
        <v>626</v>
      </c>
      <c r="AD536" s="2074"/>
      <c r="AE536" s="2074"/>
      <c r="AF536" s="2074"/>
      <c r="AG536" s="75" t="s">
        <v>424</v>
      </c>
      <c r="AH536" s="2070"/>
      <c r="AI536" s="2070"/>
      <c r="AJ536" s="2070"/>
      <c r="AK536" s="207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8"/>
      <c r="C537" s="2039"/>
      <c r="D537" s="2039"/>
      <c r="E537" s="2039"/>
      <c r="F537" s="2039"/>
      <c r="G537" s="2039"/>
      <c r="H537" s="2040"/>
      <c r="I537" s="80" t="s">
        <v>443</v>
      </c>
      <c r="J537" s="80"/>
      <c r="K537" s="80"/>
      <c r="L537" s="80"/>
      <c r="M537" s="80"/>
      <c r="N537" s="80"/>
      <c r="O537" s="80"/>
      <c r="P537" s="80"/>
      <c r="Q537" s="80"/>
      <c r="R537" s="80"/>
      <c r="S537" s="80"/>
      <c r="T537" s="80"/>
      <c r="U537" s="80"/>
      <c r="V537" s="80"/>
      <c r="W537" s="80"/>
      <c r="X537" s="80"/>
      <c r="Y537" s="80"/>
      <c r="Z537" s="80"/>
      <c r="AA537" s="80"/>
      <c r="AB537" s="80"/>
      <c r="AC537" s="2173">
        <v>5</v>
      </c>
      <c r="AD537" s="2074"/>
      <c r="AE537" s="2074"/>
      <c r="AF537" s="2074"/>
      <c r="AG537" s="65" t="s">
        <v>424</v>
      </c>
      <c r="AH537" s="2070">
        <v>2022</v>
      </c>
      <c r="AI537" s="2070"/>
      <c r="AJ537" s="2070"/>
      <c r="AK537" s="207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8"/>
      <c r="C538" s="2039"/>
      <c r="D538" s="2039"/>
      <c r="E538" s="2039"/>
      <c r="F538" s="2039"/>
      <c r="G538" s="2039"/>
      <c r="H538" s="2040"/>
      <c r="I538" s="72" t="s">
        <v>444</v>
      </c>
      <c r="J538" s="72"/>
      <c r="K538" s="72"/>
      <c r="L538" s="72"/>
      <c r="M538" s="72"/>
      <c r="N538" s="72"/>
      <c r="O538" s="2050" t="s">
        <v>2668</v>
      </c>
      <c r="P538" s="2050"/>
      <c r="Q538" s="2050"/>
      <c r="R538" s="2050"/>
      <c r="S538" s="2050"/>
      <c r="T538" s="2050"/>
      <c r="U538" s="2050"/>
      <c r="V538" s="2050"/>
      <c r="W538" s="2050"/>
      <c r="X538" s="2050"/>
      <c r="Y538" s="2050"/>
      <c r="Z538" s="2050"/>
      <c r="AA538" s="2050"/>
      <c r="AC538" s="2173">
        <v>9</v>
      </c>
      <c r="AD538" s="2074"/>
      <c r="AE538" s="2074"/>
      <c r="AF538" s="2074"/>
      <c r="AG538" s="75" t="s">
        <v>424</v>
      </c>
      <c r="AH538" s="2070">
        <v>2021</v>
      </c>
      <c r="AI538" s="2070"/>
      <c r="AJ538" s="2070"/>
      <c r="AK538" s="207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8"/>
      <c r="C539" s="2039"/>
      <c r="D539" s="2039"/>
      <c r="E539" s="2039"/>
      <c r="F539" s="2039"/>
      <c r="G539" s="2039"/>
      <c r="H539" s="2040"/>
      <c r="I539" s="25" t="s">
        <v>442</v>
      </c>
      <c r="J539" s="25"/>
      <c r="K539" s="25"/>
      <c r="L539" s="25"/>
      <c r="M539" s="25"/>
      <c r="N539" s="25"/>
      <c r="O539" s="25"/>
      <c r="P539" s="25"/>
      <c r="Q539" s="25"/>
      <c r="R539" s="25"/>
      <c r="S539" s="25"/>
      <c r="T539" s="25"/>
      <c r="U539" s="25"/>
      <c r="V539" s="25"/>
      <c r="W539" s="25"/>
      <c r="X539" s="25"/>
      <c r="Y539" s="25"/>
      <c r="AC539" s="2173" t="s">
        <v>626</v>
      </c>
      <c r="AD539" s="2074"/>
      <c r="AE539" s="2074"/>
      <c r="AF539" s="2074"/>
      <c r="AG539" s="75" t="s">
        <v>424</v>
      </c>
      <c r="AH539" s="2070"/>
      <c r="AI539" s="2070"/>
      <c r="AJ539" s="2070"/>
      <c r="AK539" s="207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8"/>
      <c r="C540" s="2039"/>
      <c r="D540" s="2039"/>
      <c r="E540" s="2039"/>
      <c r="F540" s="2039"/>
      <c r="G540" s="2039"/>
      <c r="H540" s="2040"/>
      <c r="I540" s="80" t="s">
        <v>443</v>
      </c>
      <c r="J540" s="80"/>
      <c r="K540" s="80"/>
      <c r="L540" s="80"/>
      <c r="M540" s="80"/>
      <c r="N540" s="80"/>
      <c r="O540" s="80"/>
      <c r="P540" s="80"/>
      <c r="Q540" s="80"/>
      <c r="R540" s="80"/>
      <c r="S540" s="80"/>
      <c r="T540" s="80"/>
      <c r="U540" s="80"/>
      <c r="V540" s="80"/>
      <c r="W540" s="80"/>
      <c r="X540" s="80"/>
      <c r="Y540" s="80"/>
      <c r="Z540" s="80"/>
      <c r="AA540" s="80"/>
      <c r="AB540" s="80"/>
      <c r="AC540" s="2173">
        <v>5</v>
      </c>
      <c r="AD540" s="2074"/>
      <c r="AE540" s="2074"/>
      <c r="AF540" s="2074"/>
      <c r="AG540" s="65" t="s">
        <v>424</v>
      </c>
      <c r="AH540" s="2070">
        <v>2022</v>
      </c>
      <c r="AI540" s="2070"/>
      <c r="AJ540" s="2070"/>
      <c r="AK540" s="207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8"/>
      <c r="C541" s="2039"/>
      <c r="D541" s="2039"/>
      <c r="E541" s="2039"/>
      <c r="F541" s="2039"/>
      <c r="G541" s="2039"/>
      <c r="H541" s="2040"/>
      <c r="I541" s="72" t="s">
        <v>444</v>
      </c>
      <c r="J541" s="72"/>
      <c r="K541" s="72"/>
      <c r="L541" s="72"/>
      <c r="M541" s="72"/>
      <c r="N541" s="72"/>
      <c r="O541" s="2050" t="s">
        <v>2669</v>
      </c>
      <c r="P541" s="2050"/>
      <c r="Q541" s="2050"/>
      <c r="R541" s="2050"/>
      <c r="S541" s="2050"/>
      <c r="T541" s="2050"/>
      <c r="U541" s="2050"/>
      <c r="V541" s="2050"/>
      <c r="W541" s="2050"/>
      <c r="X541" s="2050"/>
      <c r="Y541" s="2050"/>
      <c r="Z541" s="2050"/>
      <c r="AA541" s="2050"/>
      <c r="AC541" s="2173">
        <v>4</v>
      </c>
      <c r="AD541" s="2074"/>
      <c r="AE541" s="2074"/>
      <c r="AF541" s="2074"/>
      <c r="AG541" s="75" t="s">
        <v>424</v>
      </c>
      <c r="AH541" s="2070">
        <v>2022</v>
      </c>
      <c r="AI541" s="2070"/>
      <c r="AJ541" s="2070"/>
      <c r="AK541" s="207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8"/>
      <c r="C542" s="2039"/>
      <c r="D542" s="2039"/>
      <c r="E542" s="2039"/>
      <c r="F542" s="2039"/>
      <c r="G542" s="2039"/>
      <c r="H542" s="2040"/>
      <c r="I542" s="25" t="s">
        <v>442</v>
      </c>
      <c r="J542" s="25"/>
      <c r="K542" s="25"/>
      <c r="L542" s="25"/>
      <c r="M542" s="25"/>
      <c r="N542" s="25"/>
      <c r="O542" s="25"/>
      <c r="P542" s="25"/>
      <c r="Q542" s="25"/>
      <c r="R542" s="25"/>
      <c r="S542" s="25"/>
      <c r="T542" s="25"/>
      <c r="U542" s="25"/>
      <c r="V542" s="25"/>
      <c r="W542" s="25"/>
      <c r="X542" s="25"/>
      <c r="Y542" s="25"/>
      <c r="AC542" s="2173" t="s">
        <v>626</v>
      </c>
      <c r="AD542" s="2074"/>
      <c r="AE542" s="2074"/>
      <c r="AF542" s="2074"/>
      <c r="AG542" s="75" t="s">
        <v>424</v>
      </c>
      <c r="AH542" s="2070"/>
      <c r="AI542" s="2070"/>
      <c r="AJ542" s="2070"/>
      <c r="AK542" s="207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8"/>
      <c r="C543" s="2039"/>
      <c r="D543" s="2039"/>
      <c r="E543" s="2039"/>
      <c r="F543" s="2039"/>
      <c r="G543" s="2039"/>
      <c r="H543" s="2040"/>
      <c r="I543" s="80" t="s">
        <v>443</v>
      </c>
      <c r="J543" s="80"/>
      <c r="K543" s="80"/>
      <c r="L543" s="80"/>
      <c r="M543" s="80"/>
      <c r="N543" s="80"/>
      <c r="O543" s="80"/>
      <c r="P543" s="80"/>
      <c r="Q543" s="80"/>
      <c r="R543" s="80"/>
      <c r="S543" s="80"/>
      <c r="T543" s="80"/>
      <c r="U543" s="80"/>
      <c r="V543" s="80"/>
      <c r="W543" s="80"/>
      <c r="X543" s="80"/>
      <c r="Y543" s="80"/>
      <c r="Z543" s="80"/>
      <c r="AA543" s="80"/>
      <c r="AB543" s="80"/>
      <c r="AC543" s="2173">
        <v>4</v>
      </c>
      <c r="AD543" s="2074"/>
      <c r="AE543" s="2074"/>
      <c r="AF543" s="2074"/>
      <c r="AG543" s="65" t="s">
        <v>424</v>
      </c>
      <c r="AH543" s="2070">
        <v>2024</v>
      </c>
      <c r="AI543" s="2070"/>
      <c r="AJ543" s="2070"/>
      <c r="AK543" s="207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8"/>
      <c r="C544" s="2039"/>
      <c r="D544" s="2039"/>
      <c r="E544" s="2039"/>
      <c r="F544" s="2039"/>
      <c r="G544" s="2039"/>
      <c r="H544" s="2040"/>
      <c r="I544" s="72" t="s">
        <v>444</v>
      </c>
      <c r="J544" s="72"/>
      <c r="K544" s="72"/>
      <c r="L544" s="72"/>
      <c r="M544" s="72"/>
      <c r="N544" s="72"/>
      <c r="O544" s="2050" t="s">
        <v>343</v>
      </c>
      <c r="P544" s="2050"/>
      <c r="Q544" s="2050"/>
      <c r="R544" s="2050"/>
      <c r="S544" s="2050"/>
      <c r="T544" s="2050"/>
      <c r="U544" s="2050"/>
      <c r="V544" s="2050"/>
      <c r="W544" s="2050"/>
      <c r="X544" s="2050"/>
      <c r="Y544" s="2050"/>
      <c r="Z544" s="2050"/>
      <c r="AA544" s="2050"/>
      <c r="AC544" s="2173" t="s">
        <v>626</v>
      </c>
      <c r="AD544" s="2074"/>
      <c r="AE544" s="2074"/>
      <c r="AF544" s="2074"/>
      <c r="AG544" s="75" t="s">
        <v>424</v>
      </c>
      <c r="AH544" s="2070"/>
      <c r="AI544" s="2070"/>
      <c r="AJ544" s="2070"/>
      <c r="AK544" s="207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8"/>
      <c r="C545" s="2039"/>
      <c r="D545" s="2039"/>
      <c r="E545" s="2039"/>
      <c r="F545" s="2039"/>
      <c r="G545" s="2039"/>
      <c r="H545" s="2040"/>
      <c r="I545" s="25" t="s">
        <v>442</v>
      </c>
      <c r="J545" s="25"/>
      <c r="K545" s="25"/>
      <c r="L545" s="25"/>
      <c r="M545" s="25"/>
      <c r="N545" s="25"/>
      <c r="O545" s="25"/>
      <c r="P545" s="25"/>
      <c r="Q545" s="25"/>
      <c r="R545" s="25"/>
      <c r="S545" s="25"/>
      <c r="T545" s="25"/>
      <c r="U545" s="25"/>
      <c r="V545" s="25"/>
      <c r="W545" s="25"/>
      <c r="X545" s="25"/>
      <c r="Y545" s="25"/>
      <c r="AC545" s="2173" t="s">
        <v>626</v>
      </c>
      <c r="AD545" s="2074"/>
      <c r="AE545" s="2074"/>
      <c r="AF545" s="2074"/>
      <c r="AG545" s="65" t="s">
        <v>424</v>
      </c>
      <c r="AH545" s="2070"/>
      <c r="AI545" s="2070"/>
      <c r="AJ545" s="2070"/>
      <c r="AK545" s="207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8"/>
      <c r="C546" s="2039"/>
      <c r="D546" s="2039"/>
      <c r="E546" s="2039"/>
      <c r="F546" s="2039"/>
      <c r="G546" s="2039"/>
      <c r="H546" s="2040"/>
      <c r="I546" s="80" t="s">
        <v>443</v>
      </c>
      <c r="J546" s="80"/>
      <c r="K546" s="80"/>
      <c r="L546" s="80"/>
      <c r="M546" s="80"/>
      <c r="N546" s="80"/>
      <c r="O546" s="80"/>
      <c r="P546" s="80"/>
      <c r="Q546" s="80"/>
      <c r="R546" s="80"/>
      <c r="S546" s="80"/>
      <c r="T546" s="80"/>
      <c r="U546" s="80"/>
      <c r="V546" s="80"/>
      <c r="W546" s="80"/>
      <c r="X546" s="80"/>
      <c r="Y546" s="80"/>
      <c r="Z546" s="80"/>
      <c r="AA546" s="80"/>
      <c r="AB546" s="80"/>
      <c r="AC546" s="2173" t="s">
        <v>626</v>
      </c>
      <c r="AD546" s="2074"/>
      <c r="AE546" s="2074"/>
      <c r="AF546" s="2074"/>
      <c r="AG546" s="75" t="s">
        <v>424</v>
      </c>
      <c r="AH546" s="2070"/>
      <c r="AI546" s="2070"/>
      <c r="AJ546" s="2070"/>
      <c r="AK546" s="207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8"/>
      <c r="C547" s="2039"/>
      <c r="D547" s="2039"/>
      <c r="E547" s="2039"/>
      <c r="F547" s="2039"/>
      <c r="G547" s="2039"/>
      <c r="H547" s="2040"/>
      <c r="I547" s="72" t="s">
        <v>444</v>
      </c>
      <c r="J547" s="72"/>
      <c r="K547" s="72"/>
      <c r="L547" s="72"/>
      <c r="M547" s="72"/>
      <c r="N547" s="72"/>
      <c r="O547" s="2050" t="s">
        <v>343</v>
      </c>
      <c r="P547" s="2050"/>
      <c r="Q547" s="2050"/>
      <c r="R547" s="2050"/>
      <c r="S547" s="2050"/>
      <c r="T547" s="2050"/>
      <c r="U547" s="2050"/>
      <c r="V547" s="2050"/>
      <c r="W547" s="2050"/>
      <c r="X547" s="2050"/>
      <c r="Y547" s="2050"/>
      <c r="Z547" s="2050"/>
      <c r="AA547" s="2050"/>
      <c r="AC547" s="2173" t="s">
        <v>626</v>
      </c>
      <c r="AD547" s="2074"/>
      <c r="AE547" s="2074"/>
      <c r="AF547" s="2074"/>
      <c r="AG547" s="65" t="s">
        <v>424</v>
      </c>
      <c r="AH547" s="2070"/>
      <c r="AI547" s="2070"/>
      <c r="AJ547" s="2070"/>
      <c r="AK547" s="207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8"/>
      <c r="C548" s="2039"/>
      <c r="D548" s="2039"/>
      <c r="E548" s="2039"/>
      <c r="F548" s="2039"/>
      <c r="G548" s="2039"/>
      <c r="H548" s="2040"/>
      <c r="I548" s="25" t="s">
        <v>442</v>
      </c>
      <c r="J548" s="25"/>
      <c r="K548" s="25"/>
      <c r="L548" s="25"/>
      <c r="M548" s="25"/>
      <c r="N548" s="25"/>
      <c r="O548" s="25"/>
      <c r="P548" s="25"/>
      <c r="Q548" s="25"/>
      <c r="R548" s="25"/>
      <c r="S548" s="25"/>
      <c r="T548" s="25"/>
      <c r="U548" s="25"/>
      <c r="V548" s="25"/>
      <c r="W548" s="25"/>
      <c r="X548" s="25"/>
      <c r="Y548" s="25"/>
      <c r="AC548" s="2173" t="s">
        <v>626</v>
      </c>
      <c r="AD548" s="2074"/>
      <c r="AE548" s="2074"/>
      <c r="AF548" s="2074"/>
      <c r="AG548" s="75" t="s">
        <v>424</v>
      </c>
      <c r="AH548" s="2070"/>
      <c r="AI548" s="2070"/>
      <c r="AJ548" s="2070"/>
      <c r="AK548" s="207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8"/>
      <c r="C549" s="2039"/>
      <c r="D549" s="2039"/>
      <c r="E549" s="2039"/>
      <c r="F549" s="2039"/>
      <c r="G549" s="2039"/>
      <c r="H549" s="2040"/>
      <c r="I549" s="80" t="s">
        <v>443</v>
      </c>
      <c r="J549" s="80"/>
      <c r="K549" s="80"/>
      <c r="L549" s="80"/>
      <c r="M549" s="80"/>
      <c r="N549" s="80"/>
      <c r="O549" s="80"/>
      <c r="P549" s="80"/>
      <c r="Q549" s="80"/>
      <c r="R549" s="80"/>
      <c r="S549" s="80"/>
      <c r="T549" s="80"/>
      <c r="U549" s="80"/>
      <c r="V549" s="80"/>
      <c r="W549" s="80"/>
      <c r="X549" s="80"/>
      <c r="Y549" s="80"/>
      <c r="Z549" s="80"/>
      <c r="AA549" s="80"/>
      <c r="AB549" s="80"/>
      <c r="AC549" s="2173" t="s">
        <v>626</v>
      </c>
      <c r="AD549" s="2074"/>
      <c r="AE549" s="2074"/>
      <c r="AF549" s="2074"/>
      <c r="AG549" s="65" t="s">
        <v>424</v>
      </c>
      <c r="AH549" s="2070"/>
      <c r="AI549" s="2070"/>
      <c r="AJ549" s="2070"/>
      <c r="AK549" s="207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8"/>
      <c r="C550" s="2039"/>
      <c r="D550" s="2039"/>
      <c r="E550" s="2039"/>
      <c r="F550" s="2039"/>
      <c r="G550" s="2039"/>
      <c r="H550" s="2040"/>
      <c r="I550" s="72" t="s">
        <v>595</v>
      </c>
      <c r="J550" s="72"/>
      <c r="K550" s="72"/>
      <c r="L550" s="72"/>
      <c r="M550" s="72"/>
      <c r="N550" s="72"/>
      <c r="O550" s="72"/>
      <c r="P550" s="72"/>
      <c r="Q550" s="72"/>
      <c r="R550" s="72"/>
      <c r="S550" s="72"/>
      <c r="T550" s="72"/>
      <c r="U550" s="72"/>
      <c r="V550" s="72"/>
      <c r="W550" s="72"/>
      <c r="X550" s="25"/>
      <c r="Y550" s="25"/>
      <c r="AC550" s="2173">
        <v>7</v>
      </c>
      <c r="AD550" s="2074"/>
      <c r="AE550" s="2074"/>
      <c r="AF550" s="2074"/>
      <c r="AG550" s="65" t="s">
        <v>424</v>
      </c>
      <c r="AH550" s="2070">
        <v>2022</v>
      </c>
      <c r="AI550" s="2070"/>
      <c r="AJ550" s="2070"/>
      <c r="AK550" s="207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8"/>
      <c r="C551" s="2039"/>
      <c r="D551" s="2039"/>
      <c r="E551" s="2039"/>
      <c r="F551" s="2039"/>
      <c r="G551" s="2039"/>
      <c r="H551" s="2040"/>
      <c r="I551" s="25" t="s">
        <v>596</v>
      </c>
      <c r="J551" s="25"/>
      <c r="K551" s="25"/>
      <c r="L551" s="25"/>
      <c r="M551" s="25"/>
      <c r="N551" s="25"/>
      <c r="O551" s="25"/>
      <c r="P551" s="25"/>
      <c r="Q551" s="25"/>
      <c r="R551" s="25"/>
      <c r="S551" s="25"/>
      <c r="T551" s="25"/>
      <c r="U551" s="25"/>
      <c r="V551" s="25"/>
      <c r="W551" s="25"/>
      <c r="X551" s="25"/>
      <c r="Y551" s="25"/>
      <c r="AC551" s="2173">
        <v>6</v>
      </c>
      <c r="AD551" s="2074"/>
      <c r="AE551" s="2074"/>
      <c r="AF551" s="2074"/>
      <c r="AG551" s="75" t="s">
        <v>424</v>
      </c>
      <c r="AH551" s="2070">
        <v>2022</v>
      </c>
      <c r="AI551" s="2070"/>
      <c r="AJ551" s="2070"/>
      <c r="AK551" s="207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8"/>
      <c r="C552" s="2039"/>
      <c r="D552" s="2039"/>
      <c r="E552" s="2039"/>
      <c r="F552" s="2039"/>
      <c r="G552" s="2039"/>
      <c r="H552" s="2040"/>
      <c r="I552" s="25" t="s">
        <v>597</v>
      </c>
      <c r="J552" s="25"/>
      <c r="K552" s="25"/>
      <c r="L552" s="25"/>
      <c r="M552" s="25"/>
      <c r="N552" s="25"/>
      <c r="O552" s="25"/>
      <c r="P552" s="25"/>
      <c r="Q552" s="25"/>
      <c r="R552" s="25"/>
      <c r="S552" s="25"/>
      <c r="T552" s="25"/>
      <c r="U552" s="25"/>
      <c r="V552" s="25"/>
      <c r="W552" s="25"/>
      <c r="X552" s="25"/>
      <c r="Y552" s="25"/>
      <c r="AC552" s="2173">
        <v>4</v>
      </c>
      <c r="AD552" s="2074"/>
      <c r="AE552" s="2074"/>
      <c r="AF552" s="2074"/>
      <c r="AG552" s="65" t="s">
        <v>424</v>
      </c>
      <c r="AH552" s="2070">
        <v>2024</v>
      </c>
      <c r="AI552" s="2070"/>
      <c r="AJ552" s="2070"/>
      <c r="AK552" s="207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8"/>
      <c r="C553" s="2039"/>
      <c r="D553" s="2039"/>
      <c r="E553" s="2039"/>
      <c r="F553" s="2039"/>
      <c r="G553" s="2039"/>
      <c r="H553" s="2040"/>
      <c r="I553" s="25" t="s">
        <v>598</v>
      </c>
      <c r="J553" s="25"/>
      <c r="K553" s="25"/>
      <c r="L553" s="25"/>
      <c r="M553" s="25"/>
      <c r="N553" s="25"/>
      <c r="O553" s="25"/>
      <c r="P553" s="25"/>
      <c r="Q553" s="25"/>
      <c r="R553" s="25"/>
      <c r="S553" s="25"/>
      <c r="T553" s="25"/>
      <c r="U553" s="25"/>
      <c r="V553" s="25"/>
      <c r="W553" s="25"/>
      <c r="X553" s="25"/>
      <c r="Y553" s="25"/>
      <c r="AC553" s="2173">
        <v>4</v>
      </c>
      <c r="AD553" s="2074"/>
      <c r="AE553" s="2074"/>
      <c r="AF553" s="2074"/>
      <c r="AG553" s="65" t="s">
        <v>424</v>
      </c>
      <c r="AH553" s="2070">
        <v>2024</v>
      </c>
      <c r="AI553" s="2070"/>
      <c r="AJ553" s="2070"/>
      <c r="AK553" s="207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2"/>
      <c r="C554" s="2183"/>
      <c r="D554" s="2183"/>
      <c r="E554" s="2183"/>
      <c r="F554" s="2183"/>
      <c r="G554" s="2183"/>
      <c r="H554" s="2184"/>
      <c r="I554" s="80" t="s">
        <v>482</v>
      </c>
      <c r="J554" s="80"/>
      <c r="K554" s="80"/>
      <c r="L554" s="80"/>
      <c r="M554" s="80"/>
      <c r="N554" s="80"/>
      <c r="O554" s="80"/>
      <c r="P554" s="80"/>
      <c r="Q554" s="80"/>
      <c r="R554" s="80"/>
      <c r="S554" s="80"/>
      <c r="T554" s="80"/>
      <c r="U554" s="80"/>
      <c r="V554" s="80"/>
      <c r="W554" s="80"/>
      <c r="X554" s="80"/>
      <c r="Y554" s="80"/>
      <c r="Z554" s="80"/>
      <c r="AA554" s="80"/>
      <c r="AB554" s="80"/>
      <c r="AC554" s="2173">
        <v>7</v>
      </c>
      <c r="AD554" s="2074"/>
      <c r="AE554" s="2074"/>
      <c r="AF554" s="2074"/>
      <c r="AG554" s="65" t="s">
        <v>424</v>
      </c>
      <c r="AH554" s="2070">
        <v>2024</v>
      </c>
      <c r="AI554" s="2070"/>
      <c r="AJ554" s="2070"/>
      <c r="AK554" s="207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3" t="s">
        <v>576</v>
      </c>
      <c r="B556" s="1883"/>
      <c r="C556" s="1883"/>
      <c r="D556" s="1883"/>
      <c r="E556" s="1883"/>
      <c r="F556" s="1883"/>
      <c r="G556" s="1883"/>
      <c r="H556" s="1883"/>
      <c r="I556" s="1883"/>
      <c r="J556" s="1883"/>
      <c r="K556" s="1883"/>
      <c r="L556" s="1883"/>
      <c r="M556" s="1883"/>
      <c r="N556" s="1883"/>
      <c r="O556" s="1883"/>
      <c r="P556" s="1883"/>
      <c r="Q556" s="1883"/>
      <c r="R556" s="1883"/>
      <c r="S556" s="1883"/>
      <c r="T556" s="1883"/>
      <c r="U556" s="1883"/>
      <c r="V556" s="1883"/>
      <c r="W556" s="1883"/>
      <c r="X556" s="1883"/>
      <c r="Y556" s="1883"/>
      <c r="Z556" s="1883"/>
      <c r="AA556" s="1883"/>
      <c r="AB556" s="1883"/>
      <c r="AC556" s="1883"/>
      <c r="AD556" s="1883"/>
      <c r="AE556" s="1883"/>
      <c r="AF556" s="1883"/>
      <c r="AG556" s="1883"/>
      <c r="AH556" s="1883"/>
      <c r="AI556" s="1883"/>
      <c r="AJ556" s="1883"/>
      <c r="AK556" s="1883"/>
      <c r="AL556" s="1883"/>
      <c r="AM556" s="1883"/>
      <c r="AN556" s="1883"/>
      <c r="AO556" s="1883"/>
      <c r="AP556" s="1883"/>
      <c r="AQ556" s="1883"/>
      <c r="AR556" s="1883"/>
      <c r="AS556" s="1883"/>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3"/>
      <c r="B557" s="1883"/>
      <c r="C557" s="1883"/>
      <c r="D557" s="1883"/>
      <c r="E557" s="1883"/>
      <c r="F557" s="1883"/>
      <c r="G557" s="1883"/>
      <c r="H557" s="1883"/>
      <c r="I557" s="1883"/>
      <c r="J557" s="1883"/>
      <c r="K557" s="1883"/>
      <c r="L557" s="1883"/>
      <c r="M557" s="1883"/>
      <c r="N557" s="1883"/>
      <c r="O557" s="1883"/>
      <c r="P557" s="1883"/>
      <c r="Q557" s="1883"/>
      <c r="R557" s="1883"/>
      <c r="S557" s="1883"/>
      <c r="T557" s="1883"/>
      <c r="U557" s="1883"/>
      <c r="V557" s="1883"/>
      <c r="W557" s="1883"/>
      <c r="X557" s="1883"/>
      <c r="Y557" s="1883"/>
      <c r="Z557" s="1883"/>
      <c r="AA557" s="1883"/>
      <c r="AB557" s="1883"/>
      <c r="AC557" s="1883"/>
      <c r="AD557" s="1883"/>
      <c r="AE557" s="1883"/>
      <c r="AF557" s="1883"/>
      <c r="AG557" s="1883"/>
      <c r="AH557" s="1883"/>
      <c r="AI557" s="1883"/>
      <c r="AJ557" s="1883"/>
      <c r="AK557" s="1883"/>
      <c r="AL557" s="1883"/>
      <c r="AM557" s="1883"/>
      <c r="AN557" s="1883"/>
      <c r="AO557" s="1883"/>
      <c r="AP557" s="1883"/>
      <c r="AQ557" s="1883"/>
      <c r="AR557" s="1883"/>
      <c r="AS557" s="1883"/>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484</v>
      </c>
      <c r="C563" s="2185"/>
      <c r="D563" s="2185"/>
      <c r="E563" s="2185"/>
      <c r="F563" s="2185"/>
      <c r="G563" s="2185"/>
      <c r="H563" s="2185"/>
      <c r="I563" s="2185"/>
      <c r="J563" s="2185"/>
      <c r="K563" s="2185"/>
      <c r="L563" s="2185"/>
      <c r="M563" s="2185"/>
      <c r="N563" s="2185"/>
      <c r="O563" s="2185"/>
      <c r="P563" s="2186"/>
      <c r="Q563" s="2176" t="s">
        <v>2376</v>
      </c>
      <c r="R563" s="2177"/>
      <c r="S563" s="2178"/>
      <c r="T563" s="2176" t="s">
        <v>2374</v>
      </c>
      <c r="U563" s="2177"/>
      <c r="V563" s="2178"/>
      <c r="W563" s="2176" t="s">
        <v>485</v>
      </c>
      <c r="X563" s="2177"/>
      <c r="Y563" s="2178"/>
      <c r="Z563" s="2176" t="s">
        <v>2375</v>
      </c>
      <c r="AA563" s="2177"/>
      <c r="AB563" s="2177"/>
      <c r="AC563" s="2177"/>
      <c r="AD563" s="2177"/>
      <c r="AE563" s="2176" t="s">
        <v>2148</v>
      </c>
      <c r="AF563" s="2177"/>
      <c r="AG563" s="2177"/>
      <c r="AH563" s="2178"/>
      <c r="AI563" s="2176" t="s">
        <v>2149</v>
      </c>
      <c r="AJ563" s="2177"/>
      <c r="AK563" s="2177"/>
      <c r="AL563" s="2178"/>
      <c r="AM563" s="2176" t="s">
        <v>486</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4" t="s">
        <v>2628</v>
      </c>
      <c r="D564" s="2174"/>
      <c r="E564" s="2174"/>
      <c r="F564" s="2174"/>
      <c r="G564" s="2174"/>
      <c r="H564" s="2174"/>
      <c r="I564" s="2174"/>
      <c r="J564" s="2174"/>
      <c r="K564" s="2174"/>
      <c r="L564" s="2174"/>
      <c r="M564" s="2174"/>
      <c r="N564" s="2174"/>
      <c r="O564" s="2174"/>
      <c r="P564" s="2175"/>
      <c r="Q564" s="2169">
        <v>30</v>
      </c>
      <c r="R564" s="2169"/>
      <c r="S564" s="2170"/>
      <c r="T564" s="2168">
        <v>30</v>
      </c>
      <c r="U564" s="2169"/>
      <c r="V564" s="2170"/>
      <c r="W564" s="2179">
        <v>3.3500000000000002E-2</v>
      </c>
      <c r="X564" s="2180"/>
      <c r="Y564" s="2181"/>
      <c r="Z564" s="2065" t="s">
        <v>2638</v>
      </c>
      <c r="AA564" s="2065"/>
      <c r="AB564" s="2065"/>
      <c r="AC564" s="2065"/>
      <c r="AD564" s="2065"/>
      <c r="AE564" s="2046">
        <v>1</v>
      </c>
      <c r="AF564" s="2047"/>
      <c r="AG564" s="2047"/>
      <c r="AH564" s="2048"/>
      <c r="AI564" s="2067"/>
      <c r="AJ564" s="2068"/>
      <c r="AK564" s="2068"/>
      <c r="AL564" s="2069"/>
      <c r="AM564" s="2043">
        <v>26638727</v>
      </c>
      <c r="AN564" s="2044"/>
      <c r="AO564" s="2044"/>
      <c r="AP564" s="2044"/>
      <c r="AQ564" s="2044"/>
      <c r="AR564" s="2044"/>
      <c r="AS564" s="204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4" t="str">
        <f>C638</f>
        <v>SHRA Loan</v>
      </c>
      <c r="D565" s="2174"/>
      <c r="E565" s="2174"/>
      <c r="F565" s="2174"/>
      <c r="G565" s="2174"/>
      <c r="H565" s="2174"/>
      <c r="I565" s="2174"/>
      <c r="J565" s="2174"/>
      <c r="K565" s="2174"/>
      <c r="L565" s="2174"/>
      <c r="M565" s="2174"/>
      <c r="N565" s="2174"/>
      <c r="O565" s="2174"/>
      <c r="P565" s="2175"/>
      <c r="Q565" s="2169">
        <v>30</v>
      </c>
      <c r="R565" s="2169"/>
      <c r="S565" s="2170"/>
      <c r="T565" s="2168">
        <v>30</v>
      </c>
      <c r="U565" s="2169"/>
      <c r="V565" s="2170"/>
      <c r="W565" s="2179">
        <f>U638</f>
        <v>0.03</v>
      </c>
      <c r="X565" s="2180"/>
      <c r="Y565" s="2181"/>
      <c r="Z565" s="2065" t="s">
        <v>2639</v>
      </c>
      <c r="AA565" s="2065"/>
      <c r="AB565" s="2065"/>
      <c r="AC565" s="2065"/>
      <c r="AD565" s="2065"/>
      <c r="AE565" s="2046">
        <v>2</v>
      </c>
      <c r="AF565" s="2047"/>
      <c r="AG565" s="2047"/>
      <c r="AH565" s="2048"/>
      <c r="AI565" s="2067"/>
      <c r="AJ565" s="2068"/>
      <c r="AK565" s="2068"/>
      <c r="AL565" s="2069"/>
      <c r="AM565" s="2043">
        <f>AO638*0+1647796</f>
        <v>1647796</v>
      </c>
      <c r="AN565" s="2044"/>
      <c r="AO565" s="2044"/>
      <c r="AP565" s="2044"/>
      <c r="AQ565" s="2044"/>
      <c r="AR565" s="2044"/>
      <c r="AS565" s="204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4" t="str">
        <f t="shared" ref="C566:C568" si="0">C639</f>
        <v>Wong Center Inc. Loan</v>
      </c>
      <c r="D566" s="2174"/>
      <c r="E566" s="2174"/>
      <c r="F566" s="2174"/>
      <c r="G566" s="2174"/>
      <c r="H566" s="2174"/>
      <c r="I566" s="2174"/>
      <c r="J566" s="2174"/>
      <c r="K566" s="2174"/>
      <c r="L566" s="2174"/>
      <c r="M566" s="2174"/>
      <c r="N566" s="2174"/>
      <c r="O566" s="2174"/>
      <c r="P566" s="2175"/>
      <c r="Q566" s="2169">
        <v>30</v>
      </c>
      <c r="R566" s="2169"/>
      <c r="S566" s="2170"/>
      <c r="T566" s="2168">
        <v>30</v>
      </c>
      <c r="U566" s="2169"/>
      <c r="V566" s="2170"/>
      <c r="W566" s="2179">
        <f>U639</f>
        <v>0.03</v>
      </c>
      <c r="X566" s="2180"/>
      <c r="Y566" s="2181"/>
      <c r="Z566" s="2065" t="s">
        <v>2639</v>
      </c>
      <c r="AA566" s="2065"/>
      <c r="AB566" s="2065"/>
      <c r="AC566" s="2065"/>
      <c r="AD566" s="2065"/>
      <c r="AE566" s="2046">
        <v>3</v>
      </c>
      <c r="AF566" s="2047"/>
      <c r="AG566" s="2047"/>
      <c r="AH566" s="2048"/>
      <c r="AI566" s="2067"/>
      <c r="AJ566" s="2068"/>
      <c r="AK566" s="2068"/>
      <c r="AL566" s="2069"/>
      <c r="AM566" s="2043">
        <f>AO639*0+9716469</f>
        <v>9716469</v>
      </c>
      <c r="AN566" s="2044"/>
      <c r="AO566" s="2044"/>
      <c r="AP566" s="2044"/>
      <c r="AQ566" s="2044"/>
      <c r="AR566" s="2044"/>
      <c r="AS566" s="204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4" t="str">
        <f t="shared" si="0"/>
        <v>Impact Fee Waiver</v>
      </c>
      <c r="D567" s="2174"/>
      <c r="E567" s="2174"/>
      <c r="F567" s="2174"/>
      <c r="G567" s="2174"/>
      <c r="H567" s="2174"/>
      <c r="I567" s="2174"/>
      <c r="J567" s="2174"/>
      <c r="K567" s="2174"/>
      <c r="L567" s="2174"/>
      <c r="M567" s="2174"/>
      <c r="N567" s="2174"/>
      <c r="O567" s="2174"/>
      <c r="P567" s="2175"/>
      <c r="Q567" s="2168"/>
      <c r="R567" s="2169"/>
      <c r="S567" s="2170"/>
      <c r="T567" s="2168"/>
      <c r="U567" s="2169"/>
      <c r="V567" s="2170"/>
      <c r="W567" s="2179"/>
      <c r="X567" s="2180"/>
      <c r="Y567" s="2181"/>
      <c r="Z567" s="2065" t="s">
        <v>1383</v>
      </c>
      <c r="AA567" s="2065"/>
      <c r="AB567" s="2065"/>
      <c r="AC567" s="2065"/>
      <c r="AD567" s="2065"/>
      <c r="AE567" s="2046"/>
      <c r="AF567" s="2047"/>
      <c r="AG567" s="2047"/>
      <c r="AH567" s="2048"/>
      <c r="AI567" s="2067"/>
      <c r="AJ567" s="2068"/>
      <c r="AK567" s="2068"/>
      <c r="AL567" s="2069"/>
      <c r="AM567" s="2043">
        <f t="shared" ref="AM567:AM568" si="1">AO640</f>
        <v>1733059</v>
      </c>
      <c r="AN567" s="2044"/>
      <c r="AO567" s="2044"/>
      <c r="AP567" s="2044"/>
      <c r="AQ567" s="2044"/>
      <c r="AR567" s="2044"/>
      <c r="AS567" s="204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4" t="str">
        <f t="shared" si="0"/>
        <v>Downtown Railyard Venture, LLC Loan</v>
      </c>
      <c r="D568" s="2174"/>
      <c r="E568" s="2174"/>
      <c r="F568" s="2174"/>
      <c r="G568" s="2174"/>
      <c r="H568" s="2174"/>
      <c r="I568" s="2174"/>
      <c r="J568" s="2174"/>
      <c r="K568" s="2174"/>
      <c r="L568" s="2174"/>
      <c r="M568" s="2174"/>
      <c r="N568" s="2174"/>
      <c r="O568" s="2174"/>
      <c r="P568" s="2175"/>
      <c r="Q568" s="2168">
        <v>30</v>
      </c>
      <c r="R568" s="2169"/>
      <c r="S568" s="2170"/>
      <c r="T568" s="2168">
        <v>30</v>
      </c>
      <c r="U568" s="2169"/>
      <c r="V568" s="2170"/>
      <c r="W568" s="2179">
        <v>0.03</v>
      </c>
      <c r="X568" s="2180"/>
      <c r="Y568" s="2181"/>
      <c r="Z568" s="2065" t="s">
        <v>2639</v>
      </c>
      <c r="AA568" s="2065"/>
      <c r="AB568" s="2065"/>
      <c r="AC568" s="2065"/>
      <c r="AD568" s="2065"/>
      <c r="AE568" s="2046">
        <v>4</v>
      </c>
      <c r="AF568" s="2047"/>
      <c r="AG568" s="2047"/>
      <c r="AH568" s="2048"/>
      <c r="AI568" s="2067"/>
      <c r="AJ568" s="2068"/>
      <c r="AK568" s="2068"/>
      <c r="AL568" s="2069"/>
      <c r="AM568" s="2043">
        <f t="shared" si="1"/>
        <v>2228000</v>
      </c>
      <c r="AN568" s="2044"/>
      <c r="AO568" s="2044"/>
      <c r="AP568" s="2044"/>
      <c r="AQ568" s="2044"/>
      <c r="AR568" s="2044"/>
      <c r="AS568" s="204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4" t="str">
        <f>C644</f>
        <v>Donated Land</v>
      </c>
      <c r="D569" s="2174"/>
      <c r="E569" s="2174"/>
      <c r="F569" s="2174"/>
      <c r="G569" s="2174"/>
      <c r="H569" s="2174"/>
      <c r="I569" s="2174"/>
      <c r="J569" s="2174"/>
      <c r="K569" s="2174"/>
      <c r="L569" s="2174"/>
      <c r="M569" s="2174"/>
      <c r="N569" s="2174"/>
      <c r="O569" s="2174"/>
      <c r="P569" s="2175"/>
      <c r="Q569" s="2168"/>
      <c r="R569" s="2169"/>
      <c r="S569" s="2170"/>
      <c r="T569" s="2168"/>
      <c r="U569" s="2169"/>
      <c r="V569" s="2170"/>
      <c r="W569" s="2179"/>
      <c r="X569" s="2180"/>
      <c r="Y569" s="2181"/>
      <c r="Z569" s="2065" t="s">
        <v>1383</v>
      </c>
      <c r="AA569" s="2065"/>
      <c r="AB569" s="2065"/>
      <c r="AC569" s="2065"/>
      <c r="AD569" s="2065"/>
      <c r="AE569" s="2046"/>
      <c r="AF569" s="2047"/>
      <c r="AG569" s="2047"/>
      <c r="AH569" s="2048"/>
      <c r="AI569" s="2067"/>
      <c r="AJ569" s="2068"/>
      <c r="AK569" s="2068"/>
      <c r="AL569" s="2069"/>
      <c r="AM569" s="2043">
        <f>AO644</f>
        <v>2799900</v>
      </c>
      <c r="AN569" s="2044"/>
      <c r="AO569" s="2044"/>
      <c r="AP569" s="2044"/>
      <c r="AQ569" s="2044"/>
      <c r="AR569" s="2044"/>
      <c r="AS569" s="204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74" t="str">
        <f>C645</f>
        <v>GP Equity</v>
      </c>
      <c r="D570" s="2174"/>
      <c r="E570" s="2174"/>
      <c r="F570" s="2174"/>
      <c r="G570" s="2174"/>
      <c r="H570" s="2174"/>
      <c r="I570" s="2174"/>
      <c r="J570" s="2174"/>
      <c r="K570" s="2174"/>
      <c r="L570" s="2174"/>
      <c r="M570" s="2174"/>
      <c r="N570" s="2174"/>
      <c r="O570" s="2174"/>
      <c r="P570" s="2175"/>
      <c r="Q570" s="2168"/>
      <c r="R570" s="2169"/>
      <c r="S570" s="2170"/>
      <c r="T570" s="2168"/>
      <c r="U570" s="2169"/>
      <c r="V570" s="2170"/>
      <c r="W570" s="2179"/>
      <c r="X570" s="2180"/>
      <c r="Y570" s="2181"/>
      <c r="Z570" s="2065" t="s">
        <v>1383</v>
      </c>
      <c r="AA570" s="2065"/>
      <c r="AB570" s="2065"/>
      <c r="AC570" s="2065"/>
      <c r="AD570" s="2065"/>
      <c r="AE570" s="2046"/>
      <c r="AF570" s="2047"/>
      <c r="AG570" s="2047"/>
      <c r="AH570" s="2048"/>
      <c r="AI570" s="2067"/>
      <c r="AJ570" s="2068"/>
      <c r="AK570" s="2068"/>
      <c r="AL570" s="2069"/>
      <c r="AM570" s="2043">
        <f>AO645</f>
        <v>2589258</v>
      </c>
      <c r="AN570" s="2044"/>
      <c r="AO570" s="2044"/>
      <c r="AP570" s="2044"/>
      <c r="AQ570" s="2044"/>
      <c r="AR570" s="2044"/>
      <c r="AS570" s="204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74" t="s">
        <v>2630</v>
      </c>
      <c r="D571" s="2174"/>
      <c r="E571" s="2174"/>
      <c r="F571" s="2174"/>
      <c r="G571" s="2174"/>
      <c r="H571" s="2174"/>
      <c r="I571" s="2174"/>
      <c r="J571" s="2174"/>
      <c r="K571" s="2174"/>
      <c r="L571" s="2174"/>
      <c r="M571" s="2174"/>
      <c r="N571" s="2174"/>
      <c r="O571" s="2174"/>
      <c r="P571" s="2175"/>
      <c r="Q571" s="2168"/>
      <c r="R571" s="2169"/>
      <c r="S571" s="2170"/>
      <c r="T571" s="2168"/>
      <c r="U571" s="2169"/>
      <c r="V571" s="2170"/>
      <c r="W571" s="2179"/>
      <c r="X571" s="2180"/>
      <c r="Y571" s="2181"/>
      <c r="Z571" s="2065" t="s">
        <v>1383</v>
      </c>
      <c r="AA571" s="2065"/>
      <c r="AB571" s="2065"/>
      <c r="AC571" s="2065"/>
      <c r="AD571" s="2065"/>
      <c r="AE571" s="2046"/>
      <c r="AF571" s="2047"/>
      <c r="AG571" s="2047"/>
      <c r="AH571" s="2048"/>
      <c r="AI571" s="2067"/>
      <c r="AJ571" s="2068"/>
      <c r="AK571" s="2068"/>
      <c r="AL571" s="2069"/>
      <c r="AM571" s="2043">
        <v>3644944</v>
      </c>
      <c r="AN571" s="2044"/>
      <c r="AO571" s="2044"/>
      <c r="AP571" s="2044"/>
      <c r="AQ571" s="2044"/>
      <c r="AR571" s="2044"/>
      <c r="AS571" s="204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4"/>
      <c r="D572" s="2174"/>
      <c r="E572" s="2174"/>
      <c r="F572" s="2174"/>
      <c r="G572" s="2174"/>
      <c r="H572" s="2174"/>
      <c r="I572" s="2174"/>
      <c r="J572" s="2174"/>
      <c r="K572" s="2174"/>
      <c r="L572" s="2174"/>
      <c r="M572" s="2174"/>
      <c r="N572" s="2174"/>
      <c r="O572" s="2174"/>
      <c r="P572" s="2175"/>
      <c r="Q572" s="2168"/>
      <c r="R572" s="2169"/>
      <c r="S572" s="2170"/>
      <c r="T572" s="2168"/>
      <c r="U572" s="2169"/>
      <c r="V572" s="2170"/>
      <c r="W572" s="2179"/>
      <c r="X572" s="2180"/>
      <c r="Y572" s="2181"/>
      <c r="Z572" s="2065" t="s">
        <v>1383</v>
      </c>
      <c r="AA572" s="2065"/>
      <c r="AB572" s="2065"/>
      <c r="AC572" s="2065"/>
      <c r="AD572" s="2065"/>
      <c r="AE572" s="2046"/>
      <c r="AF572" s="2047"/>
      <c r="AG572" s="2047"/>
      <c r="AH572" s="2048"/>
      <c r="AI572" s="2067"/>
      <c r="AJ572" s="2068"/>
      <c r="AK572" s="2068"/>
      <c r="AL572" s="2069"/>
      <c r="AM572" s="2043"/>
      <c r="AN572" s="2044"/>
      <c r="AO572" s="2044"/>
      <c r="AP572" s="2044"/>
      <c r="AQ572" s="2044"/>
      <c r="AR572" s="2044"/>
      <c r="AS572" s="204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4" t="s">
        <v>2629</v>
      </c>
      <c r="D573" s="2174"/>
      <c r="E573" s="2174"/>
      <c r="F573" s="2174"/>
      <c r="G573" s="2174"/>
      <c r="H573" s="2174"/>
      <c r="I573" s="2174"/>
      <c r="J573" s="2174"/>
      <c r="K573" s="2174"/>
      <c r="L573" s="2174"/>
      <c r="M573" s="2174"/>
      <c r="N573" s="2174"/>
      <c r="O573" s="2174"/>
      <c r="P573" s="2175"/>
      <c r="Q573" s="2168"/>
      <c r="R573" s="2169"/>
      <c r="S573" s="2170"/>
      <c r="T573" s="2168"/>
      <c r="U573" s="2169"/>
      <c r="V573" s="2170"/>
      <c r="W573" s="2179"/>
      <c r="X573" s="2180"/>
      <c r="Y573" s="2181"/>
      <c r="Z573" s="2065" t="s">
        <v>1383</v>
      </c>
      <c r="AA573" s="2065"/>
      <c r="AB573" s="2065"/>
      <c r="AC573" s="2065"/>
      <c r="AD573" s="2065"/>
      <c r="AE573" s="2046"/>
      <c r="AF573" s="2047"/>
      <c r="AG573" s="2047"/>
      <c r="AH573" s="2048"/>
      <c r="AI573" s="2067"/>
      <c r="AJ573" s="2068"/>
      <c r="AK573" s="2068"/>
      <c r="AL573" s="2069"/>
      <c r="AM573" s="2043">
        <f>2182271-108000</f>
        <v>2074271</v>
      </c>
      <c r="AN573" s="2044"/>
      <c r="AO573" s="2044"/>
      <c r="AP573" s="2044"/>
      <c r="AQ573" s="2044"/>
      <c r="AR573" s="2044"/>
      <c r="AS573" s="204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4"/>
      <c r="D574" s="2174"/>
      <c r="E574" s="2174"/>
      <c r="F574" s="2174"/>
      <c r="G574" s="2174"/>
      <c r="H574" s="2174"/>
      <c r="I574" s="2174"/>
      <c r="J574" s="2174"/>
      <c r="K574" s="2174"/>
      <c r="L574" s="2174"/>
      <c r="M574" s="2174"/>
      <c r="N574" s="2174"/>
      <c r="O574" s="2174"/>
      <c r="P574" s="2175"/>
      <c r="Q574" s="2168"/>
      <c r="R574" s="2169"/>
      <c r="S574" s="2170"/>
      <c r="T574" s="2168"/>
      <c r="U574" s="2169"/>
      <c r="V574" s="2170"/>
      <c r="W574" s="2179"/>
      <c r="X574" s="2180"/>
      <c r="Y574" s="2181"/>
      <c r="Z574" s="2065" t="s">
        <v>1383</v>
      </c>
      <c r="AA574" s="2065"/>
      <c r="AB574" s="2065"/>
      <c r="AC574" s="2065"/>
      <c r="AD574" s="2065"/>
      <c r="AE574" s="2046"/>
      <c r="AF574" s="2047"/>
      <c r="AG574" s="2047"/>
      <c r="AH574" s="2048"/>
      <c r="AI574" s="2067"/>
      <c r="AJ574" s="2068"/>
      <c r="AK574" s="2068"/>
      <c r="AL574" s="2069"/>
      <c r="AM574" s="2043"/>
      <c r="AN574" s="2044"/>
      <c r="AO574" s="2044"/>
      <c r="AP574" s="2044"/>
      <c r="AQ574" s="2044"/>
      <c r="AR574" s="2044"/>
      <c r="AS574" s="204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4"/>
      <c r="D575" s="2174"/>
      <c r="E575" s="2174"/>
      <c r="F575" s="2174"/>
      <c r="G575" s="2174"/>
      <c r="H575" s="2174"/>
      <c r="I575" s="2174"/>
      <c r="J575" s="2174"/>
      <c r="K575" s="2174"/>
      <c r="L575" s="2174"/>
      <c r="M575" s="2174"/>
      <c r="N575" s="2174"/>
      <c r="O575" s="2174"/>
      <c r="P575" s="2175"/>
      <c r="Q575" s="2168"/>
      <c r="R575" s="2169"/>
      <c r="S575" s="2170"/>
      <c r="T575" s="2168"/>
      <c r="U575" s="2169"/>
      <c r="V575" s="2170"/>
      <c r="W575" s="2179"/>
      <c r="X575" s="2180"/>
      <c r="Y575" s="2181"/>
      <c r="Z575" s="2065" t="s">
        <v>1383</v>
      </c>
      <c r="AA575" s="2065"/>
      <c r="AB575" s="2065"/>
      <c r="AC575" s="2065"/>
      <c r="AD575" s="2065"/>
      <c r="AE575" s="2046"/>
      <c r="AF575" s="2047"/>
      <c r="AG575" s="2047"/>
      <c r="AH575" s="2048"/>
      <c r="AI575" s="2067"/>
      <c r="AJ575" s="2068"/>
      <c r="AK575" s="2068"/>
      <c r="AL575" s="2069"/>
      <c r="AM575" s="2043"/>
      <c r="AN575" s="2044"/>
      <c r="AO575" s="2044"/>
      <c r="AP575" s="2044"/>
      <c r="AQ575" s="2044"/>
      <c r="AR575" s="2044"/>
      <c r="AS575" s="204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9">
        <f>SUM(AM564:AS575)</f>
        <v>53072424</v>
      </c>
      <c r="AN576" s="2150"/>
      <c r="AO576" s="2150"/>
      <c r="AP576" s="2150"/>
      <c r="AQ576" s="2150"/>
      <c r="AR576" s="2150"/>
      <c r="AS576" s="215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52" t="str">
        <f>C564</f>
        <v>US Bank Tax-Exempt Construction Loan</v>
      </c>
      <c r="H578" s="2052"/>
      <c r="I578" s="2052"/>
      <c r="J578" s="2052"/>
      <c r="K578" s="2052"/>
      <c r="L578" s="2052"/>
      <c r="M578" s="2052"/>
      <c r="N578" s="2052"/>
      <c r="O578" s="2052"/>
      <c r="P578" s="2052"/>
      <c r="Q578" s="2052"/>
      <c r="R578" s="2052"/>
      <c r="S578" s="14"/>
      <c r="T578" s="87" t="s">
        <v>118</v>
      </c>
      <c r="U578" s="12" t="s">
        <v>496</v>
      </c>
      <c r="Z578" s="2052" t="str">
        <f>C565</f>
        <v>SHRA Loan</v>
      </c>
      <c r="AA578" s="2052"/>
      <c r="AB578" s="2052"/>
      <c r="AC578" s="2052"/>
      <c r="AD578" s="2052"/>
      <c r="AE578" s="2052"/>
      <c r="AF578" s="2052"/>
      <c r="AG578" s="2052"/>
      <c r="AH578" s="2052"/>
      <c r="AI578" s="2052"/>
      <c r="AJ578" s="2052"/>
      <c r="AK578" s="20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0" t="s">
        <v>2642</v>
      </c>
      <c r="H579" s="2050"/>
      <c r="I579" s="2050"/>
      <c r="J579" s="2050"/>
      <c r="K579" s="2050"/>
      <c r="L579" s="2050"/>
      <c r="M579" s="2050"/>
      <c r="N579" s="2050"/>
      <c r="O579" s="2050"/>
      <c r="P579" s="2050"/>
      <c r="Q579" s="2050"/>
      <c r="R579" s="2050"/>
      <c r="S579" s="14"/>
      <c r="T579" s="35"/>
      <c r="U579" s="12" t="s">
        <v>90</v>
      </c>
      <c r="Z579" s="2050" t="s">
        <v>2647</v>
      </c>
      <c r="AA579" s="2050"/>
      <c r="AB579" s="2050"/>
      <c r="AC579" s="2050"/>
      <c r="AD579" s="2050"/>
      <c r="AE579" s="2050"/>
      <c r="AF579" s="2050"/>
      <c r="AG579" s="2050"/>
      <c r="AH579" s="2050"/>
      <c r="AI579" s="2050"/>
      <c r="AJ579" s="2050"/>
      <c r="AK579" s="2050"/>
      <c r="BB579" s="58"/>
      <c r="BC579" s="58"/>
      <c r="BD579" s="58"/>
      <c r="BE579" s="58"/>
      <c r="BF579" s="58"/>
      <c r="BG579" s="58"/>
      <c r="BH579" s="58" t="s">
        <v>487</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0" t="s">
        <v>2643</v>
      </c>
      <c r="H580" s="2050"/>
      <c r="I580" s="2050"/>
      <c r="J580" s="2050"/>
      <c r="K580" s="2050"/>
      <c r="L580" s="2050"/>
      <c r="M580" s="2050"/>
      <c r="N580" s="2050"/>
      <c r="O580" s="2050"/>
      <c r="P580" s="2050"/>
      <c r="Q580" s="2050"/>
      <c r="R580" s="2050"/>
      <c r="S580" s="88"/>
      <c r="T580" s="35"/>
      <c r="U580" s="12" t="s">
        <v>615</v>
      </c>
      <c r="Z580" s="2053" t="s">
        <v>71</v>
      </c>
      <c r="AA580" s="2053"/>
      <c r="AB580" s="2053"/>
      <c r="AC580" s="2053"/>
      <c r="AD580" s="2053"/>
      <c r="AE580" s="2053"/>
      <c r="AF580" s="2053"/>
      <c r="AG580" s="2053"/>
      <c r="AH580" s="2053"/>
      <c r="AI580" s="2053"/>
      <c r="AJ580" s="2053"/>
      <c r="AK580" s="2053"/>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2661</v>
      </c>
      <c r="H581" s="2050"/>
      <c r="I581" s="2050"/>
      <c r="J581" s="2050"/>
      <c r="K581" s="2050"/>
      <c r="L581" s="2050"/>
      <c r="M581" s="2050"/>
      <c r="N581" s="2050"/>
      <c r="O581" s="2050"/>
      <c r="P581" s="2050"/>
      <c r="Q581" s="2050"/>
      <c r="R581" s="2050"/>
      <c r="S581" s="14"/>
      <c r="T581" s="35"/>
      <c r="U581" s="12" t="s">
        <v>17</v>
      </c>
      <c r="Z581" s="2053" t="s">
        <v>2648</v>
      </c>
      <c r="AA581" s="2053"/>
      <c r="AB581" s="2053"/>
      <c r="AC581" s="2053"/>
      <c r="AD581" s="2053"/>
      <c r="AE581" s="2053"/>
      <c r="AF581" s="2053"/>
      <c r="AG581" s="2053"/>
      <c r="AH581" s="2053"/>
      <c r="AI581" s="2053"/>
      <c r="AJ581" s="2053"/>
      <c r="AK581" s="205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0" t="s">
        <v>2644</v>
      </c>
      <c r="H582" s="2075"/>
      <c r="I582" s="2075"/>
      <c r="J582" s="2075"/>
      <c r="K582" s="2075"/>
      <c r="L582" s="2075"/>
      <c r="O582" s="137" t="s">
        <v>212</v>
      </c>
      <c r="P582" s="2041"/>
      <c r="Q582" s="2041"/>
      <c r="R582" s="2041"/>
      <c r="S582" s="16"/>
      <c r="T582" s="35"/>
      <c r="U582" s="12" t="s">
        <v>325</v>
      </c>
      <c r="Z582" s="2190" t="s">
        <v>2649</v>
      </c>
      <c r="AA582" s="2075"/>
      <c r="AB582" s="2075"/>
      <c r="AC582" s="2075"/>
      <c r="AD582" s="2075"/>
      <c r="AE582" s="2075"/>
      <c r="AH582" s="137" t="s">
        <v>212</v>
      </c>
      <c r="AI582" s="2041"/>
      <c r="AJ582" s="2041"/>
      <c r="AK582" s="204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2646</v>
      </c>
      <c r="I583" s="2050"/>
      <c r="J583" s="2050"/>
      <c r="K583" s="2050"/>
      <c r="L583" s="2050"/>
      <c r="M583" s="2050"/>
      <c r="N583" s="2050"/>
      <c r="O583" s="2050"/>
      <c r="P583" s="2050"/>
      <c r="Q583" s="2050"/>
      <c r="R583" s="2050"/>
      <c r="S583" s="14"/>
      <c r="T583" s="35"/>
      <c r="U583" s="12" t="s">
        <v>18</v>
      </c>
      <c r="AA583" s="2050" t="s">
        <v>2650</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6"/>
      <c r="N584" s="2196"/>
      <c r="O584" s="2196"/>
      <c r="P584" s="2196"/>
      <c r="Q584" s="2196"/>
      <c r="R584" s="2196"/>
      <c r="S584" s="14"/>
      <c r="T584" s="35"/>
      <c r="U584" s="509" t="s">
        <v>1384</v>
      </c>
      <c r="V584" s="719"/>
      <c r="W584" s="719"/>
      <c r="X584" s="719"/>
      <c r="Y584" s="719"/>
      <c r="Z584" s="719"/>
      <c r="AA584" s="14"/>
      <c r="AB584" s="14"/>
      <c r="AC584" s="14"/>
      <c r="AD584" s="14"/>
      <c r="AE584" s="14"/>
      <c r="AF584" s="2196"/>
      <c r="AG584" s="2196"/>
      <c r="AH584" s="2196"/>
      <c r="AI584" s="2196"/>
      <c r="AJ584" s="2196"/>
      <c r="AK584" s="21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9" t="s">
        <v>578</v>
      </c>
      <c r="O585" s="2049"/>
      <c r="T585" s="35"/>
      <c r="U585" s="12" t="s">
        <v>20</v>
      </c>
      <c r="AG585" s="2049" t="s">
        <v>578</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52" t="str">
        <f>C566</f>
        <v>Wong Center Inc. Loan</v>
      </c>
      <c r="H587" s="2052"/>
      <c r="I587" s="2052"/>
      <c r="J587" s="2052"/>
      <c r="K587" s="2052"/>
      <c r="L587" s="2052"/>
      <c r="M587" s="2052"/>
      <c r="N587" s="2052"/>
      <c r="O587" s="2052"/>
      <c r="P587" s="2052"/>
      <c r="Q587" s="2052"/>
      <c r="R587" s="2052"/>
      <c r="T587" s="87" t="s">
        <v>616</v>
      </c>
      <c r="U587" s="12" t="s">
        <v>496</v>
      </c>
      <c r="Z587" s="2052" t="str">
        <f>C567</f>
        <v>Impact Fee Waiver</v>
      </c>
      <c r="AA587" s="2052"/>
      <c r="AB587" s="2052"/>
      <c r="AC587" s="2052"/>
      <c r="AD587" s="2052"/>
      <c r="AE587" s="2052"/>
      <c r="AF587" s="2052"/>
      <c r="AG587" s="2052"/>
      <c r="AH587" s="2052"/>
      <c r="AI587" s="2052"/>
      <c r="AJ587" s="2052"/>
      <c r="AK587" s="20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2539</v>
      </c>
      <c r="H588" s="2050"/>
      <c r="I588" s="2050"/>
      <c r="J588" s="2050"/>
      <c r="K588" s="2050"/>
      <c r="L588" s="2050"/>
      <c r="M588" s="2050"/>
      <c r="N588" s="2050"/>
      <c r="O588" s="2050"/>
      <c r="P588" s="2050"/>
      <c r="Q588" s="2050"/>
      <c r="R588" s="2050"/>
      <c r="T588" s="35"/>
      <c r="U588" s="12" t="s">
        <v>90</v>
      </c>
      <c r="Z588" s="2051" t="s">
        <v>2658</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3" t="s">
        <v>71</v>
      </c>
      <c r="H589" s="2053"/>
      <c r="I589" s="2053"/>
      <c r="J589" s="2053"/>
      <c r="K589" s="2053"/>
      <c r="L589" s="2053"/>
      <c r="M589" s="2053"/>
      <c r="N589" s="2053"/>
      <c r="O589" s="2053"/>
      <c r="P589" s="2053"/>
      <c r="Q589" s="2053"/>
      <c r="R589" s="2053"/>
      <c r="T589" s="35"/>
      <c r="U589" s="12" t="s">
        <v>615</v>
      </c>
      <c r="Z589" s="2174" t="s">
        <v>71</v>
      </c>
      <c r="AA589" s="2053"/>
      <c r="AB589" s="2053"/>
      <c r="AC589" s="2053"/>
      <c r="AD589" s="2053"/>
      <c r="AE589" s="2053"/>
      <c r="AF589" s="2053"/>
      <c r="AG589" s="2053"/>
      <c r="AH589" s="2053"/>
      <c r="AI589" s="2053"/>
      <c r="AJ589" s="2053"/>
      <c r="AK589" s="205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2540</v>
      </c>
      <c r="H590" s="2053"/>
      <c r="I590" s="2053"/>
      <c r="J590" s="2053"/>
      <c r="K590" s="2053"/>
      <c r="L590" s="2053"/>
      <c r="M590" s="2053"/>
      <c r="N590" s="2053"/>
      <c r="O590" s="2053"/>
      <c r="P590" s="2053"/>
      <c r="Q590" s="2053"/>
      <c r="R590" s="2053"/>
      <c r="T590" s="35"/>
      <c r="U590" s="12" t="s">
        <v>17</v>
      </c>
      <c r="Z590" s="2174" t="s">
        <v>2660</v>
      </c>
      <c r="AA590" s="2053"/>
      <c r="AB590" s="2053"/>
      <c r="AC590" s="2053"/>
      <c r="AD590" s="2053"/>
      <c r="AE590" s="2053"/>
      <c r="AF590" s="2053"/>
      <c r="AG590" s="2053"/>
      <c r="AH590" s="2053"/>
      <c r="AI590" s="2053"/>
      <c r="AJ590" s="2053"/>
      <c r="AK590" s="205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0" t="s">
        <v>2651</v>
      </c>
      <c r="H591" s="2075"/>
      <c r="I591" s="2075"/>
      <c r="J591" s="2075"/>
      <c r="K591" s="2075"/>
      <c r="L591" s="2075"/>
      <c r="O591" s="137" t="s">
        <v>212</v>
      </c>
      <c r="P591" s="2041"/>
      <c r="Q591" s="2041"/>
      <c r="R591" s="2041"/>
      <c r="T591" s="35"/>
      <c r="U591" s="12" t="s">
        <v>325</v>
      </c>
      <c r="Z591" s="2075" t="s">
        <v>2659</v>
      </c>
      <c r="AA591" s="2075"/>
      <c r="AB591" s="2075"/>
      <c r="AC591" s="2075"/>
      <c r="AD591" s="2075"/>
      <c r="AE591" s="2075"/>
      <c r="AH591" s="137" t="s">
        <v>212</v>
      </c>
      <c r="AI591" s="2041"/>
      <c r="AJ591" s="2041"/>
      <c r="AK591" s="204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2650</v>
      </c>
      <c r="I592" s="2050"/>
      <c r="J592" s="2050"/>
      <c r="K592" s="2050"/>
      <c r="L592" s="2050"/>
      <c r="M592" s="2050"/>
      <c r="N592" s="2050"/>
      <c r="O592" s="2050"/>
      <c r="P592" s="2050"/>
      <c r="Q592" s="2050"/>
      <c r="R592" s="2050"/>
      <c r="T592" s="35"/>
      <c r="U592" s="12" t="s">
        <v>18</v>
      </c>
      <c r="AA592" s="2051" t="s">
        <v>2626</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9" t="s">
        <v>578</v>
      </c>
      <c r="O593" s="2049"/>
      <c r="T593" s="35"/>
      <c r="U593" s="12" t="s">
        <v>20</v>
      </c>
      <c r="AG593" s="2049" t="s">
        <v>578</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52" t="str">
        <f>C568</f>
        <v>Downtown Railyard Venture, LLC Loan</v>
      </c>
      <c r="H595" s="2052"/>
      <c r="I595" s="2052"/>
      <c r="J595" s="2052"/>
      <c r="K595" s="2052"/>
      <c r="L595" s="2052"/>
      <c r="M595" s="2052"/>
      <c r="N595" s="2052"/>
      <c r="O595" s="2052"/>
      <c r="P595" s="2052"/>
      <c r="Q595" s="2052"/>
      <c r="R595" s="2052"/>
      <c r="T595" s="87" t="s">
        <v>619</v>
      </c>
      <c r="U595" s="12" t="s">
        <v>496</v>
      </c>
      <c r="Z595" s="2052" t="str">
        <f>C569</f>
        <v>Donated Land</v>
      </c>
      <c r="AA595" s="2052"/>
      <c r="AB595" s="2052"/>
      <c r="AC595" s="2052"/>
      <c r="AD595" s="2052"/>
      <c r="AE595" s="2052"/>
      <c r="AF595" s="2052"/>
      <c r="AG595" s="2052"/>
      <c r="AH595" s="2052"/>
      <c r="AI595" s="2052"/>
      <c r="AJ595" s="2052"/>
      <c r="AK595" s="20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t="s">
        <v>2599</v>
      </c>
      <c r="H596" s="2050"/>
      <c r="I596" s="2050"/>
      <c r="J596" s="2050"/>
      <c r="K596" s="2050"/>
      <c r="L596" s="2050"/>
      <c r="M596" s="2050"/>
      <c r="N596" s="2050"/>
      <c r="O596" s="2050"/>
      <c r="P596" s="2050"/>
      <c r="Q596" s="2050"/>
      <c r="R596" s="2050"/>
      <c r="T596" s="35"/>
      <c r="U596" s="12" t="s">
        <v>90</v>
      </c>
      <c r="Z596" s="2050" t="s">
        <v>2530</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3" t="s">
        <v>2675</v>
      </c>
      <c r="H597" s="2053"/>
      <c r="I597" s="2053"/>
      <c r="J597" s="2053"/>
      <c r="K597" s="2053"/>
      <c r="L597" s="2053"/>
      <c r="M597" s="2053"/>
      <c r="N597" s="2053"/>
      <c r="O597" s="2053"/>
      <c r="P597" s="2053"/>
      <c r="Q597" s="2053"/>
      <c r="R597" s="2053"/>
      <c r="T597" s="35"/>
      <c r="U597" s="12" t="s">
        <v>615</v>
      </c>
      <c r="Z597" s="2053" t="s">
        <v>71</v>
      </c>
      <c r="AA597" s="2053"/>
      <c r="AB597" s="2053"/>
      <c r="AC597" s="2053"/>
      <c r="AD597" s="2053"/>
      <c r="AE597" s="2053"/>
      <c r="AF597" s="2053"/>
      <c r="AG597" s="2053"/>
      <c r="AH597" s="2053"/>
      <c r="AI597" s="2053"/>
      <c r="AJ597" s="2053"/>
      <c r="AK597" s="205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2592</v>
      </c>
      <c r="H598" s="2053"/>
      <c r="I598" s="2053"/>
      <c r="J598" s="2053"/>
      <c r="K598" s="2053"/>
      <c r="L598" s="2053"/>
      <c r="M598" s="2053"/>
      <c r="N598" s="2053"/>
      <c r="O598" s="2053"/>
      <c r="P598" s="2053"/>
      <c r="Q598" s="2053"/>
      <c r="R598" s="2053"/>
      <c r="T598" s="35"/>
      <c r="U598" s="12" t="s">
        <v>17</v>
      </c>
      <c r="Z598" s="2053" t="s">
        <v>2640</v>
      </c>
      <c r="AA598" s="2053"/>
      <c r="AB598" s="2053"/>
      <c r="AC598" s="2053"/>
      <c r="AD598" s="2053"/>
      <c r="AE598" s="2053"/>
      <c r="AF598" s="2053"/>
      <c r="AG598" s="2053"/>
      <c r="AH598" s="2053"/>
      <c r="AI598" s="2053"/>
      <c r="AJ598" s="2053"/>
      <c r="AK598" s="205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90" t="s">
        <v>2680</v>
      </c>
      <c r="H599" s="2075"/>
      <c r="I599" s="2075"/>
      <c r="J599" s="2075"/>
      <c r="K599" s="2075"/>
      <c r="L599" s="2075"/>
      <c r="O599" s="137" t="s">
        <v>212</v>
      </c>
      <c r="P599" s="2041"/>
      <c r="Q599" s="2041"/>
      <c r="R599" s="2041"/>
      <c r="T599" s="35"/>
      <c r="U599" s="12" t="s">
        <v>325</v>
      </c>
      <c r="Z599" s="2190" t="s">
        <v>2652</v>
      </c>
      <c r="AA599" s="2075"/>
      <c r="AB599" s="2075"/>
      <c r="AC599" s="2075"/>
      <c r="AD599" s="2075"/>
      <c r="AE599" s="2075"/>
      <c r="AH599" s="137" t="s">
        <v>212</v>
      </c>
      <c r="AI599" s="2041"/>
      <c r="AJ599" s="2041"/>
      <c r="AK599" s="204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2650</v>
      </c>
      <c r="I600" s="2050"/>
      <c r="J600" s="2050"/>
      <c r="K600" s="2050"/>
      <c r="L600" s="2050"/>
      <c r="M600" s="2050"/>
      <c r="N600" s="2050"/>
      <c r="O600" s="2050"/>
      <c r="P600" s="2050"/>
      <c r="Q600" s="2050"/>
      <c r="R600" s="2050"/>
      <c r="T600" s="35"/>
      <c r="U600" s="12" t="s">
        <v>18</v>
      </c>
      <c r="AA600" s="2050" t="s">
        <v>2683</v>
      </c>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9" t="s">
        <v>578</v>
      </c>
      <c r="O601" s="2049"/>
      <c r="T601" s="35"/>
      <c r="U601" s="12" t="s">
        <v>20</v>
      </c>
      <c r="AG601" s="2049" t="s">
        <v>578</v>
      </c>
      <c r="AH601" s="204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52" t="str">
        <f>C570</f>
        <v>GP Equity</v>
      </c>
      <c r="H603" s="2052"/>
      <c r="I603" s="2052"/>
      <c r="J603" s="2052"/>
      <c r="K603" s="2052"/>
      <c r="L603" s="2052"/>
      <c r="M603" s="2052"/>
      <c r="N603" s="2052"/>
      <c r="O603" s="2052"/>
      <c r="P603" s="2052"/>
      <c r="Q603" s="2052"/>
      <c r="R603" s="2052"/>
      <c r="T603" s="87" t="s">
        <v>488</v>
      </c>
      <c r="U603" s="12" t="s">
        <v>496</v>
      </c>
      <c r="Z603" s="2052" t="str">
        <f>C571</f>
        <v>Costs Deferred Until Conversion</v>
      </c>
      <c r="AA603" s="2052"/>
      <c r="AB603" s="2052"/>
      <c r="AC603" s="2052"/>
      <c r="AD603" s="2052"/>
      <c r="AE603" s="2052"/>
      <c r="AF603" s="2052"/>
      <c r="AG603" s="2052"/>
      <c r="AH603" s="2052"/>
      <c r="AI603" s="2052"/>
      <c r="AJ603" s="2052"/>
      <c r="AK603" s="20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t="s">
        <v>2530</v>
      </c>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3" t="s">
        <v>71</v>
      </c>
      <c r="H605" s="2053"/>
      <c r="I605" s="2053"/>
      <c r="J605" s="2053"/>
      <c r="K605" s="2053"/>
      <c r="L605" s="2053"/>
      <c r="M605" s="2053"/>
      <c r="N605" s="2053"/>
      <c r="O605" s="2053"/>
      <c r="P605" s="2053"/>
      <c r="Q605" s="2053"/>
      <c r="R605" s="2053"/>
      <c r="T605" s="35"/>
      <c r="U605" s="12" t="s">
        <v>615</v>
      </c>
      <c r="Z605" s="2053"/>
      <c r="AA605" s="2053"/>
      <c r="AB605" s="2053"/>
      <c r="AC605" s="2053"/>
      <c r="AD605" s="2053"/>
      <c r="AE605" s="2053"/>
      <c r="AF605" s="2053"/>
      <c r="AG605" s="2053"/>
      <c r="AH605" s="2053"/>
      <c r="AI605" s="2053"/>
      <c r="AJ605" s="2053"/>
      <c r="AK605" s="205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t="s">
        <v>2640</v>
      </c>
      <c r="H606" s="2053"/>
      <c r="I606" s="2053"/>
      <c r="J606" s="2053"/>
      <c r="K606" s="2053"/>
      <c r="L606" s="2053"/>
      <c r="M606" s="2053"/>
      <c r="N606" s="2053"/>
      <c r="O606" s="2053"/>
      <c r="P606" s="2053"/>
      <c r="Q606" s="2053"/>
      <c r="R606" s="2053"/>
      <c r="T606" s="35"/>
      <c r="U606" s="12" t="s">
        <v>17</v>
      </c>
      <c r="Z606" s="2053"/>
      <c r="AA606" s="2053"/>
      <c r="AB606" s="2053"/>
      <c r="AC606" s="2053"/>
      <c r="AD606" s="2053"/>
      <c r="AE606" s="2053"/>
      <c r="AF606" s="2053"/>
      <c r="AG606" s="2053"/>
      <c r="AH606" s="2053"/>
      <c r="AI606" s="2053"/>
      <c r="AJ606" s="2053"/>
      <c r="AK606" s="205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90" t="s">
        <v>2652</v>
      </c>
      <c r="H607" s="2075"/>
      <c r="I607" s="2075"/>
      <c r="J607" s="2075"/>
      <c r="K607" s="2075"/>
      <c r="L607" s="2075"/>
      <c r="M607" s="12"/>
      <c r="N607" s="12"/>
      <c r="O607" s="137" t="s">
        <v>212</v>
      </c>
      <c r="P607" s="2041"/>
      <c r="Q607" s="2041"/>
      <c r="R607" s="2041"/>
      <c r="S607" s="12"/>
      <c r="T607" s="35"/>
      <c r="U607" s="12" t="s">
        <v>325</v>
      </c>
      <c r="V607" s="12"/>
      <c r="W607" s="12"/>
      <c r="X607" s="12"/>
      <c r="Y607" s="12"/>
      <c r="Z607" s="2075"/>
      <c r="AA607" s="2075"/>
      <c r="AB607" s="2075"/>
      <c r="AC607" s="2075"/>
      <c r="AD607" s="2075"/>
      <c r="AE607" s="2075"/>
      <c r="AF607" s="12"/>
      <c r="AG607" s="12"/>
      <c r="AH607" s="137" t="s">
        <v>212</v>
      </c>
      <c r="AI607" s="2041"/>
      <c r="AJ607" s="2041"/>
      <c r="AK607" s="204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t="s">
        <v>2653</v>
      </c>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9" t="s">
        <v>578</v>
      </c>
      <c r="O609" s="2049"/>
      <c r="P609" s="12"/>
      <c r="Q609" s="12"/>
      <c r="R609" s="12"/>
      <c r="S609" s="12"/>
      <c r="T609" s="35"/>
      <c r="U609" s="12" t="s">
        <v>20</v>
      </c>
      <c r="V609" s="12"/>
      <c r="W609" s="12"/>
      <c r="X609" s="12"/>
      <c r="Y609" s="12"/>
      <c r="Z609" s="12"/>
      <c r="AA609" s="12"/>
      <c r="AB609" s="12"/>
      <c r="AC609" s="12"/>
      <c r="AD609" s="12"/>
      <c r="AE609" s="12"/>
      <c r="AF609" s="12"/>
      <c r="AG609" s="2049" t="s">
        <v>706</v>
      </c>
      <c r="AH609" s="204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7"/>
      <c r="BH609" s="2029"/>
      <c r="BI609" s="185" t="s">
        <v>508</v>
      </c>
      <c r="BJ609" s="186"/>
      <c r="BK609" s="2027"/>
      <c r="BL609" s="2029"/>
      <c r="BM609" s="58"/>
      <c r="BN609" s="2385" t="s">
        <v>668</v>
      </c>
      <c r="BO609" s="2386"/>
      <c r="BP609" s="2386"/>
      <c r="BQ609" s="2386"/>
      <c r="BR609" s="2387"/>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3"/>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0">
        <f t="shared" ref="BE610:BE634" si="2">IF(AND(AH728&lt;=0.5,AH728&gt;=0.36),1,0)</f>
        <v>1</v>
      </c>
      <c r="BF610" s="2031"/>
      <c r="BG610" s="2027">
        <f t="shared" ref="BG610:BG634" si="3">IF(BE610=1,G728,0)</f>
        <v>27</v>
      </c>
      <c r="BH610" s="2029"/>
      <c r="BI610" s="2030">
        <f t="shared" ref="BI610:BI634" si="4">IF(AND(AH728&lt;=0.35,AH728&gt;0),1,0)</f>
        <v>0</v>
      </c>
      <c r="BJ610" s="2031"/>
      <c r="BK610" s="2027">
        <f t="shared" ref="BK610:BK634" si="5">IF(BI610=1,G728,0)</f>
        <v>0</v>
      </c>
      <c r="BL610" s="2029"/>
      <c r="BM610" s="58"/>
      <c r="BN610" s="2024">
        <f t="shared" ref="BN610:BN634" si="6">IF(B728="SRO/Studio",G728,0)</f>
        <v>0</v>
      </c>
      <c r="BO610" s="2025"/>
      <c r="BP610" s="2025"/>
      <c r="BQ610" s="2025"/>
      <c r="BR610" s="2026"/>
      <c r="BS610" s="2023">
        <f t="shared" ref="BS610:BS634" si="7">IF(B728="1 Bedroom",G728,0)</f>
        <v>27</v>
      </c>
      <c r="BT610" s="2023"/>
      <c r="BU610" s="2023"/>
      <c r="BV610" s="2023"/>
      <c r="BW610" s="2023"/>
      <c r="BX610" s="2023">
        <f t="shared" ref="BX610:BX634" si="8">IF(B728="2 Bedrooms",G728,0)</f>
        <v>0</v>
      </c>
      <c r="BY610" s="2023"/>
      <c r="BZ610" s="2023"/>
      <c r="CA610" s="2023"/>
      <c r="CB610" s="2023"/>
      <c r="CC610" s="2023">
        <f t="shared" ref="CC610:CC634" si="9">IF(B728="3 Bedrooms",G728,0)</f>
        <v>0</v>
      </c>
      <c r="CD610" s="2023"/>
      <c r="CE610" s="2023"/>
      <c r="CF610" s="2023"/>
      <c r="CG610" s="2023"/>
      <c r="CH610" s="2023">
        <f t="shared" ref="CH610:CH634" si="10">IF(B728="4 Bedrooms",G728,0)</f>
        <v>0</v>
      </c>
      <c r="CI610" s="2023"/>
      <c r="CJ610" s="2023"/>
      <c r="CK610" s="2023"/>
      <c r="CL610" s="2023"/>
      <c r="CM610" s="2023">
        <f t="shared" ref="CM610:CM634" si="11">IF(B728="5 Bedrooms",G728,0)</f>
        <v>0</v>
      </c>
      <c r="CN610" s="2023"/>
      <c r="CO610" s="2023"/>
      <c r="CP610" s="2023"/>
      <c r="CQ610" s="2023"/>
      <c r="CR610" s="265"/>
      <c r="CS610" s="2376">
        <f t="shared" ref="CS610:CS634" si="12">IF(AND(B728="SRO/Studio",AH728&lt;=0.3),G728,0)</f>
        <v>0</v>
      </c>
      <c r="CT610" s="2376"/>
      <c r="CU610" s="2376"/>
      <c r="CV610" s="2376"/>
      <c r="CW610" s="2376"/>
      <c r="CX610" s="2376">
        <f t="shared" ref="CX610:CX634" si="13">IF(AND(B728="1 Bedroom",AH728&lt;=0.3),G728,0)</f>
        <v>0</v>
      </c>
      <c r="CY610" s="2376"/>
      <c r="CZ610" s="2376"/>
      <c r="DA610" s="2376"/>
      <c r="DB610" s="2376"/>
      <c r="DC610" s="2376">
        <f t="shared" ref="DC610:DC634" si="14">IF(AND(B728="2 Bedrooms",AH728&lt;=0.3),G728,0)</f>
        <v>0</v>
      </c>
      <c r="DD610" s="2376"/>
      <c r="DE610" s="2376"/>
      <c r="DF610" s="2376"/>
      <c r="DG610" s="2376"/>
      <c r="DH610" s="2376">
        <f t="shared" ref="DH610:DH634" si="15">IF(AND(B728="3 Bedrooms",AH728&lt;=0.3),G728,0)</f>
        <v>0</v>
      </c>
      <c r="DI610" s="2376"/>
      <c r="DJ610" s="2376"/>
      <c r="DK610" s="2376"/>
      <c r="DL610" s="2376"/>
      <c r="DM610" s="2376">
        <f t="shared" ref="DM610:DM634" si="16">IF(AND(B728="4 Bedrooms",AH728&lt;=0.3),G728,0)</f>
        <v>0</v>
      </c>
      <c r="DN610" s="2376"/>
      <c r="DO610" s="2376"/>
      <c r="DP610" s="2376"/>
      <c r="DQ610" s="2376"/>
      <c r="DR610" s="2376">
        <f t="shared" ref="DR610:DR634" si="17">IF(AND(B728="5 Bedrooms",AH728&lt;=0.3),G728,0)</f>
        <v>0</v>
      </c>
      <c r="DS610" s="2376"/>
      <c r="DT610" s="2376"/>
      <c r="DU610" s="2376"/>
      <c r="DV610" s="2376"/>
      <c r="DX610" s="2030" t="str">
        <f t="shared" ref="DX610:DX634" si="18">IF(BN610&gt;0,O728," ")</f>
        <v xml:space="preserve"> </v>
      </c>
      <c r="DY610" s="2188"/>
      <c r="DZ610" s="2188"/>
      <c r="EA610" s="2188"/>
      <c r="EB610" s="2031"/>
      <c r="EC610" s="2030">
        <f t="shared" ref="EC610:EC634" si="19">IF(BS610&gt;0,O728," ")</f>
        <v>616</v>
      </c>
      <c r="ED610" s="2188"/>
      <c r="EE610" s="2188"/>
      <c r="EF610" s="2188"/>
      <c r="EG610" s="2031"/>
      <c r="EH610" s="2030" t="str">
        <f t="shared" ref="EH610:EH634" si="20">IF(BX610&gt;0,O728," ")</f>
        <v xml:space="preserve"> </v>
      </c>
      <c r="EI610" s="2188"/>
      <c r="EJ610" s="2188"/>
      <c r="EK610" s="2188"/>
      <c r="EL610" s="2031"/>
      <c r="EM610" s="2030" t="str">
        <f t="shared" ref="EM610:EM634" si="21">IF(CC610&gt;0,O728," ")</f>
        <v xml:space="preserve"> </v>
      </c>
      <c r="EN610" s="2188"/>
      <c r="EO610" s="2188"/>
      <c r="EP610" s="2188"/>
      <c r="EQ610" s="2031"/>
      <c r="ER610" s="2030" t="str">
        <f t="shared" ref="ER610:ER634" si="22">IF(CH610&gt;0,O728," ")</f>
        <v xml:space="preserve"> </v>
      </c>
      <c r="ES610" s="2188"/>
      <c r="ET610" s="2188"/>
      <c r="EU610" s="2188"/>
      <c r="EV610" s="2031"/>
      <c r="EW610" s="2030" t="str">
        <f t="shared" ref="EW610:EW634" si="23">IF(CM610&gt;0,O728," ")</f>
        <v xml:space="preserve"> </v>
      </c>
      <c r="EX610" s="2188"/>
      <c r="EY610" s="2188"/>
      <c r="EZ610" s="2188"/>
      <c r="FA610" s="2031"/>
    </row>
    <row r="611" spans="1:157" s="7" customFormat="1" ht="12.75">
      <c r="A611" s="87" t="s">
        <v>494</v>
      </c>
      <c r="B611" s="12" t="s">
        <v>496</v>
      </c>
      <c r="C611" s="12"/>
      <c r="D611" s="12"/>
      <c r="E611" s="12"/>
      <c r="F611" s="12"/>
      <c r="G611" s="2052">
        <f>C572</f>
        <v>0</v>
      </c>
      <c r="H611" s="2052"/>
      <c r="I611" s="2052"/>
      <c r="J611" s="2052"/>
      <c r="K611" s="2052"/>
      <c r="L611" s="2052"/>
      <c r="M611" s="2052"/>
      <c r="N611" s="2052"/>
      <c r="O611" s="2052"/>
      <c r="P611" s="2052"/>
      <c r="Q611" s="2052"/>
      <c r="R611" s="2052"/>
      <c r="S611" s="12"/>
      <c r="T611" s="87" t="s">
        <v>681</v>
      </c>
      <c r="U611" s="12" t="s">
        <v>496</v>
      </c>
      <c r="V611" s="12"/>
      <c r="W611" s="12"/>
      <c r="X611" s="12"/>
      <c r="Y611" s="12"/>
      <c r="Z611" s="2052" t="str">
        <f>C573</f>
        <v xml:space="preserve">LIHTC Equity During Construction </v>
      </c>
      <c r="AA611" s="2052"/>
      <c r="AB611" s="2052"/>
      <c r="AC611" s="2052"/>
      <c r="AD611" s="2052"/>
      <c r="AE611" s="2052"/>
      <c r="AF611" s="2052"/>
      <c r="AG611" s="2052"/>
      <c r="AH611" s="2052"/>
      <c r="AI611" s="2052"/>
      <c r="AJ611" s="2052"/>
      <c r="AK611" s="2052"/>
      <c r="AL611" s="12"/>
      <c r="AM611" s="39"/>
      <c r="AN611" s="39"/>
      <c r="AO611" s="39"/>
      <c r="AP611" s="39"/>
      <c r="AQ611" s="39"/>
      <c r="AR611" s="39"/>
      <c r="AS611" s="39"/>
      <c r="AT611" s="39"/>
      <c r="AU611" s="39"/>
      <c r="AV611" s="39"/>
      <c r="AW611" s="39"/>
      <c r="AX611" s="39"/>
      <c r="AY611" s="39"/>
      <c r="BA611" s="7" t="s">
        <v>168</v>
      </c>
      <c r="BB611" s="58"/>
      <c r="BC611" s="58"/>
      <c r="BD611" s="58"/>
      <c r="BE611" s="2030">
        <f t="shared" si="2"/>
        <v>1</v>
      </c>
      <c r="BF611" s="2031"/>
      <c r="BG611" s="2027">
        <f t="shared" si="3"/>
        <v>3</v>
      </c>
      <c r="BH611" s="2029"/>
      <c r="BI611" s="2030">
        <f t="shared" si="4"/>
        <v>0</v>
      </c>
      <c r="BJ611" s="2031"/>
      <c r="BK611" s="2027">
        <f t="shared" si="5"/>
        <v>0</v>
      </c>
      <c r="BL611" s="2029"/>
      <c r="BM611" s="58"/>
      <c r="BN611" s="2024">
        <f t="shared" si="6"/>
        <v>0</v>
      </c>
      <c r="BO611" s="2025"/>
      <c r="BP611" s="2025"/>
      <c r="BQ611" s="2025"/>
      <c r="BR611" s="2026"/>
      <c r="BS611" s="2023">
        <f t="shared" si="7"/>
        <v>0</v>
      </c>
      <c r="BT611" s="2023"/>
      <c r="BU611" s="2023"/>
      <c r="BV611" s="2023"/>
      <c r="BW611" s="2023"/>
      <c r="BX611" s="2023">
        <f t="shared" si="8"/>
        <v>3</v>
      </c>
      <c r="BY611" s="2023"/>
      <c r="BZ611" s="2023"/>
      <c r="CA611" s="2023"/>
      <c r="CB611" s="2023"/>
      <c r="CC611" s="2023">
        <f t="shared" si="9"/>
        <v>0</v>
      </c>
      <c r="CD611" s="2023"/>
      <c r="CE611" s="2023"/>
      <c r="CF611" s="2023"/>
      <c r="CG611" s="2023"/>
      <c r="CH611" s="2023">
        <f t="shared" si="10"/>
        <v>0</v>
      </c>
      <c r="CI611" s="2023"/>
      <c r="CJ611" s="2023"/>
      <c r="CK611" s="2023"/>
      <c r="CL611" s="2023"/>
      <c r="CM611" s="2023">
        <f t="shared" si="11"/>
        <v>0</v>
      </c>
      <c r="CN611" s="2023"/>
      <c r="CO611" s="2023"/>
      <c r="CP611" s="2023"/>
      <c r="CQ611" s="2023"/>
      <c r="CR611" s="265"/>
      <c r="CS611" s="2376">
        <f t="shared" si="12"/>
        <v>0</v>
      </c>
      <c r="CT611" s="2376"/>
      <c r="CU611" s="2376"/>
      <c r="CV611" s="2376"/>
      <c r="CW611" s="2376"/>
      <c r="CX611" s="2376">
        <f t="shared" si="13"/>
        <v>0</v>
      </c>
      <c r="CY611" s="2376"/>
      <c r="CZ611" s="2376"/>
      <c r="DA611" s="2376"/>
      <c r="DB611" s="2376"/>
      <c r="DC611" s="2376">
        <f t="shared" si="14"/>
        <v>0</v>
      </c>
      <c r="DD611" s="2376"/>
      <c r="DE611" s="2376"/>
      <c r="DF611" s="2376"/>
      <c r="DG611" s="2376"/>
      <c r="DH611" s="2376">
        <f t="shared" si="15"/>
        <v>0</v>
      </c>
      <c r="DI611" s="2376"/>
      <c r="DJ611" s="2376"/>
      <c r="DK611" s="2376"/>
      <c r="DL611" s="2376"/>
      <c r="DM611" s="2376">
        <f t="shared" si="16"/>
        <v>0</v>
      </c>
      <c r="DN611" s="2376"/>
      <c r="DO611" s="2376"/>
      <c r="DP611" s="2376"/>
      <c r="DQ611" s="2376"/>
      <c r="DR611" s="2376">
        <f t="shared" si="17"/>
        <v>0</v>
      </c>
      <c r="DS611" s="2376"/>
      <c r="DT611" s="2376"/>
      <c r="DU611" s="2376"/>
      <c r="DV611" s="2376"/>
      <c r="DX611" s="2030" t="str">
        <f t="shared" si="18"/>
        <v xml:space="preserve"> </v>
      </c>
      <c r="DY611" s="2188"/>
      <c r="DZ611" s="2188"/>
      <c r="EA611" s="2188"/>
      <c r="EB611" s="2031"/>
      <c r="EC611" s="2030" t="str">
        <f t="shared" si="19"/>
        <v xml:space="preserve"> </v>
      </c>
      <c r="ED611" s="2188"/>
      <c r="EE611" s="2188"/>
      <c r="EF611" s="2188"/>
      <c r="EG611" s="2031"/>
      <c r="EH611" s="2030">
        <f t="shared" si="20"/>
        <v>736</v>
      </c>
      <c r="EI611" s="2188"/>
      <c r="EJ611" s="2188"/>
      <c r="EK611" s="2188"/>
      <c r="EL611" s="2031"/>
      <c r="EM611" s="2030" t="str">
        <f t="shared" si="21"/>
        <v xml:space="preserve"> </v>
      </c>
      <c r="EN611" s="2188"/>
      <c r="EO611" s="2188"/>
      <c r="EP611" s="2188"/>
      <c r="EQ611" s="2031"/>
      <c r="ER611" s="2030" t="str">
        <f t="shared" si="22"/>
        <v xml:space="preserve"> </v>
      </c>
      <c r="ES611" s="2188"/>
      <c r="ET611" s="2188"/>
      <c r="EU611" s="2188"/>
      <c r="EV611" s="2031"/>
      <c r="EW611" s="2030" t="str">
        <f t="shared" si="23"/>
        <v xml:space="preserve"> </v>
      </c>
      <c r="EX611" s="2188"/>
      <c r="EY611" s="2188"/>
      <c r="EZ611" s="2188"/>
      <c r="FA611" s="2031"/>
    </row>
    <row r="612" spans="1:157" ht="12.75">
      <c r="A612" s="35"/>
      <c r="B612" s="12" t="s">
        <v>90</v>
      </c>
      <c r="G612" s="2050"/>
      <c r="H612" s="2050"/>
      <c r="I612" s="2050"/>
      <c r="J612" s="2050"/>
      <c r="K612" s="2050"/>
      <c r="L612" s="2050"/>
      <c r="M612" s="2050"/>
      <c r="N612" s="2050"/>
      <c r="O612" s="2050"/>
      <c r="P612" s="2050"/>
      <c r="Q612" s="2050"/>
      <c r="R612" s="2050"/>
      <c r="T612" s="35"/>
      <c r="U612" s="12" t="s">
        <v>90</v>
      </c>
      <c r="Z612" s="2050" t="s">
        <v>2586</v>
      </c>
      <c r="AA612" s="2050"/>
      <c r="AB612" s="2050"/>
      <c r="AC612" s="2050"/>
      <c r="AD612" s="2050"/>
      <c r="AE612" s="2050"/>
      <c r="AF612" s="2050"/>
      <c r="AG612" s="2050"/>
      <c r="AH612" s="2050"/>
      <c r="AI612" s="2050"/>
      <c r="AJ612" s="2050"/>
      <c r="AK612" s="2050"/>
      <c r="BA612" s="7" t="s">
        <v>169</v>
      </c>
      <c r="BB612" s="58"/>
      <c r="BC612" s="58"/>
      <c r="BD612" s="58"/>
      <c r="BE612" s="2030">
        <f t="shared" si="2"/>
        <v>1</v>
      </c>
      <c r="BF612" s="2031"/>
      <c r="BG612" s="2027">
        <f t="shared" si="3"/>
        <v>81</v>
      </c>
      <c r="BH612" s="2029"/>
      <c r="BI612" s="2030">
        <f t="shared" si="4"/>
        <v>0</v>
      </c>
      <c r="BJ612" s="2031"/>
      <c r="BK612" s="2027">
        <f t="shared" si="5"/>
        <v>0</v>
      </c>
      <c r="BL612" s="2029"/>
      <c r="BM612" s="58"/>
      <c r="BN612" s="2024">
        <f t="shared" si="6"/>
        <v>0</v>
      </c>
      <c r="BO612" s="2025"/>
      <c r="BP612" s="2025"/>
      <c r="BQ612" s="2025"/>
      <c r="BR612" s="2026"/>
      <c r="BS612" s="2023">
        <f t="shared" si="7"/>
        <v>81</v>
      </c>
      <c r="BT612" s="2023"/>
      <c r="BU612" s="2023"/>
      <c r="BV612" s="2023"/>
      <c r="BW612" s="2023"/>
      <c r="BX612" s="2023">
        <f t="shared" si="8"/>
        <v>0</v>
      </c>
      <c r="BY612" s="2023"/>
      <c r="BZ612" s="2023"/>
      <c r="CA612" s="2023"/>
      <c r="CB612" s="2023"/>
      <c r="CC612" s="2023">
        <f t="shared" si="9"/>
        <v>0</v>
      </c>
      <c r="CD612" s="2023"/>
      <c r="CE612" s="2023"/>
      <c r="CF612" s="2023"/>
      <c r="CG612" s="2023"/>
      <c r="CH612" s="2023">
        <f t="shared" si="10"/>
        <v>0</v>
      </c>
      <c r="CI612" s="2023"/>
      <c r="CJ612" s="2023"/>
      <c r="CK612" s="2023"/>
      <c r="CL612" s="2023"/>
      <c r="CM612" s="2023">
        <f t="shared" si="11"/>
        <v>0</v>
      </c>
      <c r="CN612" s="2023"/>
      <c r="CO612" s="2023"/>
      <c r="CP612" s="2023"/>
      <c r="CQ612" s="2023"/>
      <c r="CR612" s="265"/>
      <c r="CS612" s="2376">
        <f t="shared" si="12"/>
        <v>0</v>
      </c>
      <c r="CT612" s="2376"/>
      <c r="CU612" s="2376"/>
      <c r="CV612" s="2376"/>
      <c r="CW612" s="2376"/>
      <c r="CX612" s="2376">
        <f t="shared" si="13"/>
        <v>0</v>
      </c>
      <c r="CY612" s="2376"/>
      <c r="CZ612" s="2376"/>
      <c r="DA612" s="2376"/>
      <c r="DB612" s="2376"/>
      <c r="DC612" s="2376">
        <f t="shared" si="14"/>
        <v>0</v>
      </c>
      <c r="DD612" s="2376"/>
      <c r="DE612" s="2376"/>
      <c r="DF612" s="2376"/>
      <c r="DG612" s="2376"/>
      <c r="DH612" s="2376">
        <f t="shared" si="15"/>
        <v>0</v>
      </c>
      <c r="DI612" s="2376"/>
      <c r="DJ612" s="2376"/>
      <c r="DK612" s="2376"/>
      <c r="DL612" s="2376"/>
      <c r="DM612" s="2376">
        <f t="shared" si="16"/>
        <v>0</v>
      </c>
      <c r="DN612" s="2376"/>
      <c r="DO612" s="2376"/>
      <c r="DP612" s="2376"/>
      <c r="DQ612" s="2376"/>
      <c r="DR612" s="2376">
        <f t="shared" si="17"/>
        <v>0</v>
      </c>
      <c r="DS612" s="2376"/>
      <c r="DT612" s="2376"/>
      <c r="DU612" s="2376"/>
      <c r="DV612" s="2376"/>
      <c r="DX612" s="2030" t="str">
        <f t="shared" si="18"/>
        <v xml:space="preserve"> </v>
      </c>
      <c r="DY612" s="2188"/>
      <c r="DZ612" s="2188"/>
      <c r="EA612" s="2188"/>
      <c r="EB612" s="2031"/>
      <c r="EC612" s="2030">
        <f t="shared" si="19"/>
        <v>786</v>
      </c>
      <c r="ED612" s="2188"/>
      <c r="EE612" s="2188"/>
      <c r="EF612" s="2188"/>
      <c r="EG612" s="2031"/>
      <c r="EH612" s="2030" t="str">
        <f t="shared" si="20"/>
        <v xml:space="preserve"> </v>
      </c>
      <c r="EI612" s="2188"/>
      <c r="EJ612" s="2188"/>
      <c r="EK612" s="2188"/>
      <c r="EL612" s="2031"/>
      <c r="EM612" s="2030" t="str">
        <f t="shared" si="21"/>
        <v xml:space="preserve"> </v>
      </c>
      <c r="EN612" s="2188"/>
      <c r="EO612" s="2188"/>
      <c r="EP612" s="2188"/>
      <c r="EQ612" s="2031"/>
      <c r="ER612" s="2030" t="str">
        <f t="shared" si="22"/>
        <v xml:space="preserve"> </v>
      </c>
      <c r="ES612" s="2188"/>
      <c r="ET612" s="2188"/>
      <c r="EU612" s="2188"/>
      <c r="EV612" s="2031"/>
      <c r="EW612" s="2030" t="str">
        <f t="shared" si="23"/>
        <v xml:space="preserve"> </v>
      </c>
      <c r="EX612" s="2188"/>
      <c r="EY612" s="2188"/>
      <c r="EZ612" s="2188"/>
      <c r="FA612" s="2031"/>
    </row>
    <row r="613" spans="1:157" ht="12.75">
      <c r="A613" s="35"/>
      <c r="B613" s="12" t="s">
        <v>615</v>
      </c>
      <c r="G613" s="2050"/>
      <c r="H613" s="2050"/>
      <c r="I613" s="2050"/>
      <c r="J613" s="2050"/>
      <c r="K613" s="2050"/>
      <c r="L613" s="2050"/>
      <c r="M613" s="2050"/>
      <c r="N613" s="2050"/>
      <c r="O613" s="2050"/>
      <c r="P613" s="2050"/>
      <c r="Q613" s="2050"/>
      <c r="R613" s="2050"/>
      <c r="T613" s="35"/>
      <c r="U613" s="12" t="s">
        <v>615</v>
      </c>
      <c r="Z613" s="2053"/>
      <c r="AA613" s="2053"/>
      <c r="AB613" s="2053"/>
      <c r="AC613" s="2053"/>
      <c r="AD613" s="2053"/>
      <c r="AE613" s="2053"/>
      <c r="AF613" s="2053"/>
      <c r="AG613" s="2053"/>
      <c r="AH613" s="2053"/>
      <c r="AI613" s="2053"/>
      <c r="AJ613" s="2053"/>
      <c r="AK613" s="2053"/>
      <c r="BA613" s="7" t="s">
        <v>170</v>
      </c>
      <c r="BB613" s="58"/>
      <c r="BC613" s="58"/>
      <c r="BD613" s="58"/>
      <c r="BE613" s="2030">
        <f t="shared" si="2"/>
        <v>1</v>
      </c>
      <c r="BF613" s="2031"/>
      <c r="BG613" s="2027">
        <f t="shared" si="3"/>
        <v>8</v>
      </c>
      <c r="BH613" s="2029"/>
      <c r="BI613" s="2030">
        <f t="shared" si="4"/>
        <v>0</v>
      </c>
      <c r="BJ613" s="2031"/>
      <c r="BK613" s="2027">
        <f t="shared" si="5"/>
        <v>0</v>
      </c>
      <c r="BL613" s="2029"/>
      <c r="BM613" s="58"/>
      <c r="BN613" s="2024">
        <f t="shared" si="6"/>
        <v>0</v>
      </c>
      <c r="BO613" s="2025"/>
      <c r="BP613" s="2025"/>
      <c r="BQ613" s="2025"/>
      <c r="BR613" s="2026"/>
      <c r="BS613" s="2023">
        <f t="shared" si="7"/>
        <v>0</v>
      </c>
      <c r="BT613" s="2023"/>
      <c r="BU613" s="2023"/>
      <c r="BV613" s="2023"/>
      <c r="BW613" s="2023"/>
      <c r="BX613" s="2023">
        <f t="shared" si="8"/>
        <v>8</v>
      </c>
      <c r="BY613" s="2023"/>
      <c r="BZ613" s="2023"/>
      <c r="CA613" s="2023"/>
      <c r="CB613" s="2023"/>
      <c r="CC613" s="2023">
        <f t="shared" si="9"/>
        <v>0</v>
      </c>
      <c r="CD613" s="2023"/>
      <c r="CE613" s="2023"/>
      <c r="CF613" s="2023"/>
      <c r="CG613" s="2023"/>
      <c r="CH613" s="2023">
        <f t="shared" si="10"/>
        <v>0</v>
      </c>
      <c r="CI613" s="2023"/>
      <c r="CJ613" s="2023"/>
      <c r="CK613" s="2023"/>
      <c r="CL613" s="2023"/>
      <c r="CM613" s="2023">
        <f t="shared" si="11"/>
        <v>0</v>
      </c>
      <c r="CN613" s="2023"/>
      <c r="CO613" s="2023"/>
      <c r="CP613" s="2023"/>
      <c r="CQ613" s="2023"/>
      <c r="CR613" s="265"/>
      <c r="CS613" s="2376">
        <f t="shared" si="12"/>
        <v>0</v>
      </c>
      <c r="CT613" s="2376"/>
      <c r="CU613" s="2376"/>
      <c r="CV613" s="2376"/>
      <c r="CW613" s="2376"/>
      <c r="CX613" s="2376">
        <f t="shared" si="13"/>
        <v>0</v>
      </c>
      <c r="CY613" s="2376"/>
      <c r="CZ613" s="2376"/>
      <c r="DA613" s="2376"/>
      <c r="DB613" s="2376"/>
      <c r="DC613" s="2376">
        <f t="shared" si="14"/>
        <v>0</v>
      </c>
      <c r="DD613" s="2376"/>
      <c r="DE613" s="2376"/>
      <c r="DF613" s="2376"/>
      <c r="DG613" s="2376"/>
      <c r="DH613" s="2376">
        <f t="shared" si="15"/>
        <v>0</v>
      </c>
      <c r="DI613" s="2376"/>
      <c r="DJ613" s="2376"/>
      <c r="DK613" s="2376"/>
      <c r="DL613" s="2376"/>
      <c r="DM613" s="2376">
        <f t="shared" si="16"/>
        <v>0</v>
      </c>
      <c r="DN613" s="2376"/>
      <c r="DO613" s="2376"/>
      <c r="DP613" s="2376"/>
      <c r="DQ613" s="2376"/>
      <c r="DR613" s="2376">
        <f t="shared" si="17"/>
        <v>0</v>
      </c>
      <c r="DS613" s="2376"/>
      <c r="DT613" s="2376"/>
      <c r="DU613" s="2376"/>
      <c r="DV613" s="2376"/>
      <c r="DX613" s="2030" t="str">
        <f t="shared" si="18"/>
        <v xml:space="preserve"> </v>
      </c>
      <c r="DY613" s="2188"/>
      <c r="DZ613" s="2188"/>
      <c r="EA613" s="2188"/>
      <c r="EB613" s="2031"/>
      <c r="EC613" s="2030" t="str">
        <f t="shared" si="19"/>
        <v xml:space="preserve"> </v>
      </c>
      <c r="ED613" s="2188"/>
      <c r="EE613" s="2188"/>
      <c r="EF613" s="2188"/>
      <c r="EG613" s="2031"/>
      <c r="EH613" s="2030">
        <f t="shared" si="20"/>
        <v>940</v>
      </c>
      <c r="EI613" s="2188"/>
      <c r="EJ613" s="2188"/>
      <c r="EK613" s="2188"/>
      <c r="EL613" s="2031"/>
      <c r="EM613" s="2030" t="str">
        <f t="shared" si="21"/>
        <v xml:space="preserve"> </v>
      </c>
      <c r="EN613" s="2188"/>
      <c r="EO613" s="2188"/>
      <c r="EP613" s="2188"/>
      <c r="EQ613" s="2031"/>
      <c r="ER613" s="2030" t="str">
        <f t="shared" si="22"/>
        <v xml:space="preserve"> </v>
      </c>
      <c r="ES613" s="2188"/>
      <c r="ET613" s="2188"/>
      <c r="EU613" s="2188"/>
      <c r="EV613" s="2031"/>
      <c r="EW613" s="2030" t="str">
        <f t="shared" si="23"/>
        <v xml:space="preserve"> </v>
      </c>
      <c r="EX613" s="2188"/>
      <c r="EY613" s="2188"/>
      <c r="EZ613" s="2188"/>
      <c r="FA613" s="2031"/>
    </row>
    <row r="614" spans="1:157" ht="12.75">
      <c r="A614" s="35"/>
      <c r="B614" s="12" t="s">
        <v>17</v>
      </c>
      <c r="G614" s="2050"/>
      <c r="H614" s="2050"/>
      <c r="I614" s="2050"/>
      <c r="J614" s="2050"/>
      <c r="K614" s="2050"/>
      <c r="L614" s="2050"/>
      <c r="M614" s="2050"/>
      <c r="N614" s="2050"/>
      <c r="O614" s="2050"/>
      <c r="P614" s="2050"/>
      <c r="Q614" s="2050"/>
      <c r="R614" s="2050"/>
      <c r="T614" s="35"/>
      <c r="U614" s="12" t="s">
        <v>17</v>
      </c>
      <c r="Z614" s="2053"/>
      <c r="AA614" s="2053"/>
      <c r="AB614" s="2053"/>
      <c r="AC614" s="2053"/>
      <c r="AD614" s="2053"/>
      <c r="AE614" s="2053"/>
      <c r="AF614" s="2053"/>
      <c r="AG614" s="2053"/>
      <c r="AH614" s="2053"/>
      <c r="AI614" s="2053"/>
      <c r="AJ614" s="2053"/>
      <c r="AK614" s="2053"/>
      <c r="BA614" s="7" t="s">
        <v>31</v>
      </c>
      <c r="BB614" s="58"/>
      <c r="BC614" s="58"/>
      <c r="BD614" s="58"/>
      <c r="BE614" s="2030">
        <f t="shared" si="2"/>
        <v>0</v>
      </c>
      <c r="BF614" s="2031"/>
      <c r="BG614" s="2027">
        <f t="shared" si="3"/>
        <v>0</v>
      </c>
      <c r="BH614" s="2029"/>
      <c r="BI614" s="2030">
        <f t="shared" si="4"/>
        <v>0</v>
      </c>
      <c r="BJ614" s="2031"/>
      <c r="BK614" s="2027">
        <f t="shared" si="5"/>
        <v>0</v>
      </c>
      <c r="BL614" s="2029"/>
      <c r="BM614" s="58"/>
      <c r="BN614" s="2024">
        <f t="shared" si="6"/>
        <v>0</v>
      </c>
      <c r="BO614" s="2025"/>
      <c r="BP614" s="2025"/>
      <c r="BQ614" s="2025"/>
      <c r="BR614" s="2026"/>
      <c r="BS614" s="2023">
        <f t="shared" si="7"/>
        <v>27</v>
      </c>
      <c r="BT614" s="2023"/>
      <c r="BU614" s="2023"/>
      <c r="BV614" s="2023"/>
      <c r="BW614" s="2023"/>
      <c r="BX614" s="2023">
        <f t="shared" si="8"/>
        <v>0</v>
      </c>
      <c r="BY614" s="2023"/>
      <c r="BZ614" s="2023"/>
      <c r="CA614" s="2023"/>
      <c r="CB614" s="2023"/>
      <c r="CC614" s="2023">
        <f t="shared" si="9"/>
        <v>0</v>
      </c>
      <c r="CD614" s="2023"/>
      <c r="CE614" s="2023"/>
      <c r="CF614" s="2023"/>
      <c r="CG614" s="2023"/>
      <c r="CH614" s="2023">
        <f t="shared" si="10"/>
        <v>0</v>
      </c>
      <c r="CI614" s="2023"/>
      <c r="CJ614" s="2023"/>
      <c r="CK614" s="2023"/>
      <c r="CL614" s="2023"/>
      <c r="CM614" s="2023">
        <f t="shared" si="11"/>
        <v>0</v>
      </c>
      <c r="CN614" s="2023"/>
      <c r="CO614" s="2023"/>
      <c r="CP614" s="2023"/>
      <c r="CQ614" s="2023"/>
      <c r="CR614" s="265"/>
      <c r="CS614" s="2376">
        <f t="shared" si="12"/>
        <v>0</v>
      </c>
      <c r="CT614" s="2376"/>
      <c r="CU614" s="2376"/>
      <c r="CV614" s="2376"/>
      <c r="CW614" s="2376"/>
      <c r="CX614" s="2376">
        <f t="shared" si="13"/>
        <v>0</v>
      </c>
      <c r="CY614" s="2376"/>
      <c r="CZ614" s="2376"/>
      <c r="DA614" s="2376"/>
      <c r="DB614" s="2376"/>
      <c r="DC614" s="2376">
        <f t="shared" si="14"/>
        <v>0</v>
      </c>
      <c r="DD614" s="2376"/>
      <c r="DE614" s="2376"/>
      <c r="DF614" s="2376"/>
      <c r="DG614" s="2376"/>
      <c r="DH614" s="2376">
        <f t="shared" si="15"/>
        <v>0</v>
      </c>
      <c r="DI614" s="2376"/>
      <c r="DJ614" s="2376"/>
      <c r="DK614" s="2376"/>
      <c r="DL614" s="2376"/>
      <c r="DM614" s="2376">
        <f t="shared" si="16"/>
        <v>0</v>
      </c>
      <c r="DN614" s="2376"/>
      <c r="DO614" s="2376"/>
      <c r="DP614" s="2376"/>
      <c r="DQ614" s="2376"/>
      <c r="DR614" s="2376">
        <f t="shared" si="17"/>
        <v>0</v>
      </c>
      <c r="DS614" s="2376"/>
      <c r="DT614" s="2376"/>
      <c r="DU614" s="2376"/>
      <c r="DV614" s="2376"/>
      <c r="DX614" s="2030" t="str">
        <f t="shared" si="18"/>
        <v xml:space="preserve"> </v>
      </c>
      <c r="DY614" s="2188"/>
      <c r="DZ614" s="2188"/>
      <c r="EA614" s="2188"/>
      <c r="EB614" s="2031"/>
      <c r="EC614" s="2030">
        <f t="shared" si="19"/>
        <v>956</v>
      </c>
      <c r="ED614" s="2188"/>
      <c r="EE614" s="2188"/>
      <c r="EF614" s="2188"/>
      <c r="EG614" s="2031"/>
      <c r="EH614" s="2030" t="str">
        <f t="shared" si="20"/>
        <v xml:space="preserve"> </v>
      </c>
      <c r="EI614" s="2188"/>
      <c r="EJ614" s="2188"/>
      <c r="EK614" s="2188"/>
      <c r="EL614" s="2031"/>
      <c r="EM614" s="2030" t="str">
        <f t="shared" si="21"/>
        <v xml:space="preserve"> </v>
      </c>
      <c r="EN614" s="2188"/>
      <c r="EO614" s="2188"/>
      <c r="EP614" s="2188"/>
      <c r="EQ614" s="2031"/>
      <c r="ER614" s="2030" t="str">
        <f t="shared" si="22"/>
        <v xml:space="preserve"> </v>
      </c>
      <c r="ES614" s="2188"/>
      <c r="ET614" s="2188"/>
      <c r="EU614" s="2188"/>
      <c r="EV614" s="2031"/>
      <c r="EW614" s="2030" t="str">
        <f t="shared" si="23"/>
        <v xml:space="preserve"> </v>
      </c>
      <c r="EX614" s="2188"/>
      <c r="EY614" s="2188"/>
      <c r="EZ614" s="2188"/>
      <c r="FA614" s="2031"/>
    </row>
    <row r="615" spans="1:157" ht="12.75">
      <c r="A615" s="35"/>
      <c r="B615" s="12" t="s">
        <v>325</v>
      </c>
      <c r="G615" s="2075"/>
      <c r="H615" s="2075"/>
      <c r="I615" s="2075"/>
      <c r="J615" s="2075"/>
      <c r="K615" s="2075"/>
      <c r="L615" s="2075"/>
      <c r="O615" s="137" t="s">
        <v>212</v>
      </c>
      <c r="P615" s="2041"/>
      <c r="Q615" s="2041"/>
      <c r="R615" s="2041"/>
      <c r="T615" s="35"/>
      <c r="U615" s="12" t="s">
        <v>325</v>
      </c>
      <c r="Z615" s="2075"/>
      <c r="AA615" s="2075"/>
      <c r="AB615" s="2075"/>
      <c r="AC615" s="2075"/>
      <c r="AD615" s="2075"/>
      <c r="AE615" s="2075"/>
      <c r="AH615" s="137" t="s">
        <v>212</v>
      </c>
      <c r="AI615" s="2041"/>
      <c r="AJ615" s="2041"/>
      <c r="AK615" s="2041"/>
      <c r="AZ615" s="58"/>
      <c r="BA615" s="58"/>
      <c r="BB615" s="58"/>
      <c r="BC615" s="58"/>
      <c r="BD615" s="58"/>
      <c r="BE615" s="2030">
        <f t="shared" si="2"/>
        <v>0</v>
      </c>
      <c r="BF615" s="2031"/>
      <c r="BG615" s="2027">
        <f t="shared" si="3"/>
        <v>0</v>
      </c>
      <c r="BH615" s="2029"/>
      <c r="BI615" s="2030">
        <f t="shared" si="4"/>
        <v>0</v>
      </c>
      <c r="BJ615" s="2031"/>
      <c r="BK615" s="2027">
        <f t="shared" si="5"/>
        <v>0</v>
      </c>
      <c r="BL615" s="2029"/>
      <c r="BM615" s="58"/>
      <c r="BN615" s="2024">
        <f t="shared" si="6"/>
        <v>0</v>
      </c>
      <c r="BO615" s="2025"/>
      <c r="BP615" s="2025"/>
      <c r="BQ615" s="2025"/>
      <c r="BR615" s="2026"/>
      <c r="BS615" s="2023">
        <f t="shared" si="7"/>
        <v>0</v>
      </c>
      <c r="BT615" s="2023"/>
      <c r="BU615" s="2023"/>
      <c r="BV615" s="2023"/>
      <c r="BW615" s="2023"/>
      <c r="BX615" s="2023">
        <f t="shared" si="8"/>
        <v>3</v>
      </c>
      <c r="BY615" s="2023"/>
      <c r="BZ615" s="2023"/>
      <c r="CA615" s="2023"/>
      <c r="CB615" s="2023"/>
      <c r="CC615" s="2023">
        <f t="shared" si="9"/>
        <v>0</v>
      </c>
      <c r="CD615" s="2023"/>
      <c r="CE615" s="2023"/>
      <c r="CF615" s="2023"/>
      <c r="CG615" s="2023"/>
      <c r="CH615" s="2023">
        <f t="shared" si="10"/>
        <v>0</v>
      </c>
      <c r="CI615" s="2023"/>
      <c r="CJ615" s="2023"/>
      <c r="CK615" s="2023"/>
      <c r="CL615" s="2023"/>
      <c r="CM615" s="2023">
        <f t="shared" si="11"/>
        <v>0</v>
      </c>
      <c r="CN615" s="2023"/>
      <c r="CO615" s="2023"/>
      <c r="CP615" s="2023"/>
      <c r="CQ615" s="2023"/>
      <c r="CR615" s="265"/>
      <c r="CS615" s="2376">
        <f t="shared" si="12"/>
        <v>0</v>
      </c>
      <c r="CT615" s="2376"/>
      <c r="CU615" s="2376"/>
      <c r="CV615" s="2376"/>
      <c r="CW615" s="2376"/>
      <c r="CX615" s="2376">
        <f t="shared" si="13"/>
        <v>0</v>
      </c>
      <c r="CY615" s="2376"/>
      <c r="CZ615" s="2376"/>
      <c r="DA615" s="2376"/>
      <c r="DB615" s="2376"/>
      <c r="DC615" s="2376">
        <f t="shared" si="14"/>
        <v>0</v>
      </c>
      <c r="DD615" s="2376"/>
      <c r="DE615" s="2376"/>
      <c r="DF615" s="2376"/>
      <c r="DG615" s="2376"/>
      <c r="DH615" s="2376">
        <f t="shared" si="15"/>
        <v>0</v>
      </c>
      <c r="DI615" s="2376"/>
      <c r="DJ615" s="2376"/>
      <c r="DK615" s="2376"/>
      <c r="DL615" s="2376"/>
      <c r="DM615" s="2376">
        <f t="shared" si="16"/>
        <v>0</v>
      </c>
      <c r="DN615" s="2376"/>
      <c r="DO615" s="2376"/>
      <c r="DP615" s="2376"/>
      <c r="DQ615" s="2376"/>
      <c r="DR615" s="2376">
        <f t="shared" si="17"/>
        <v>0</v>
      </c>
      <c r="DS615" s="2376"/>
      <c r="DT615" s="2376"/>
      <c r="DU615" s="2376"/>
      <c r="DV615" s="2376"/>
      <c r="DX615" s="2030" t="str">
        <f t="shared" si="18"/>
        <v xml:space="preserve"> </v>
      </c>
      <c r="DY615" s="2188"/>
      <c r="DZ615" s="2188"/>
      <c r="EA615" s="2188"/>
      <c r="EB615" s="2031"/>
      <c r="EC615" s="2030" t="str">
        <f t="shared" si="19"/>
        <v xml:space="preserve"> </v>
      </c>
      <c r="ED615" s="2188"/>
      <c r="EE615" s="2188"/>
      <c r="EF615" s="2188"/>
      <c r="EG615" s="2031"/>
      <c r="EH615" s="2030">
        <f t="shared" si="20"/>
        <v>1144</v>
      </c>
      <c r="EI615" s="2188"/>
      <c r="EJ615" s="2188"/>
      <c r="EK615" s="2188"/>
      <c r="EL615" s="2031"/>
      <c r="EM615" s="2030" t="str">
        <f t="shared" si="21"/>
        <v xml:space="preserve"> </v>
      </c>
      <c r="EN615" s="2188"/>
      <c r="EO615" s="2188"/>
      <c r="EP615" s="2188"/>
      <c r="EQ615" s="2031"/>
      <c r="ER615" s="2030" t="str">
        <f t="shared" si="22"/>
        <v xml:space="preserve"> </v>
      </c>
      <c r="ES615" s="2188"/>
      <c r="ET615" s="2188"/>
      <c r="EU615" s="2188"/>
      <c r="EV615" s="2031"/>
      <c r="EW615" s="2030" t="str">
        <f t="shared" si="23"/>
        <v xml:space="preserve"> </v>
      </c>
      <c r="EX615" s="2188"/>
      <c r="EY615" s="2188"/>
      <c r="EZ615" s="2188"/>
      <c r="FA615" s="2031"/>
    </row>
    <row r="616" spans="1:157" ht="12.7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30">
        <f t="shared" si="2"/>
        <v>0</v>
      </c>
      <c r="BF616" s="2031"/>
      <c r="BG616" s="2027">
        <f t="shared" si="3"/>
        <v>0</v>
      </c>
      <c r="BH616" s="2029"/>
      <c r="BI616" s="2030">
        <f t="shared" si="4"/>
        <v>0</v>
      </c>
      <c r="BJ616" s="2031"/>
      <c r="BK616" s="2027">
        <f t="shared" si="5"/>
        <v>0</v>
      </c>
      <c r="BL616" s="2029"/>
      <c r="BM616" s="58"/>
      <c r="BN616" s="2024">
        <f t="shared" si="6"/>
        <v>0</v>
      </c>
      <c r="BO616" s="2025"/>
      <c r="BP616" s="2025"/>
      <c r="BQ616" s="2025"/>
      <c r="BR616" s="2026"/>
      <c r="BS616" s="2023">
        <f t="shared" si="7"/>
        <v>0</v>
      </c>
      <c r="BT616" s="2023"/>
      <c r="BU616" s="2023"/>
      <c r="BV616" s="2023"/>
      <c r="BW616" s="2023"/>
      <c r="BX616" s="2023">
        <f t="shared" si="8"/>
        <v>0</v>
      </c>
      <c r="BY616" s="2023"/>
      <c r="BZ616" s="2023"/>
      <c r="CA616" s="2023"/>
      <c r="CB616" s="2023"/>
      <c r="CC616" s="2023">
        <f t="shared" si="9"/>
        <v>0</v>
      </c>
      <c r="CD616" s="2023"/>
      <c r="CE616" s="2023"/>
      <c r="CF616" s="2023"/>
      <c r="CG616" s="2023"/>
      <c r="CH616" s="2023">
        <f t="shared" si="10"/>
        <v>0</v>
      </c>
      <c r="CI616" s="2023"/>
      <c r="CJ616" s="2023"/>
      <c r="CK616" s="2023"/>
      <c r="CL616" s="2023"/>
      <c r="CM616" s="2023">
        <f t="shared" si="11"/>
        <v>0</v>
      </c>
      <c r="CN616" s="2023"/>
      <c r="CO616" s="2023"/>
      <c r="CP616" s="2023"/>
      <c r="CQ616" s="2023"/>
      <c r="CR616" s="265"/>
      <c r="CS616" s="2376">
        <f t="shared" si="12"/>
        <v>0</v>
      </c>
      <c r="CT616" s="2376"/>
      <c r="CU616" s="2376"/>
      <c r="CV616" s="2376"/>
      <c r="CW616" s="2376"/>
      <c r="CX616" s="2376">
        <f t="shared" si="13"/>
        <v>0</v>
      </c>
      <c r="CY616" s="2376"/>
      <c r="CZ616" s="2376"/>
      <c r="DA616" s="2376"/>
      <c r="DB616" s="2376"/>
      <c r="DC616" s="2376">
        <f t="shared" si="14"/>
        <v>0</v>
      </c>
      <c r="DD616" s="2376"/>
      <c r="DE616" s="2376"/>
      <c r="DF616" s="2376"/>
      <c r="DG616" s="2376"/>
      <c r="DH616" s="2376">
        <f t="shared" si="15"/>
        <v>0</v>
      </c>
      <c r="DI616" s="2376"/>
      <c r="DJ616" s="2376"/>
      <c r="DK616" s="2376"/>
      <c r="DL616" s="2376"/>
      <c r="DM616" s="2376">
        <f t="shared" si="16"/>
        <v>0</v>
      </c>
      <c r="DN616" s="2376"/>
      <c r="DO616" s="2376"/>
      <c r="DP616" s="2376"/>
      <c r="DQ616" s="2376"/>
      <c r="DR616" s="2376">
        <f t="shared" si="17"/>
        <v>0</v>
      </c>
      <c r="DS616" s="2376"/>
      <c r="DT616" s="2376"/>
      <c r="DU616" s="2376"/>
      <c r="DV616" s="2376"/>
      <c r="DX616" s="2030" t="str">
        <f t="shared" si="18"/>
        <v xml:space="preserve"> </v>
      </c>
      <c r="DY616" s="2188"/>
      <c r="DZ616" s="2188"/>
      <c r="EA616" s="2188"/>
      <c r="EB616" s="2031"/>
      <c r="EC616" s="2030" t="str">
        <f t="shared" si="19"/>
        <v xml:space="preserve"> </v>
      </c>
      <c r="ED616" s="2188"/>
      <c r="EE616" s="2188"/>
      <c r="EF616" s="2188"/>
      <c r="EG616" s="2031"/>
      <c r="EH616" s="2030" t="str">
        <f t="shared" si="20"/>
        <v xml:space="preserve"> </v>
      </c>
      <c r="EI616" s="2188"/>
      <c r="EJ616" s="2188"/>
      <c r="EK616" s="2188"/>
      <c r="EL616" s="2031"/>
      <c r="EM616" s="2030" t="str">
        <f t="shared" si="21"/>
        <v xml:space="preserve"> </v>
      </c>
      <c r="EN616" s="2188"/>
      <c r="EO616" s="2188"/>
      <c r="EP616" s="2188"/>
      <c r="EQ616" s="2031"/>
      <c r="ER616" s="2030" t="str">
        <f t="shared" si="22"/>
        <v xml:space="preserve"> </v>
      </c>
      <c r="ES616" s="2188"/>
      <c r="ET616" s="2188"/>
      <c r="EU616" s="2188"/>
      <c r="EV616" s="2031"/>
      <c r="EW616" s="2030" t="str">
        <f t="shared" si="23"/>
        <v xml:space="preserve"> </v>
      </c>
      <c r="EX616" s="2188"/>
      <c r="EY616" s="2188"/>
      <c r="EZ616" s="2188"/>
      <c r="FA616" s="2031"/>
    </row>
    <row r="617" spans="1:157" ht="12.75">
      <c r="A617" s="35"/>
      <c r="B617" s="12" t="s">
        <v>20</v>
      </c>
      <c r="N617" s="2049" t="s">
        <v>706</v>
      </c>
      <c r="O617" s="2049"/>
      <c r="T617" s="35"/>
      <c r="U617" s="12" t="s">
        <v>20</v>
      </c>
      <c r="AG617" s="2049" t="s">
        <v>706</v>
      </c>
      <c r="AH617" s="2049"/>
      <c r="AZ617" s="58"/>
      <c r="BA617" s="58"/>
      <c r="BB617" s="58"/>
      <c r="BC617" s="58"/>
      <c r="BD617" s="58"/>
      <c r="BE617" s="2030">
        <f t="shared" si="2"/>
        <v>0</v>
      </c>
      <c r="BF617" s="2031"/>
      <c r="BG617" s="2027">
        <f t="shared" si="3"/>
        <v>0</v>
      </c>
      <c r="BH617" s="2029"/>
      <c r="BI617" s="2030">
        <f t="shared" si="4"/>
        <v>0</v>
      </c>
      <c r="BJ617" s="2031"/>
      <c r="BK617" s="2027">
        <f t="shared" si="5"/>
        <v>0</v>
      </c>
      <c r="BL617" s="2029"/>
      <c r="BM617" s="58"/>
      <c r="BN617" s="2024">
        <f t="shared" si="6"/>
        <v>0</v>
      </c>
      <c r="BO617" s="2025"/>
      <c r="BP617" s="2025"/>
      <c r="BQ617" s="2025"/>
      <c r="BR617" s="2026"/>
      <c r="BS617" s="2023">
        <f t="shared" si="7"/>
        <v>0</v>
      </c>
      <c r="BT617" s="2023"/>
      <c r="BU617" s="2023"/>
      <c r="BV617" s="2023"/>
      <c r="BW617" s="2023"/>
      <c r="BX617" s="2023">
        <f t="shared" si="8"/>
        <v>0</v>
      </c>
      <c r="BY617" s="2023"/>
      <c r="BZ617" s="2023"/>
      <c r="CA617" s="2023"/>
      <c r="CB617" s="2023"/>
      <c r="CC617" s="2023">
        <f t="shared" si="9"/>
        <v>0</v>
      </c>
      <c r="CD617" s="2023"/>
      <c r="CE617" s="2023"/>
      <c r="CF617" s="2023"/>
      <c r="CG617" s="2023"/>
      <c r="CH617" s="2023">
        <f t="shared" si="10"/>
        <v>0</v>
      </c>
      <c r="CI617" s="2023"/>
      <c r="CJ617" s="2023"/>
      <c r="CK617" s="2023"/>
      <c r="CL617" s="2023"/>
      <c r="CM617" s="2023">
        <f t="shared" si="11"/>
        <v>0</v>
      </c>
      <c r="CN617" s="2023"/>
      <c r="CO617" s="2023"/>
      <c r="CP617" s="2023"/>
      <c r="CQ617" s="2023"/>
      <c r="CR617" s="265"/>
      <c r="CS617" s="2376">
        <f t="shared" si="12"/>
        <v>0</v>
      </c>
      <c r="CT617" s="2376"/>
      <c r="CU617" s="2376"/>
      <c r="CV617" s="2376"/>
      <c r="CW617" s="2376"/>
      <c r="CX617" s="2376">
        <f t="shared" si="13"/>
        <v>0</v>
      </c>
      <c r="CY617" s="2376"/>
      <c r="CZ617" s="2376"/>
      <c r="DA617" s="2376"/>
      <c r="DB617" s="2376"/>
      <c r="DC617" s="2376">
        <f t="shared" si="14"/>
        <v>0</v>
      </c>
      <c r="DD617" s="2376"/>
      <c r="DE617" s="2376"/>
      <c r="DF617" s="2376"/>
      <c r="DG617" s="2376"/>
      <c r="DH617" s="2376">
        <f t="shared" si="15"/>
        <v>0</v>
      </c>
      <c r="DI617" s="2376"/>
      <c r="DJ617" s="2376"/>
      <c r="DK617" s="2376"/>
      <c r="DL617" s="2376"/>
      <c r="DM617" s="2376">
        <f t="shared" si="16"/>
        <v>0</v>
      </c>
      <c r="DN617" s="2376"/>
      <c r="DO617" s="2376"/>
      <c r="DP617" s="2376"/>
      <c r="DQ617" s="2376"/>
      <c r="DR617" s="2376">
        <f t="shared" si="17"/>
        <v>0</v>
      </c>
      <c r="DS617" s="2376"/>
      <c r="DT617" s="2376"/>
      <c r="DU617" s="2376"/>
      <c r="DV617" s="2376"/>
      <c r="DX617" s="2030" t="str">
        <f t="shared" si="18"/>
        <v xml:space="preserve"> </v>
      </c>
      <c r="DY617" s="2188"/>
      <c r="DZ617" s="2188"/>
      <c r="EA617" s="2188"/>
      <c r="EB617" s="2031"/>
      <c r="EC617" s="2030" t="str">
        <f t="shared" si="19"/>
        <v xml:space="preserve"> </v>
      </c>
      <c r="ED617" s="2188"/>
      <c r="EE617" s="2188"/>
      <c r="EF617" s="2188"/>
      <c r="EG617" s="2031"/>
      <c r="EH617" s="2030" t="str">
        <f t="shared" si="20"/>
        <v xml:space="preserve"> </v>
      </c>
      <c r="EI617" s="2188"/>
      <c r="EJ617" s="2188"/>
      <c r="EK617" s="2188"/>
      <c r="EL617" s="2031"/>
      <c r="EM617" s="2030" t="str">
        <f t="shared" si="21"/>
        <v xml:space="preserve"> </v>
      </c>
      <c r="EN617" s="2188"/>
      <c r="EO617" s="2188"/>
      <c r="EP617" s="2188"/>
      <c r="EQ617" s="2031"/>
      <c r="ER617" s="2030" t="str">
        <f t="shared" si="22"/>
        <v xml:space="preserve"> </v>
      </c>
      <c r="ES617" s="2188"/>
      <c r="ET617" s="2188"/>
      <c r="EU617" s="2188"/>
      <c r="EV617" s="2031"/>
      <c r="EW617" s="2030" t="str">
        <f t="shared" si="23"/>
        <v xml:space="preserve"> </v>
      </c>
      <c r="EX617" s="2188"/>
      <c r="EY617" s="2188"/>
      <c r="EZ617" s="2188"/>
      <c r="FA617" s="203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2"/>
        <v>0</v>
      </c>
      <c r="BF618" s="2031"/>
      <c r="BG618" s="2027">
        <f t="shared" si="3"/>
        <v>0</v>
      </c>
      <c r="BH618" s="2029"/>
      <c r="BI618" s="2030">
        <f t="shared" si="4"/>
        <v>0</v>
      </c>
      <c r="BJ618" s="2031"/>
      <c r="BK618" s="2027">
        <f t="shared" si="5"/>
        <v>0</v>
      </c>
      <c r="BL618" s="2029"/>
      <c r="BM618" s="58"/>
      <c r="BN618" s="2024">
        <f t="shared" si="6"/>
        <v>0</v>
      </c>
      <c r="BO618" s="2025"/>
      <c r="BP618" s="2025"/>
      <c r="BQ618" s="2025"/>
      <c r="BR618" s="2026"/>
      <c r="BS618" s="2023">
        <f t="shared" si="7"/>
        <v>0</v>
      </c>
      <c r="BT618" s="2023"/>
      <c r="BU618" s="2023"/>
      <c r="BV618" s="2023"/>
      <c r="BW618" s="2023"/>
      <c r="BX618" s="2023">
        <f t="shared" si="8"/>
        <v>0</v>
      </c>
      <c r="BY618" s="2023"/>
      <c r="BZ618" s="2023"/>
      <c r="CA618" s="2023"/>
      <c r="CB618" s="2023"/>
      <c r="CC618" s="2023">
        <f t="shared" si="9"/>
        <v>0</v>
      </c>
      <c r="CD618" s="2023"/>
      <c r="CE618" s="2023"/>
      <c r="CF618" s="2023"/>
      <c r="CG618" s="2023"/>
      <c r="CH618" s="2023">
        <f t="shared" si="10"/>
        <v>0</v>
      </c>
      <c r="CI618" s="2023"/>
      <c r="CJ618" s="2023"/>
      <c r="CK618" s="2023"/>
      <c r="CL618" s="2023"/>
      <c r="CM618" s="2023">
        <f t="shared" si="11"/>
        <v>0</v>
      </c>
      <c r="CN618" s="2023"/>
      <c r="CO618" s="2023"/>
      <c r="CP618" s="2023"/>
      <c r="CQ618" s="2023"/>
      <c r="CR618" s="265"/>
      <c r="CS618" s="2376">
        <f t="shared" si="12"/>
        <v>0</v>
      </c>
      <c r="CT618" s="2376"/>
      <c r="CU618" s="2376"/>
      <c r="CV618" s="2376"/>
      <c r="CW618" s="2376"/>
      <c r="CX618" s="2376">
        <f t="shared" si="13"/>
        <v>0</v>
      </c>
      <c r="CY618" s="2376"/>
      <c r="CZ618" s="2376"/>
      <c r="DA618" s="2376"/>
      <c r="DB618" s="2376"/>
      <c r="DC618" s="2376">
        <f t="shared" si="14"/>
        <v>0</v>
      </c>
      <c r="DD618" s="2376"/>
      <c r="DE618" s="2376"/>
      <c r="DF618" s="2376"/>
      <c r="DG618" s="2376"/>
      <c r="DH618" s="2376">
        <f t="shared" si="15"/>
        <v>0</v>
      </c>
      <c r="DI618" s="2376"/>
      <c r="DJ618" s="2376"/>
      <c r="DK618" s="2376"/>
      <c r="DL618" s="2376"/>
      <c r="DM618" s="2376">
        <f t="shared" si="16"/>
        <v>0</v>
      </c>
      <c r="DN618" s="2376"/>
      <c r="DO618" s="2376"/>
      <c r="DP618" s="2376"/>
      <c r="DQ618" s="2376"/>
      <c r="DR618" s="2376">
        <f t="shared" si="17"/>
        <v>0</v>
      </c>
      <c r="DS618" s="2376"/>
      <c r="DT618" s="2376"/>
      <c r="DU618" s="2376"/>
      <c r="DV618" s="2376"/>
      <c r="DX618" s="2030" t="str">
        <f t="shared" si="18"/>
        <v xml:space="preserve"> </v>
      </c>
      <c r="DY618" s="2188"/>
      <c r="DZ618" s="2188"/>
      <c r="EA618" s="2188"/>
      <c r="EB618" s="2031"/>
      <c r="EC618" s="2030" t="str">
        <f t="shared" si="19"/>
        <v xml:space="preserve"> </v>
      </c>
      <c r="ED618" s="2188"/>
      <c r="EE618" s="2188"/>
      <c r="EF618" s="2188"/>
      <c r="EG618" s="2031"/>
      <c r="EH618" s="2030" t="str">
        <f t="shared" si="20"/>
        <v xml:space="preserve"> </v>
      </c>
      <c r="EI618" s="2188"/>
      <c r="EJ618" s="2188"/>
      <c r="EK618" s="2188"/>
      <c r="EL618" s="2031"/>
      <c r="EM618" s="2030" t="str">
        <f t="shared" si="21"/>
        <v xml:space="preserve"> </v>
      </c>
      <c r="EN618" s="2188"/>
      <c r="EO618" s="2188"/>
      <c r="EP618" s="2188"/>
      <c r="EQ618" s="2031"/>
      <c r="ER618" s="2030" t="str">
        <f t="shared" si="22"/>
        <v xml:space="preserve"> </v>
      </c>
      <c r="ES618" s="2188"/>
      <c r="ET618" s="2188"/>
      <c r="EU618" s="2188"/>
      <c r="EV618" s="2031"/>
      <c r="EW618" s="2030" t="str">
        <f t="shared" si="23"/>
        <v xml:space="preserve"> </v>
      </c>
      <c r="EX618" s="2188"/>
      <c r="EY618" s="2188"/>
      <c r="EZ618" s="2188"/>
      <c r="FA618" s="2031"/>
    </row>
    <row r="619" spans="1:157" s="7" customFormat="1" ht="12.75">
      <c r="A619" s="87" t="s">
        <v>372</v>
      </c>
      <c r="B619" s="12" t="s">
        <v>496</v>
      </c>
      <c r="C619" s="12"/>
      <c r="D619" s="12"/>
      <c r="E619" s="12"/>
      <c r="F619" s="12"/>
      <c r="G619" s="2052">
        <f>C574</f>
        <v>0</v>
      </c>
      <c r="H619" s="2052"/>
      <c r="I619" s="2052"/>
      <c r="J619" s="2052"/>
      <c r="K619" s="2052"/>
      <c r="L619" s="2052"/>
      <c r="M619" s="2052"/>
      <c r="N619" s="2052"/>
      <c r="O619" s="2052"/>
      <c r="P619" s="2052"/>
      <c r="Q619" s="2052"/>
      <c r="R619" s="2052"/>
      <c r="S619" s="12"/>
      <c r="T619" s="87" t="s">
        <v>373</v>
      </c>
      <c r="U619" s="12" t="s">
        <v>496</v>
      </c>
      <c r="V619" s="12"/>
      <c r="W619" s="12"/>
      <c r="X619" s="12"/>
      <c r="Y619" s="12"/>
      <c r="Z619" s="2052">
        <f>C575</f>
        <v>0</v>
      </c>
      <c r="AA619" s="2052"/>
      <c r="AB619" s="2052"/>
      <c r="AC619" s="2052"/>
      <c r="AD619" s="2052"/>
      <c r="AE619" s="2052"/>
      <c r="AF619" s="2052"/>
      <c r="AG619" s="2052"/>
      <c r="AH619" s="2052"/>
      <c r="AI619" s="2052"/>
      <c r="AJ619" s="2052"/>
      <c r="AK619" s="2052"/>
      <c r="AL619" s="12"/>
      <c r="AM619" s="39"/>
      <c r="AN619" s="39"/>
      <c r="AO619" s="39"/>
      <c r="AP619" s="39"/>
      <c r="AQ619" s="39"/>
      <c r="AR619" s="39"/>
      <c r="AS619" s="39"/>
      <c r="AT619" s="39"/>
      <c r="AU619" s="39"/>
      <c r="AV619" s="39"/>
      <c r="AW619" s="39"/>
      <c r="AX619" s="39"/>
      <c r="AY619" s="39"/>
      <c r="AZ619" s="58"/>
      <c r="BA619" s="58"/>
      <c r="BB619" s="58"/>
      <c r="BC619" s="58"/>
      <c r="BD619" s="58"/>
      <c r="BE619" s="2030">
        <f t="shared" si="2"/>
        <v>0</v>
      </c>
      <c r="BF619" s="2031"/>
      <c r="BG619" s="2027">
        <f t="shared" si="3"/>
        <v>0</v>
      </c>
      <c r="BH619" s="2029"/>
      <c r="BI619" s="2030">
        <f t="shared" si="4"/>
        <v>0</v>
      </c>
      <c r="BJ619" s="2031"/>
      <c r="BK619" s="2027">
        <f t="shared" si="5"/>
        <v>0</v>
      </c>
      <c r="BL619" s="2029"/>
      <c r="BM619" s="58"/>
      <c r="BN619" s="2024">
        <f t="shared" si="6"/>
        <v>0</v>
      </c>
      <c r="BO619" s="2025"/>
      <c r="BP619" s="2025"/>
      <c r="BQ619" s="2025"/>
      <c r="BR619" s="2026"/>
      <c r="BS619" s="2023">
        <f t="shared" si="7"/>
        <v>0</v>
      </c>
      <c r="BT619" s="2023"/>
      <c r="BU619" s="2023"/>
      <c r="BV619" s="2023"/>
      <c r="BW619" s="2023"/>
      <c r="BX619" s="2023">
        <f t="shared" si="8"/>
        <v>0</v>
      </c>
      <c r="BY619" s="2023"/>
      <c r="BZ619" s="2023"/>
      <c r="CA619" s="2023"/>
      <c r="CB619" s="2023"/>
      <c r="CC619" s="2023">
        <f t="shared" si="9"/>
        <v>0</v>
      </c>
      <c r="CD619" s="2023"/>
      <c r="CE619" s="2023"/>
      <c r="CF619" s="2023"/>
      <c r="CG619" s="2023"/>
      <c r="CH619" s="2023">
        <f t="shared" si="10"/>
        <v>0</v>
      </c>
      <c r="CI619" s="2023"/>
      <c r="CJ619" s="2023"/>
      <c r="CK619" s="2023"/>
      <c r="CL619" s="2023"/>
      <c r="CM619" s="2023">
        <f t="shared" si="11"/>
        <v>0</v>
      </c>
      <c r="CN619" s="2023"/>
      <c r="CO619" s="2023"/>
      <c r="CP619" s="2023"/>
      <c r="CQ619" s="2023"/>
      <c r="CR619" s="265"/>
      <c r="CS619" s="2376">
        <f t="shared" si="12"/>
        <v>0</v>
      </c>
      <c r="CT619" s="2376"/>
      <c r="CU619" s="2376"/>
      <c r="CV619" s="2376"/>
      <c r="CW619" s="2376"/>
      <c r="CX619" s="2376">
        <f t="shared" si="13"/>
        <v>0</v>
      </c>
      <c r="CY619" s="2376"/>
      <c r="CZ619" s="2376"/>
      <c r="DA619" s="2376"/>
      <c r="DB619" s="2376"/>
      <c r="DC619" s="2376">
        <f t="shared" si="14"/>
        <v>0</v>
      </c>
      <c r="DD619" s="2376"/>
      <c r="DE619" s="2376"/>
      <c r="DF619" s="2376"/>
      <c r="DG619" s="2376"/>
      <c r="DH619" s="2376">
        <f t="shared" si="15"/>
        <v>0</v>
      </c>
      <c r="DI619" s="2376"/>
      <c r="DJ619" s="2376"/>
      <c r="DK619" s="2376"/>
      <c r="DL619" s="2376"/>
      <c r="DM619" s="2376">
        <f t="shared" si="16"/>
        <v>0</v>
      </c>
      <c r="DN619" s="2376"/>
      <c r="DO619" s="2376"/>
      <c r="DP619" s="2376"/>
      <c r="DQ619" s="2376"/>
      <c r="DR619" s="2376">
        <f t="shared" si="17"/>
        <v>0</v>
      </c>
      <c r="DS619" s="2376"/>
      <c r="DT619" s="2376"/>
      <c r="DU619" s="2376"/>
      <c r="DV619" s="2376"/>
      <c r="DX619" s="2030" t="str">
        <f t="shared" si="18"/>
        <v xml:space="preserve"> </v>
      </c>
      <c r="DY619" s="2188"/>
      <c r="DZ619" s="2188"/>
      <c r="EA619" s="2188"/>
      <c r="EB619" s="2031"/>
      <c r="EC619" s="2030" t="str">
        <f t="shared" si="19"/>
        <v xml:space="preserve"> </v>
      </c>
      <c r="ED619" s="2188"/>
      <c r="EE619" s="2188"/>
      <c r="EF619" s="2188"/>
      <c r="EG619" s="2031"/>
      <c r="EH619" s="2030" t="str">
        <f t="shared" si="20"/>
        <v xml:space="preserve"> </v>
      </c>
      <c r="EI619" s="2188"/>
      <c r="EJ619" s="2188"/>
      <c r="EK619" s="2188"/>
      <c r="EL619" s="2031"/>
      <c r="EM619" s="2030" t="str">
        <f t="shared" si="21"/>
        <v xml:space="preserve"> </v>
      </c>
      <c r="EN619" s="2188"/>
      <c r="EO619" s="2188"/>
      <c r="EP619" s="2188"/>
      <c r="EQ619" s="2031"/>
      <c r="ER619" s="2030" t="str">
        <f t="shared" si="22"/>
        <v xml:space="preserve"> </v>
      </c>
      <c r="ES619" s="2188"/>
      <c r="ET619" s="2188"/>
      <c r="EU619" s="2188"/>
      <c r="EV619" s="2031"/>
      <c r="EW619" s="2030" t="str">
        <f t="shared" si="23"/>
        <v xml:space="preserve"> </v>
      </c>
      <c r="EX619" s="2188"/>
      <c r="EY619" s="2188"/>
      <c r="EZ619" s="2188"/>
      <c r="FA619" s="2031"/>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30">
        <f t="shared" si="2"/>
        <v>0</v>
      </c>
      <c r="BF620" s="2031"/>
      <c r="BG620" s="2027">
        <f t="shared" si="3"/>
        <v>0</v>
      </c>
      <c r="BH620" s="2029"/>
      <c r="BI620" s="2030">
        <f t="shared" si="4"/>
        <v>0</v>
      </c>
      <c r="BJ620" s="2031"/>
      <c r="BK620" s="2027">
        <f t="shared" si="5"/>
        <v>0</v>
      </c>
      <c r="BL620" s="2029"/>
      <c r="BM620" s="58"/>
      <c r="BN620" s="2024">
        <f t="shared" si="6"/>
        <v>0</v>
      </c>
      <c r="BO620" s="2025"/>
      <c r="BP620" s="2025"/>
      <c r="BQ620" s="2025"/>
      <c r="BR620" s="2026"/>
      <c r="BS620" s="2023">
        <f t="shared" si="7"/>
        <v>0</v>
      </c>
      <c r="BT620" s="2023"/>
      <c r="BU620" s="2023"/>
      <c r="BV620" s="2023"/>
      <c r="BW620" s="2023"/>
      <c r="BX620" s="2023">
        <f t="shared" si="8"/>
        <v>0</v>
      </c>
      <c r="BY620" s="2023"/>
      <c r="BZ620" s="2023"/>
      <c r="CA620" s="2023"/>
      <c r="CB620" s="2023"/>
      <c r="CC620" s="2023">
        <f t="shared" si="9"/>
        <v>0</v>
      </c>
      <c r="CD620" s="2023"/>
      <c r="CE620" s="2023"/>
      <c r="CF620" s="2023"/>
      <c r="CG620" s="2023"/>
      <c r="CH620" s="2023">
        <f t="shared" si="10"/>
        <v>0</v>
      </c>
      <c r="CI620" s="2023"/>
      <c r="CJ620" s="2023"/>
      <c r="CK620" s="2023"/>
      <c r="CL620" s="2023"/>
      <c r="CM620" s="2023">
        <f t="shared" si="11"/>
        <v>0</v>
      </c>
      <c r="CN620" s="2023"/>
      <c r="CO620" s="2023"/>
      <c r="CP620" s="2023"/>
      <c r="CQ620" s="2023"/>
      <c r="CR620" s="265"/>
      <c r="CS620" s="2376">
        <f t="shared" si="12"/>
        <v>0</v>
      </c>
      <c r="CT620" s="2376"/>
      <c r="CU620" s="2376"/>
      <c r="CV620" s="2376"/>
      <c r="CW620" s="2376"/>
      <c r="CX620" s="2376">
        <f t="shared" si="13"/>
        <v>0</v>
      </c>
      <c r="CY620" s="2376"/>
      <c r="CZ620" s="2376"/>
      <c r="DA620" s="2376"/>
      <c r="DB620" s="2376"/>
      <c r="DC620" s="2376">
        <f t="shared" si="14"/>
        <v>0</v>
      </c>
      <c r="DD620" s="2376"/>
      <c r="DE620" s="2376"/>
      <c r="DF620" s="2376"/>
      <c r="DG620" s="2376"/>
      <c r="DH620" s="2376">
        <f t="shared" si="15"/>
        <v>0</v>
      </c>
      <c r="DI620" s="2376"/>
      <c r="DJ620" s="2376"/>
      <c r="DK620" s="2376"/>
      <c r="DL620" s="2376"/>
      <c r="DM620" s="2376">
        <f t="shared" si="16"/>
        <v>0</v>
      </c>
      <c r="DN620" s="2376"/>
      <c r="DO620" s="2376"/>
      <c r="DP620" s="2376"/>
      <c r="DQ620" s="2376"/>
      <c r="DR620" s="2376">
        <f t="shared" si="17"/>
        <v>0</v>
      </c>
      <c r="DS620" s="2376"/>
      <c r="DT620" s="2376"/>
      <c r="DU620" s="2376"/>
      <c r="DV620" s="2376"/>
      <c r="DX620" s="2030" t="str">
        <f t="shared" si="18"/>
        <v xml:space="preserve"> </v>
      </c>
      <c r="DY620" s="2188"/>
      <c r="DZ620" s="2188"/>
      <c r="EA620" s="2188"/>
      <c r="EB620" s="2031"/>
      <c r="EC620" s="2030" t="str">
        <f t="shared" si="19"/>
        <v xml:space="preserve"> </v>
      </c>
      <c r="ED620" s="2188"/>
      <c r="EE620" s="2188"/>
      <c r="EF620" s="2188"/>
      <c r="EG620" s="2031"/>
      <c r="EH620" s="2030" t="str">
        <f t="shared" si="20"/>
        <v xml:space="preserve"> </v>
      </c>
      <c r="EI620" s="2188"/>
      <c r="EJ620" s="2188"/>
      <c r="EK620" s="2188"/>
      <c r="EL620" s="2031"/>
      <c r="EM620" s="2030" t="str">
        <f t="shared" si="21"/>
        <v xml:space="preserve"> </v>
      </c>
      <c r="EN620" s="2188"/>
      <c r="EO620" s="2188"/>
      <c r="EP620" s="2188"/>
      <c r="EQ620" s="2031"/>
      <c r="ER620" s="2030" t="str">
        <f t="shared" si="22"/>
        <v xml:space="preserve"> </v>
      </c>
      <c r="ES620" s="2188"/>
      <c r="ET620" s="2188"/>
      <c r="EU620" s="2188"/>
      <c r="EV620" s="2031"/>
      <c r="EW620" s="2030" t="str">
        <f t="shared" si="23"/>
        <v xml:space="preserve"> </v>
      </c>
      <c r="EX620" s="2188"/>
      <c r="EY620" s="2188"/>
      <c r="EZ620" s="2188"/>
      <c r="FA620" s="2031"/>
    </row>
    <row r="621" spans="1:157" ht="12.75">
      <c r="B621" s="12" t="s">
        <v>615</v>
      </c>
      <c r="G621" s="2050"/>
      <c r="H621" s="2050"/>
      <c r="I621" s="2050"/>
      <c r="J621" s="2050"/>
      <c r="K621" s="2050"/>
      <c r="L621" s="2050"/>
      <c r="M621" s="2050"/>
      <c r="N621" s="2050"/>
      <c r="O621" s="2050"/>
      <c r="P621" s="2050"/>
      <c r="Q621" s="2050"/>
      <c r="R621" s="2050"/>
      <c r="U621" s="12" t="s">
        <v>615</v>
      </c>
      <c r="Z621" s="2053"/>
      <c r="AA621" s="2053"/>
      <c r="AB621" s="2053"/>
      <c r="AC621" s="2053"/>
      <c r="AD621" s="2053"/>
      <c r="AE621" s="2053"/>
      <c r="AF621" s="2053"/>
      <c r="AG621" s="2053"/>
      <c r="AH621" s="2053"/>
      <c r="AI621" s="2053"/>
      <c r="AJ621" s="2053"/>
      <c r="AK621" s="2053"/>
      <c r="AZ621" s="58"/>
      <c r="BA621" s="58"/>
      <c r="BB621" s="58"/>
      <c r="BC621" s="58"/>
      <c r="BD621" s="58"/>
      <c r="BE621" s="2030">
        <f t="shared" si="2"/>
        <v>0</v>
      </c>
      <c r="BF621" s="2031"/>
      <c r="BG621" s="2027">
        <f t="shared" si="3"/>
        <v>0</v>
      </c>
      <c r="BH621" s="2029"/>
      <c r="BI621" s="2030">
        <f t="shared" si="4"/>
        <v>0</v>
      </c>
      <c r="BJ621" s="2031"/>
      <c r="BK621" s="2027">
        <f t="shared" si="5"/>
        <v>0</v>
      </c>
      <c r="BL621" s="2029"/>
      <c r="BM621" s="58"/>
      <c r="BN621" s="2024">
        <f t="shared" si="6"/>
        <v>0</v>
      </c>
      <c r="BO621" s="2025"/>
      <c r="BP621" s="2025"/>
      <c r="BQ621" s="2025"/>
      <c r="BR621" s="2026"/>
      <c r="BS621" s="2023">
        <f t="shared" si="7"/>
        <v>0</v>
      </c>
      <c r="BT621" s="2023"/>
      <c r="BU621" s="2023"/>
      <c r="BV621" s="2023"/>
      <c r="BW621" s="2023"/>
      <c r="BX621" s="2023">
        <f t="shared" si="8"/>
        <v>0</v>
      </c>
      <c r="BY621" s="2023"/>
      <c r="BZ621" s="2023"/>
      <c r="CA621" s="2023"/>
      <c r="CB621" s="2023"/>
      <c r="CC621" s="2023">
        <f t="shared" si="9"/>
        <v>0</v>
      </c>
      <c r="CD621" s="2023"/>
      <c r="CE621" s="2023"/>
      <c r="CF621" s="2023"/>
      <c r="CG621" s="2023"/>
      <c r="CH621" s="2023">
        <f t="shared" si="10"/>
        <v>0</v>
      </c>
      <c r="CI621" s="2023"/>
      <c r="CJ621" s="2023"/>
      <c r="CK621" s="2023"/>
      <c r="CL621" s="2023"/>
      <c r="CM621" s="2023">
        <f t="shared" si="11"/>
        <v>0</v>
      </c>
      <c r="CN621" s="2023"/>
      <c r="CO621" s="2023"/>
      <c r="CP621" s="2023"/>
      <c r="CQ621" s="2023"/>
      <c r="CR621" s="265"/>
      <c r="CS621" s="2376">
        <f t="shared" si="12"/>
        <v>0</v>
      </c>
      <c r="CT621" s="2376"/>
      <c r="CU621" s="2376"/>
      <c r="CV621" s="2376"/>
      <c r="CW621" s="2376"/>
      <c r="CX621" s="2376">
        <f t="shared" si="13"/>
        <v>0</v>
      </c>
      <c r="CY621" s="2376"/>
      <c r="CZ621" s="2376"/>
      <c r="DA621" s="2376"/>
      <c r="DB621" s="2376"/>
      <c r="DC621" s="2376">
        <f t="shared" si="14"/>
        <v>0</v>
      </c>
      <c r="DD621" s="2376"/>
      <c r="DE621" s="2376"/>
      <c r="DF621" s="2376"/>
      <c r="DG621" s="2376"/>
      <c r="DH621" s="2376">
        <f t="shared" si="15"/>
        <v>0</v>
      </c>
      <c r="DI621" s="2376"/>
      <c r="DJ621" s="2376"/>
      <c r="DK621" s="2376"/>
      <c r="DL621" s="2376"/>
      <c r="DM621" s="2376">
        <f t="shared" si="16"/>
        <v>0</v>
      </c>
      <c r="DN621" s="2376"/>
      <c r="DO621" s="2376"/>
      <c r="DP621" s="2376"/>
      <c r="DQ621" s="2376"/>
      <c r="DR621" s="2376">
        <f t="shared" si="17"/>
        <v>0</v>
      </c>
      <c r="DS621" s="2376"/>
      <c r="DT621" s="2376"/>
      <c r="DU621" s="2376"/>
      <c r="DV621" s="2376"/>
      <c r="DX621" s="2030" t="str">
        <f t="shared" si="18"/>
        <v xml:space="preserve"> </v>
      </c>
      <c r="DY621" s="2188"/>
      <c r="DZ621" s="2188"/>
      <c r="EA621" s="2188"/>
      <c r="EB621" s="2031"/>
      <c r="EC621" s="2030" t="str">
        <f t="shared" si="19"/>
        <v xml:space="preserve"> </v>
      </c>
      <c r="ED621" s="2188"/>
      <c r="EE621" s="2188"/>
      <c r="EF621" s="2188"/>
      <c r="EG621" s="2031"/>
      <c r="EH621" s="2030" t="str">
        <f t="shared" si="20"/>
        <v xml:space="preserve"> </v>
      </c>
      <c r="EI621" s="2188"/>
      <c r="EJ621" s="2188"/>
      <c r="EK621" s="2188"/>
      <c r="EL621" s="2031"/>
      <c r="EM621" s="2030" t="str">
        <f t="shared" si="21"/>
        <v xml:space="preserve"> </v>
      </c>
      <c r="EN621" s="2188"/>
      <c r="EO621" s="2188"/>
      <c r="EP621" s="2188"/>
      <c r="EQ621" s="2031"/>
      <c r="ER621" s="2030" t="str">
        <f t="shared" si="22"/>
        <v xml:space="preserve"> </v>
      </c>
      <c r="ES621" s="2188"/>
      <c r="ET621" s="2188"/>
      <c r="EU621" s="2188"/>
      <c r="EV621" s="2031"/>
      <c r="EW621" s="2030" t="str">
        <f t="shared" si="23"/>
        <v xml:space="preserve"> </v>
      </c>
      <c r="EX621" s="2188"/>
      <c r="EY621" s="2188"/>
      <c r="EZ621" s="2188"/>
      <c r="FA621" s="2031"/>
    </row>
    <row r="622" spans="1:157" ht="12.75">
      <c r="B622" s="12" t="s">
        <v>17</v>
      </c>
      <c r="G622" s="2050"/>
      <c r="H622" s="2050"/>
      <c r="I622" s="2050"/>
      <c r="J622" s="2050"/>
      <c r="K622" s="2050"/>
      <c r="L622" s="2050"/>
      <c r="M622" s="2050"/>
      <c r="N622" s="2050"/>
      <c r="O622" s="2050"/>
      <c r="P622" s="2050"/>
      <c r="Q622" s="2050"/>
      <c r="R622" s="2050"/>
      <c r="U622" s="12" t="s">
        <v>17</v>
      </c>
      <c r="Z622" s="2053"/>
      <c r="AA622" s="2053"/>
      <c r="AB622" s="2053"/>
      <c r="AC622" s="2053"/>
      <c r="AD622" s="2053"/>
      <c r="AE622" s="2053"/>
      <c r="AF622" s="2053"/>
      <c r="AG622" s="2053"/>
      <c r="AH622" s="2053"/>
      <c r="AI622" s="2053"/>
      <c r="AJ622" s="2053"/>
      <c r="AK622" s="2053"/>
      <c r="AZ622" s="58"/>
      <c r="BA622" s="58"/>
      <c r="BB622" s="58"/>
      <c r="BC622" s="58"/>
      <c r="BD622" s="58"/>
      <c r="BE622" s="2030">
        <f t="shared" si="2"/>
        <v>0</v>
      </c>
      <c r="BF622" s="2031"/>
      <c r="BG622" s="2027">
        <f t="shared" si="3"/>
        <v>0</v>
      </c>
      <c r="BH622" s="2029"/>
      <c r="BI622" s="2030">
        <f t="shared" si="4"/>
        <v>0</v>
      </c>
      <c r="BJ622" s="2031"/>
      <c r="BK622" s="2027">
        <f t="shared" si="5"/>
        <v>0</v>
      </c>
      <c r="BL622" s="2029"/>
      <c r="BM622" s="58"/>
      <c r="BN622" s="2024">
        <f t="shared" si="6"/>
        <v>0</v>
      </c>
      <c r="BO622" s="2025"/>
      <c r="BP622" s="2025"/>
      <c r="BQ622" s="2025"/>
      <c r="BR622" s="2026"/>
      <c r="BS622" s="2023">
        <f t="shared" si="7"/>
        <v>0</v>
      </c>
      <c r="BT622" s="2023"/>
      <c r="BU622" s="2023"/>
      <c r="BV622" s="2023"/>
      <c r="BW622" s="2023"/>
      <c r="BX622" s="2023">
        <f t="shared" si="8"/>
        <v>0</v>
      </c>
      <c r="BY622" s="2023"/>
      <c r="BZ622" s="2023"/>
      <c r="CA622" s="2023"/>
      <c r="CB622" s="2023"/>
      <c r="CC622" s="2023">
        <f t="shared" si="9"/>
        <v>0</v>
      </c>
      <c r="CD622" s="2023"/>
      <c r="CE622" s="2023"/>
      <c r="CF622" s="2023"/>
      <c r="CG622" s="2023"/>
      <c r="CH622" s="2023">
        <f t="shared" si="10"/>
        <v>0</v>
      </c>
      <c r="CI622" s="2023"/>
      <c r="CJ622" s="2023"/>
      <c r="CK622" s="2023"/>
      <c r="CL622" s="2023"/>
      <c r="CM622" s="2023">
        <f t="shared" si="11"/>
        <v>0</v>
      </c>
      <c r="CN622" s="2023"/>
      <c r="CO622" s="2023"/>
      <c r="CP622" s="2023"/>
      <c r="CQ622" s="2023"/>
      <c r="CR622" s="265"/>
      <c r="CS622" s="2376">
        <f t="shared" si="12"/>
        <v>0</v>
      </c>
      <c r="CT622" s="2376"/>
      <c r="CU622" s="2376"/>
      <c r="CV622" s="2376"/>
      <c r="CW622" s="2376"/>
      <c r="CX622" s="2376">
        <f t="shared" si="13"/>
        <v>0</v>
      </c>
      <c r="CY622" s="2376"/>
      <c r="CZ622" s="2376"/>
      <c r="DA622" s="2376"/>
      <c r="DB622" s="2376"/>
      <c r="DC622" s="2376">
        <f t="shared" si="14"/>
        <v>0</v>
      </c>
      <c r="DD622" s="2376"/>
      <c r="DE622" s="2376"/>
      <c r="DF622" s="2376"/>
      <c r="DG622" s="2376"/>
      <c r="DH622" s="2376">
        <f t="shared" si="15"/>
        <v>0</v>
      </c>
      <c r="DI622" s="2376"/>
      <c r="DJ622" s="2376"/>
      <c r="DK622" s="2376"/>
      <c r="DL622" s="2376"/>
      <c r="DM622" s="2376">
        <f t="shared" si="16"/>
        <v>0</v>
      </c>
      <c r="DN622" s="2376"/>
      <c r="DO622" s="2376"/>
      <c r="DP622" s="2376"/>
      <c r="DQ622" s="2376"/>
      <c r="DR622" s="2376">
        <f t="shared" si="17"/>
        <v>0</v>
      </c>
      <c r="DS622" s="2376"/>
      <c r="DT622" s="2376"/>
      <c r="DU622" s="2376"/>
      <c r="DV622" s="2376"/>
      <c r="DX622" s="2030" t="str">
        <f t="shared" si="18"/>
        <v xml:space="preserve"> </v>
      </c>
      <c r="DY622" s="2188"/>
      <c r="DZ622" s="2188"/>
      <c r="EA622" s="2188"/>
      <c r="EB622" s="2031"/>
      <c r="EC622" s="2030" t="str">
        <f t="shared" si="19"/>
        <v xml:space="preserve"> </v>
      </c>
      <c r="ED622" s="2188"/>
      <c r="EE622" s="2188"/>
      <c r="EF622" s="2188"/>
      <c r="EG622" s="2031"/>
      <c r="EH622" s="2030" t="str">
        <f t="shared" si="20"/>
        <v xml:space="preserve"> </v>
      </c>
      <c r="EI622" s="2188"/>
      <c r="EJ622" s="2188"/>
      <c r="EK622" s="2188"/>
      <c r="EL622" s="2031"/>
      <c r="EM622" s="2030" t="str">
        <f t="shared" si="21"/>
        <v xml:space="preserve"> </v>
      </c>
      <c r="EN622" s="2188"/>
      <c r="EO622" s="2188"/>
      <c r="EP622" s="2188"/>
      <c r="EQ622" s="2031"/>
      <c r="ER622" s="2030" t="str">
        <f t="shared" si="22"/>
        <v xml:space="preserve"> </v>
      </c>
      <c r="ES622" s="2188"/>
      <c r="ET622" s="2188"/>
      <c r="EU622" s="2188"/>
      <c r="EV622" s="2031"/>
      <c r="EW622" s="2030" t="str">
        <f t="shared" si="23"/>
        <v xml:space="preserve"> </v>
      </c>
      <c r="EX622" s="2188"/>
      <c r="EY622" s="2188"/>
      <c r="EZ622" s="2188"/>
      <c r="FA622" s="2031"/>
    </row>
    <row r="623" spans="1:157" ht="12.75">
      <c r="B623" s="12" t="s">
        <v>325</v>
      </c>
      <c r="G623" s="2075"/>
      <c r="H623" s="2075"/>
      <c r="I623" s="2075"/>
      <c r="J623" s="2075"/>
      <c r="K623" s="2075"/>
      <c r="L623" s="2075"/>
      <c r="O623" s="137" t="s">
        <v>212</v>
      </c>
      <c r="P623" s="2041"/>
      <c r="Q623" s="2041"/>
      <c r="R623" s="2041"/>
      <c r="U623" s="12" t="s">
        <v>325</v>
      </c>
      <c r="Z623" s="2075"/>
      <c r="AA623" s="2075"/>
      <c r="AB623" s="2075"/>
      <c r="AC623" s="2075"/>
      <c r="AD623" s="2075"/>
      <c r="AE623" s="2075"/>
      <c r="AH623" s="137" t="s">
        <v>212</v>
      </c>
      <c r="AI623" s="2041"/>
      <c r="AJ623" s="2041"/>
      <c r="AK623" s="2041"/>
      <c r="AZ623" s="58"/>
      <c r="BA623" s="58"/>
      <c r="BB623" s="58"/>
      <c r="BC623" s="58"/>
      <c r="BD623" s="58"/>
      <c r="BE623" s="2030">
        <f t="shared" si="2"/>
        <v>0</v>
      </c>
      <c r="BF623" s="2031"/>
      <c r="BG623" s="2027">
        <f t="shared" si="3"/>
        <v>0</v>
      </c>
      <c r="BH623" s="2029"/>
      <c r="BI623" s="2030">
        <f t="shared" si="4"/>
        <v>0</v>
      </c>
      <c r="BJ623" s="2031"/>
      <c r="BK623" s="2027">
        <f t="shared" si="5"/>
        <v>0</v>
      </c>
      <c r="BL623" s="2029"/>
      <c r="BM623" s="58"/>
      <c r="BN623" s="2024">
        <f t="shared" si="6"/>
        <v>0</v>
      </c>
      <c r="BO623" s="2025"/>
      <c r="BP623" s="2025"/>
      <c r="BQ623" s="2025"/>
      <c r="BR623" s="2026"/>
      <c r="BS623" s="2023">
        <f t="shared" si="7"/>
        <v>0</v>
      </c>
      <c r="BT623" s="2023"/>
      <c r="BU623" s="2023"/>
      <c r="BV623" s="2023"/>
      <c r="BW623" s="2023"/>
      <c r="BX623" s="2023">
        <f t="shared" si="8"/>
        <v>0</v>
      </c>
      <c r="BY623" s="2023"/>
      <c r="BZ623" s="2023"/>
      <c r="CA623" s="2023"/>
      <c r="CB623" s="2023"/>
      <c r="CC623" s="2023">
        <f t="shared" si="9"/>
        <v>0</v>
      </c>
      <c r="CD623" s="2023"/>
      <c r="CE623" s="2023"/>
      <c r="CF623" s="2023"/>
      <c r="CG623" s="2023"/>
      <c r="CH623" s="2023">
        <f t="shared" si="10"/>
        <v>0</v>
      </c>
      <c r="CI623" s="2023"/>
      <c r="CJ623" s="2023"/>
      <c r="CK623" s="2023"/>
      <c r="CL623" s="2023"/>
      <c r="CM623" s="2023">
        <f t="shared" si="11"/>
        <v>0</v>
      </c>
      <c r="CN623" s="2023"/>
      <c r="CO623" s="2023"/>
      <c r="CP623" s="2023"/>
      <c r="CQ623" s="2023"/>
      <c r="CR623" s="265"/>
      <c r="CS623" s="2376">
        <f t="shared" si="12"/>
        <v>0</v>
      </c>
      <c r="CT623" s="2376"/>
      <c r="CU623" s="2376"/>
      <c r="CV623" s="2376"/>
      <c r="CW623" s="2376"/>
      <c r="CX623" s="2376">
        <f t="shared" si="13"/>
        <v>0</v>
      </c>
      <c r="CY623" s="2376"/>
      <c r="CZ623" s="2376"/>
      <c r="DA623" s="2376"/>
      <c r="DB623" s="2376"/>
      <c r="DC623" s="2376">
        <f t="shared" si="14"/>
        <v>0</v>
      </c>
      <c r="DD623" s="2376"/>
      <c r="DE623" s="2376"/>
      <c r="DF623" s="2376"/>
      <c r="DG623" s="2376"/>
      <c r="DH623" s="2376">
        <f t="shared" si="15"/>
        <v>0</v>
      </c>
      <c r="DI623" s="2376"/>
      <c r="DJ623" s="2376"/>
      <c r="DK623" s="2376"/>
      <c r="DL623" s="2376"/>
      <c r="DM623" s="2376">
        <f t="shared" si="16"/>
        <v>0</v>
      </c>
      <c r="DN623" s="2376"/>
      <c r="DO623" s="2376"/>
      <c r="DP623" s="2376"/>
      <c r="DQ623" s="2376"/>
      <c r="DR623" s="2376">
        <f t="shared" si="17"/>
        <v>0</v>
      </c>
      <c r="DS623" s="2376"/>
      <c r="DT623" s="2376"/>
      <c r="DU623" s="2376"/>
      <c r="DV623" s="2376"/>
      <c r="DX623" s="2030" t="str">
        <f t="shared" si="18"/>
        <v xml:space="preserve"> </v>
      </c>
      <c r="DY623" s="2188"/>
      <c r="DZ623" s="2188"/>
      <c r="EA623" s="2188"/>
      <c r="EB623" s="2031"/>
      <c r="EC623" s="2030" t="str">
        <f t="shared" si="19"/>
        <v xml:space="preserve"> </v>
      </c>
      <c r="ED623" s="2188"/>
      <c r="EE623" s="2188"/>
      <c r="EF623" s="2188"/>
      <c r="EG623" s="2031"/>
      <c r="EH623" s="2030" t="str">
        <f t="shared" si="20"/>
        <v xml:space="preserve"> </v>
      </c>
      <c r="EI623" s="2188"/>
      <c r="EJ623" s="2188"/>
      <c r="EK623" s="2188"/>
      <c r="EL623" s="2031"/>
      <c r="EM623" s="2030" t="str">
        <f t="shared" si="21"/>
        <v xml:space="preserve"> </v>
      </c>
      <c r="EN623" s="2188"/>
      <c r="EO623" s="2188"/>
      <c r="EP623" s="2188"/>
      <c r="EQ623" s="2031"/>
      <c r="ER623" s="2030" t="str">
        <f t="shared" si="22"/>
        <v xml:space="preserve"> </v>
      </c>
      <c r="ES623" s="2188"/>
      <c r="ET623" s="2188"/>
      <c r="EU623" s="2188"/>
      <c r="EV623" s="2031"/>
      <c r="EW623" s="2030" t="str">
        <f t="shared" si="23"/>
        <v xml:space="preserve"> </v>
      </c>
      <c r="EX623" s="2188"/>
      <c r="EY623" s="2188"/>
      <c r="EZ623" s="2188"/>
      <c r="FA623" s="2031"/>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30">
        <f t="shared" si="2"/>
        <v>0</v>
      </c>
      <c r="BF624" s="2031"/>
      <c r="BG624" s="2027">
        <f t="shared" si="3"/>
        <v>0</v>
      </c>
      <c r="BH624" s="2029"/>
      <c r="BI624" s="2030">
        <f t="shared" si="4"/>
        <v>0</v>
      </c>
      <c r="BJ624" s="2031"/>
      <c r="BK624" s="2027">
        <f t="shared" si="5"/>
        <v>0</v>
      </c>
      <c r="BL624" s="2029"/>
      <c r="BM624" s="58"/>
      <c r="BN624" s="2024">
        <f t="shared" si="6"/>
        <v>0</v>
      </c>
      <c r="BO624" s="2025"/>
      <c r="BP624" s="2025"/>
      <c r="BQ624" s="2025"/>
      <c r="BR624" s="2026"/>
      <c r="BS624" s="2023">
        <f t="shared" si="7"/>
        <v>0</v>
      </c>
      <c r="BT624" s="2023"/>
      <c r="BU624" s="2023"/>
      <c r="BV624" s="2023"/>
      <c r="BW624" s="2023"/>
      <c r="BX624" s="2023">
        <f t="shared" si="8"/>
        <v>0</v>
      </c>
      <c r="BY624" s="2023"/>
      <c r="BZ624" s="2023"/>
      <c r="CA624" s="2023"/>
      <c r="CB624" s="2023"/>
      <c r="CC624" s="2023">
        <f t="shared" si="9"/>
        <v>0</v>
      </c>
      <c r="CD624" s="2023"/>
      <c r="CE624" s="2023"/>
      <c r="CF624" s="2023"/>
      <c r="CG624" s="2023"/>
      <c r="CH624" s="2023">
        <f t="shared" si="10"/>
        <v>0</v>
      </c>
      <c r="CI624" s="2023"/>
      <c r="CJ624" s="2023"/>
      <c r="CK624" s="2023"/>
      <c r="CL624" s="2023"/>
      <c r="CM624" s="2023">
        <f t="shared" si="11"/>
        <v>0</v>
      </c>
      <c r="CN624" s="2023"/>
      <c r="CO624" s="2023"/>
      <c r="CP624" s="2023"/>
      <c r="CQ624" s="2023"/>
      <c r="CR624" s="265"/>
      <c r="CS624" s="2376">
        <f t="shared" si="12"/>
        <v>0</v>
      </c>
      <c r="CT624" s="2376"/>
      <c r="CU624" s="2376"/>
      <c r="CV624" s="2376"/>
      <c r="CW624" s="2376"/>
      <c r="CX624" s="2376">
        <f t="shared" si="13"/>
        <v>0</v>
      </c>
      <c r="CY624" s="2376"/>
      <c r="CZ624" s="2376"/>
      <c r="DA624" s="2376"/>
      <c r="DB624" s="2376"/>
      <c r="DC624" s="2376">
        <f t="shared" si="14"/>
        <v>0</v>
      </c>
      <c r="DD624" s="2376"/>
      <c r="DE624" s="2376"/>
      <c r="DF624" s="2376"/>
      <c r="DG624" s="2376"/>
      <c r="DH624" s="2376">
        <f t="shared" si="15"/>
        <v>0</v>
      </c>
      <c r="DI624" s="2376"/>
      <c r="DJ624" s="2376"/>
      <c r="DK624" s="2376"/>
      <c r="DL624" s="2376"/>
      <c r="DM624" s="2376">
        <f t="shared" si="16"/>
        <v>0</v>
      </c>
      <c r="DN624" s="2376"/>
      <c r="DO624" s="2376"/>
      <c r="DP624" s="2376"/>
      <c r="DQ624" s="2376"/>
      <c r="DR624" s="2376">
        <f t="shared" si="17"/>
        <v>0</v>
      </c>
      <c r="DS624" s="2376"/>
      <c r="DT624" s="2376"/>
      <c r="DU624" s="2376"/>
      <c r="DV624" s="2376"/>
      <c r="DX624" s="2030" t="str">
        <f t="shared" si="18"/>
        <v xml:space="preserve"> </v>
      </c>
      <c r="DY624" s="2188"/>
      <c r="DZ624" s="2188"/>
      <c r="EA624" s="2188"/>
      <c r="EB624" s="2031"/>
      <c r="EC624" s="2030" t="str">
        <f t="shared" si="19"/>
        <v xml:space="preserve"> </v>
      </c>
      <c r="ED624" s="2188"/>
      <c r="EE624" s="2188"/>
      <c r="EF624" s="2188"/>
      <c r="EG624" s="2031"/>
      <c r="EH624" s="2030" t="str">
        <f t="shared" si="20"/>
        <v xml:space="preserve"> </v>
      </c>
      <c r="EI624" s="2188"/>
      <c r="EJ624" s="2188"/>
      <c r="EK624" s="2188"/>
      <c r="EL624" s="2031"/>
      <c r="EM624" s="2030" t="str">
        <f t="shared" si="21"/>
        <v xml:space="preserve"> </v>
      </c>
      <c r="EN624" s="2188"/>
      <c r="EO624" s="2188"/>
      <c r="EP624" s="2188"/>
      <c r="EQ624" s="2031"/>
      <c r="ER624" s="2030" t="str">
        <f t="shared" si="22"/>
        <v xml:space="preserve"> </v>
      </c>
      <c r="ES624" s="2188"/>
      <c r="ET624" s="2188"/>
      <c r="EU624" s="2188"/>
      <c r="EV624" s="2031"/>
      <c r="EW624" s="2030" t="str">
        <f t="shared" si="23"/>
        <v xml:space="preserve"> </v>
      </c>
      <c r="EX624" s="2188"/>
      <c r="EY624" s="2188"/>
      <c r="EZ624" s="2188"/>
      <c r="FA624" s="2031"/>
    </row>
    <row r="625" spans="1:157" ht="12.75">
      <c r="B625" s="12" t="s">
        <v>20</v>
      </c>
      <c r="N625" s="2049" t="s">
        <v>706</v>
      </c>
      <c r="O625" s="2049"/>
      <c r="U625" s="12" t="s">
        <v>20</v>
      </c>
      <c r="AG625" s="2049" t="s">
        <v>706</v>
      </c>
      <c r="AH625" s="2049"/>
      <c r="AZ625" s="58"/>
      <c r="BA625" s="58"/>
      <c r="BB625" s="58"/>
      <c r="BC625" s="58"/>
      <c r="BD625" s="58"/>
      <c r="BE625" s="2030">
        <f t="shared" si="2"/>
        <v>0</v>
      </c>
      <c r="BF625" s="2031"/>
      <c r="BG625" s="2027">
        <f t="shared" si="3"/>
        <v>0</v>
      </c>
      <c r="BH625" s="2029"/>
      <c r="BI625" s="2030">
        <f t="shared" si="4"/>
        <v>0</v>
      </c>
      <c r="BJ625" s="2031"/>
      <c r="BK625" s="2027">
        <f t="shared" si="5"/>
        <v>0</v>
      </c>
      <c r="BL625" s="2029"/>
      <c r="BM625" s="58"/>
      <c r="BN625" s="2024">
        <f t="shared" si="6"/>
        <v>0</v>
      </c>
      <c r="BO625" s="2025"/>
      <c r="BP625" s="2025"/>
      <c r="BQ625" s="2025"/>
      <c r="BR625" s="2026"/>
      <c r="BS625" s="2023">
        <f t="shared" si="7"/>
        <v>0</v>
      </c>
      <c r="BT625" s="2023"/>
      <c r="BU625" s="2023"/>
      <c r="BV625" s="2023"/>
      <c r="BW625" s="2023"/>
      <c r="BX625" s="2023">
        <f t="shared" si="8"/>
        <v>0</v>
      </c>
      <c r="BY625" s="2023"/>
      <c r="BZ625" s="2023"/>
      <c r="CA625" s="2023"/>
      <c r="CB625" s="2023"/>
      <c r="CC625" s="2023">
        <f t="shared" si="9"/>
        <v>0</v>
      </c>
      <c r="CD625" s="2023"/>
      <c r="CE625" s="2023"/>
      <c r="CF625" s="2023"/>
      <c r="CG625" s="2023"/>
      <c r="CH625" s="2023">
        <f t="shared" si="10"/>
        <v>0</v>
      </c>
      <c r="CI625" s="2023"/>
      <c r="CJ625" s="2023"/>
      <c r="CK625" s="2023"/>
      <c r="CL625" s="2023"/>
      <c r="CM625" s="2023">
        <f t="shared" si="11"/>
        <v>0</v>
      </c>
      <c r="CN625" s="2023"/>
      <c r="CO625" s="2023"/>
      <c r="CP625" s="2023"/>
      <c r="CQ625" s="2023"/>
      <c r="CR625" s="265"/>
      <c r="CS625" s="2376">
        <f t="shared" si="12"/>
        <v>0</v>
      </c>
      <c r="CT625" s="2376"/>
      <c r="CU625" s="2376"/>
      <c r="CV625" s="2376"/>
      <c r="CW625" s="2376"/>
      <c r="CX625" s="2376">
        <f t="shared" si="13"/>
        <v>0</v>
      </c>
      <c r="CY625" s="2376"/>
      <c r="CZ625" s="2376"/>
      <c r="DA625" s="2376"/>
      <c r="DB625" s="2376"/>
      <c r="DC625" s="2376">
        <f t="shared" si="14"/>
        <v>0</v>
      </c>
      <c r="DD625" s="2376"/>
      <c r="DE625" s="2376"/>
      <c r="DF625" s="2376"/>
      <c r="DG625" s="2376"/>
      <c r="DH625" s="2376">
        <f t="shared" si="15"/>
        <v>0</v>
      </c>
      <c r="DI625" s="2376"/>
      <c r="DJ625" s="2376"/>
      <c r="DK625" s="2376"/>
      <c r="DL625" s="2376"/>
      <c r="DM625" s="2376">
        <f t="shared" si="16"/>
        <v>0</v>
      </c>
      <c r="DN625" s="2376"/>
      <c r="DO625" s="2376"/>
      <c r="DP625" s="2376"/>
      <c r="DQ625" s="2376"/>
      <c r="DR625" s="2376">
        <f t="shared" si="17"/>
        <v>0</v>
      </c>
      <c r="DS625" s="2376"/>
      <c r="DT625" s="2376"/>
      <c r="DU625" s="2376"/>
      <c r="DV625" s="2376"/>
      <c r="DX625" s="2030" t="str">
        <f t="shared" si="18"/>
        <v xml:space="preserve"> </v>
      </c>
      <c r="DY625" s="2188"/>
      <c r="DZ625" s="2188"/>
      <c r="EA625" s="2188"/>
      <c r="EB625" s="2031"/>
      <c r="EC625" s="2030" t="str">
        <f t="shared" si="19"/>
        <v xml:space="preserve"> </v>
      </c>
      <c r="ED625" s="2188"/>
      <c r="EE625" s="2188"/>
      <c r="EF625" s="2188"/>
      <c r="EG625" s="2031"/>
      <c r="EH625" s="2030" t="str">
        <f t="shared" si="20"/>
        <v xml:space="preserve"> </v>
      </c>
      <c r="EI625" s="2188"/>
      <c r="EJ625" s="2188"/>
      <c r="EK625" s="2188"/>
      <c r="EL625" s="2031"/>
      <c r="EM625" s="2030" t="str">
        <f t="shared" si="21"/>
        <v xml:space="preserve"> </v>
      </c>
      <c r="EN625" s="2188"/>
      <c r="EO625" s="2188"/>
      <c r="EP625" s="2188"/>
      <c r="EQ625" s="2031"/>
      <c r="ER625" s="2030" t="str">
        <f t="shared" si="22"/>
        <v xml:space="preserve"> </v>
      </c>
      <c r="ES625" s="2188"/>
      <c r="ET625" s="2188"/>
      <c r="EU625" s="2188"/>
      <c r="EV625" s="2031"/>
      <c r="EW625" s="2030" t="str">
        <f t="shared" si="23"/>
        <v xml:space="preserve"> </v>
      </c>
      <c r="EX625" s="2188"/>
      <c r="EY625" s="2188"/>
      <c r="EZ625" s="2188"/>
      <c r="FA625" s="2031"/>
    </row>
    <row r="626" spans="1:157" ht="12.75">
      <c r="AZ626" s="58"/>
      <c r="BA626" s="58"/>
      <c r="BB626" s="58"/>
      <c r="BC626" s="58"/>
      <c r="BD626" s="58"/>
      <c r="BE626" s="2030">
        <f t="shared" si="2"/>
        <v>0</v>
      </c>
      <c r="BF626" s="2031"/>
      <c r="BG626" s="2027">
        <f t="shared" si="3"/>
        <v>0</v>
      </c>
      <c r="BH626" s="2029"/>
      <c r="BI626" s="2030">
        <f t="shared" si="4"/>
        <v>0</v>
      </c>
      <c r="BJ626" s="2031"/>
      <c r="BK626" s="2027">
        <f t="shared" si="5"/>
        <v>0</v>
      </c>
      <c r="BL626" s="2029"/>
      <c r="BM626" s="58"/>
      <c r="BN626" s="2024">
        <f t="shared" si="6"/>
        <v>0</v>
      </c>
      <c r="BO626" s="2025"/>
      <c r="BP626" s="2025"/>
      <c r="BQ626" s="2025"/>
      <c r="BR626" s="2026"/>
      <c r="BS626" s="2023">
        <f t="shared" si="7"/>
        <v>0</v>
      </c>
      <c r="BT626" s="2023"/>
      <c r="BU626" s="2023"/>
      <c r="BV626" s="2023"/>
      <c r="BW626" s="2023"/>
      <c r="BX626" s="2023">
        <f t="shared" si="8"/>
        <v>0</v>
      </c>
      <c r="BY626" s="2023"/>
      <c r="BZ626" s="2023"/>
      <c r="CA626" s="2023"/>
      <c r="CB626" s="2023"/>
      <c r="CC626" s="2023">
        <f t="shared" si="9"/>
        <v>0</v>
      </c>
      <c r="CD626" s="2023"/>
      <c r="CE626" s="2023"/>
      <c r="CF626" s="2023"/>
      <c r="CG626" s="2023"/>
      <c r="CH626" s="2023">
        <f t="shared" si="10"/>
        <v>0</v>
      </c>
      <c r="CI626" s="2023"/>
      <c r="CJ626" s="2023"/>
      <c r="CK626" s="2023"/>
      <c r="CL626" s="2023"/>
      <c r="CM626" s="2023">
        <f t="shared" si="11"/>
        <v>0</v>
      </c>
      <c r="CN626" s="2023"/>
      <c r="CO626" s="2023"/>
      <c r="CP626" s="2023"/>
      <c r="CQ626" s="2023"/>
      <c r="CR626" s="265"/>
      <c r="CS626" s="2376">
        <f t="shared" si="12"/>
        <v>0</v>
      </c>
      <c r="CT626" s="2376"/>
      <c r="CU626" s="2376"/>
      <c r="CV626" s="2376"/>
      <c r="CW626" s="2376"/>
      <c r="CX626" s="2376">
        <f t="shared" si="13"/>
        <v>0</v>
      </c>
      <c r="CY626" s="2376"/>
      <c r="CZ626" s="2376"/>
      <c r="DA626" s="2376"/>
      <c r="DB626" s="2376"/>
      <c r="DC626" s="2376">
        <f t="shared" si="14"/>
        <v>0</v>
      </c>
      <c r="DD626" s="2376"/>
      <c r="DE626" s="2376"/>
      <c r="DF626" s="2376"/>
      <c r="DG626" s="2376"/>
      <c r="DH626" s="2376">
        <f t="shared" si="15"/>
        <v>0</v>
      </c>
      <c r="DI626" s="2376"/>
      <c r="DJ626" s="2376"/>
      <c r="DK626" s="2376"/>
      <c r="DL626" s="2376"/>
      <c r="DM626" s="2376">
        <f t="shared" si="16"/>
        <v>0</v>
      </c>
      <c r="DN626" s="2376"/>
      <c r="DO626" s="2376"/>
      <c r="DP626" s="2376"/>
      <c r="DQ626" s="2376"/>
      <c r="DR626" s="2376">
        <f t="shared" si="17"/>
        <v>0</v>
      </c>
      <c r="DS626" s="2376"/>
      <c r="DT626" s="2376"/>
      <c r="DU626" s="2376"/>
      <c r="DV626" s="2376"/>
      <c r="DX626" s="2030" t="str">
        <f t="shared" si="18"/>
        <v xml:space="preserve"> </v>
      </c>
      <c r="DY626" s="2188"/>
      <c r="DZ626" s="2188"/>
      <c r="EA626" s="2188"/>
      <c r="EB626" s="2031"/>
      <c r="EC626" s="2030" t="str">
        <f t="shared" si="19"/>
        <v xml:space="preserve"> </v>
      </c>
      <c r="ED626" s="2188"/>
      <c r="EE626" s="2188"/>
      <c r="EF626" s="2188"/>
      <c r="EG626" s="2031"/>
      <c r="EH626" s="2030" t="str">
        <f t="shared" si="20"/>
        <v xml:space="preserve"> </v>
      </c>
      <c r="EI626" s="2188"/>
      <c r="EJ626" s="2188"/>
      <c r="EK626" s="2188"/>
      <c r="EL626" s="2031"/>
      <c r="EM626" s="2030" t="str">
        <f t="shared" si="21"/>
        <v xml:space="preserve"> </v>
      </c>
      <c r="EN626" s="2188"/>
      <c r="EO626" s="2188"/>
      <c r="EP626" s="2188"/>
      <c r="EQ626" s="2031"/>
      <c r="ER626" s="2030" t="str">
        <f t="shared" si="22"/>
        <v xml:space="preserve"> </v>
      </c>
      <c r="ES626" s="2188"/>
      <c r="ET626" s="2188"/>
      <c r="EU626" s="2188"/>
      <c r="EV626" s="2031"/>
      <c r="EW626" s="2030" t="str">
        <f t="shared" si="23"/>
        <v xml:space="preserve"> </v>
      </c>
      <c r="EX626" s="2188"/>
      <c r="EY626" s="2188"/>
      <c r="EZ626" s="2188"/>
      <c r="FA626" s="2031"/>
    </row>
    <row r="627" spans="1:157" ht="12.75" customHeight="1">
      <c r="A627" s="1883" t="s">
        <v>577</v>
      </c>
      <c r="B627" s="1883"/>
      <c r="C627" s="1883"/>
      <c r="D627" s="1883"/>
      <c r="E627" s="1883"/>
      <c r="F627" s="1883"/>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3"/>
      <c r="AF627" s="1883"/>
      <c r="AG627" s="1883"/>
      <c r="AH627" s="1883"/>
      <c r="AI627" s="1883"/>
      <c r="AJ627" s="1883"/>
      <c r="AK627" s="1883"/>
      <c r="AL627" s="1883"/>
      <c r="AM627" s="1883"/>
      <c r="AN627" s="1883"/>
      <c r="AO627" s="1883"/>
      <c r="AP627" s="1883"/>
      <c r="AQ627" s="1883"/>
      <c r="AR627" s="1883"/>
      <c r="AS627" s="1883"/>
      <c r="AT627" s="1571"/>
      <c r="AU627" s="1571"/>
      <c r="AV627" s="1571"/>
      <c r="AW627" s="1571"/>
      <c r="AX627" s="1571"/>
      <c r="AY627" s="1571"/>
      <c r="AZ627" s="58"/>
      <c r="BA627" s="58"/>
      <c r="BB627" s="58"/>
      <c r="BC627" s="58"/>
      <c r="BD627" s="58"/>
      <c r="BE627" s="2030">
        <f t="shared" si="2"/>
        <v>0</v>
      </c>
      <c r="BF627" s="2031"/>
      <c r="BG627" s="2027">
        <f t="shared" si="3"/>
        <v>0</v>
      </c>
      <c r="BH627" s="2029"/>
      <c r="BI627" s="2030">
        <f t="shared" si="4"/>
        <v>0</v>
      </c>
      <c r="BJ627" s="2031"/>
      <c r="BK627" s="2027">
        <f t="shared" si="5"/>
        <v>0</v>
      </c>
      <c r="BL627" s="2029"/>
      <c r="BM627" s="58"/>
      <c r="BN627" s="2024">
        <f t="shared" si="6"/>
        <v>0</v>
      </c>
      <c r="BO627" s="2025"/>
      <c r="BP627" s="2025"/>
      <c r="BQ627" s="2025"/>
      <c r="BR627" s="2026"/>
      <c r="BS627" s="2023">
        <f t="shared" si="7"/>
        <v>0</v>
      </c>
      <c r="BT627" s="2023"/>
      <c r="BU627" s="2023"/>
      <c r="BV627" s="2023"/>
      <c r="BW627" s="2023"/>
      <c r="BX627" s="2023">
        <f t="shared" si="8"/>
        <v>0</v>
      </c>
      <c r="BY627" s="2023"/>
      <c r="BZ627" s="2023"/>
      <c r="CA627" s="2023"/>
      <c r="CB627" s="2023"/>
      <c r="CC627" s="2023">
        <f t="shared" si="9"/>
        <v>0</v>
      </c>
      <c r="CD627" s="2023"/>
      <c r="CE627" s="2023"/>
      <c r="CF627" s="2023"/>
      <c r="CG627" s="2023"/>
      <c r="CH627" s="2023">
        <f t="shared" si="10"/>
        <v>0</v>
      </c>
      <c r="CI627" s="2023"/>
      <c r="CJ627" s="2023"/>
      <c r="CK627" s="2023"/>
      <c r="CL627" s="2023"/>
      <c r="CM627" s="2023">
        <f t="shared" si="11"/>
        <v>0</v>
      </c>
      <c r="CN627" s="2023"/>
      <c r="CO627" s="2023"/>
      <c r="CP627" s="2023"/>
      <c r="CQ627" s="2023"/>
      <c r="CR627" s="265"/>
      <c r="CS627" s="2376">
        <f t="shared" si="12"/>
        <v>0</v>
      </c>
      <c r="CT627" s="2376"/>
      <c r="CU627" s="2376"/>
      <c r="CV627" s="2376"/>
      <c r="CW627" s="2376"/>
      <c r="CX627" s="2376">
        <f t="shared" si="13"/>
        <v>0</v>
      </c>
      <c r="CY627" s="2376"/>
      <c r="CZ627" s="2376"/>
      <c r="DA627" s="2376"/>
      <c r="DB627" s="2376"/>
      <c r="DC627" s="2376">
        <f t="shared" si="14"/>
        <v>0</v>
      </c>
      <c r="DD627" s="2376"/>
      <c r="DE627" s="2376"/>
      <c r="DF627" s="2376"/>
      <c r="DG627" s="2376"/>
      <c r="DH627" s="2376">
        <f t="shared" si="15"/>
        <v>0</v>
      </c>
      <c r="DI627" s="2376"/>
      <c r="DJ627" s="2376"/>
      <c r="DK627" s="2376"/>
      <c r="DL627" s="2376"/>
      <c r="DM627" s="2376">
        <f t="shared" si="16"/>
        <v>0</v>
      </c>
      <c r="DN627" s="2376"/>
      <c r="DO627" s="2376"/>
      <c r="DP627" s="2376"/>
      <c r="DQ627" s="2376"/>
      <c r="DR627" s="2376">
        <f t="shared" si="17"/>
        <v>0</v>
      </c>
      <c r="DS627" s="2376"/>
      <c r="DT627" s="2376"/>
      <c r="DU627" s="2376"/>
      <c r="DV627" s="2376"/>
      <c r="DX627" s="2030" t="str">
        <f t="shared" si="18"/>
        <v xml:space="preserve"> </v>
      </c>
      <c r="DY627" s="2188"/>
      <c r="DZ627" s="2188"/>
      <c r="EA627" s="2188"/>
      <c r="EB627" s="2031"/>
      <c r="EC627" s="2030" t="str">
        <f t="shared" si="19"/>
        <v xml:space="preserve"> </v>
      </c>
      <c r="ED627" s="2188"/>
      <c r="EE627" s="2188"/>
      <c r="EF627" s="2188"/>
      <c r="EG627" s="2031"/>
      <c r="EH627" s="2030" t="str">
        <f t="shared" si="20"/>
        <v xml:space="preserve"> </v>
      </c>
      <c r="EI627" s="2188"/>
      <c r="EJ627" s="2188"/>
      <c r="EK627" s="2188"/>
      <c r="EL627" s="2031"/>
      <c r="EM627" s="2030" t="str">
        <f t="shared" si="21"/>
        <v xml:space="preserve"> </v>
      </c>
      <c r="EN627" s="2188"/>
      <c r="EO627" s="2188"/>
      <c r="EP627" s="2188"/>
      <c r="EQ627" s="2031"/>
      <c r="ER627" s="2030" t="str">
        <f t="shared" si="22"/>
        <v xml:space="preserve"> </v>
      </c>
      <c r="ES627" s="2188"/>
      <c r="ET627" s="2188"/>
      <c r="EU627" s="2188"/>
      <c r="EV627" s="2031"/>
      <c r="EW627" s="2030" t="str">
        <f t="shared" si="23"/>
        <v xml:space="preserve"> </v>
      </c>
      <c r="EX627" s="2188"/>
      <c r="EY627" s="2188"/>
      <c r="EZ627" s="2188"/>
      <c r="FA627" s="2031"/>
    </row>
    <row r="628" spans="1:157" ht="12.75">
      <c r="A628" s="1883"/>
      <c r="B628" s="1883"/>
      <c r="C628" s="1883"/>
      <c r="D628" s="1883"/>
      <c r="E628" s="1883"/>
      <c r="F628" s="1883"/>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3"/>
      <c r="AF628" s="1883"/>
      <c r="AG628" s="1883"/>
      <c r="AH628" s="1883"/>
      <c r="AI628" s="1883"/>
      <c r="AJ628" s="1883"/>
      <c r="AK628" s="1883"/>
      <c r="AL628" s="1883"/>
      <c r="AM628" s="1883"/>
      <c r="AN628" s="1883"/>
      <c r="AO628" s="1883"/>
      <c r="AP628" s="1883"/>
      <c r="AQ628" s="1883"/>
      <c r="AR628" s="1883"/>
      <c r="AS628" s="1883"/>
      <c r="AT628" s="1571"/>
      <c r="AU628" s="1571"/>
      <c r="AV628" s="1571"/>
      <c r="AW628" s="1571"/>
      <c r="AX628" s="1571"/>
      <c r="AY628" s="1571"/>
      <c r="AZ628" s="58"/>
      <c r="BA628" s="58"/>
      <c r="BB628" s="58"/>
      <c r="BC628" s="58"/>
      <c r="BD628" s="58"/>
      <c r="BE628" s="2030">
        <f t="shared" si="2"/>
        <v>0</v>
      </c>
      <c r="BF628" s="2031"/>
      <c r="BG628" s="2027">
        <f t="shared" si="3"/>
        <v>0</v>
      </c>
      <c r="BH628" s="2029"/>
      <c r="BI628" s="2030">
        <f t="shared" si="4"/>
        <v>0</v>
      </c>
      <c r="BJ628" s="2031"/>
      <c r="BK628" s="2027">
        <f t="shared" si="5"/>
        <v>0</v>
      </c>
      <c r="BL628" s="2029"/>
      <c r="BM628" s="58"/>
      <c r="BN628" s="2024">
        <f t="shared" si="6"/>
        <v>0</v>
      </c>
      <c r="BO628" s="2025"/>
      <c r="BP628" s="2025"/>
      <c r="BQ628" s="2025"/>
      <c r="BR628" s="2026"/>
      <c r="BS628" s="2023">
        <f t="shared" si="7"/>
        <v>0</v>
      </c>
      <c r="BT628" s="2023"/>
      <c r="BU628" s="2023"/>
      <c r="BV628" s="2023"/>
      <c r="BW628" s="2023"/>
      <c r="BX628" s="2023">
        <f t="shared" si="8"/>
        <v>0</v>
      </c>
      <c r="BY628" s="2023"/>
      <c r="BZ628" s="2023"/>
      <c r="CA628" s="2023"/>
      <c r="CB628" s="2023"/>
      <c r="CC628" s="2023">
        <f t="shared" si="9"/>
        <v>0</v>
      </c>
      <c r="CD628" s="2023"/>
      <c r="CE628" s="2023"/>
      <c r="CF628" s="2023"/>
      <c r="CG628" s="2023"/>
      <c r="CH628" s="2023">
        <f t="shared" si="10"/>
        <v>0</v>
      </c>
      <c r="CI628" s="2023"/>
      <c r="CJ628" s="2023"/>
      <c r="CK628" s="2023"/>
      <c r="CL628" s="2023"/>
      <c r="CM628" s="2023">
        <f t="shared" si="11"/>
        <v>0</v>
      </c>
      <c r="CN628" s="2023"/>
      <c r="CO628" s="2023"/>
      <c r="CP628" s="2023"/>
      <c r="CQ628" s="2023"/>
      <c r="CR628" s="265"/>
      <c r="CS628" s="2376">
        <f t="shared" si="12"/>
        <v>0</v>
      </c>
      <c r="CT628" s="2376"/>
      <c r="CU628" s="2376"/>
      <c r="CV628" s="2376"/>
      <c r="CW628" s="2376"/>
      <c r="CX628" s="2376">
        <f t="shared" si="13"/>
        <v>0</v>
      </c>
      <c r="CY628" s="2376"/>
      <c r="CZ628" s="2376"/>
      <c r="DA628" s="2376"/>
      <c r="DB628" s="2376"/>
      <c r="DC628" s="2376">
        <f t="shared" si="14"/>
        <v>0</v>
      </c>
      <c r="DD628" s="2376"/>
      <c r="DE628" s="2376"/>
      <c r="DF628" s="2376"/>
      <c r="DG628" s="2376"/>
      <c r="DH628" s="2376">
        <f t="shared" si="15"/>
        <v>0</v>
      </c>
      <c r="DI628" s="2376"/>
      <c r="DJ628" s="2376"/>
      <c r="DK628" s="2376"/>
      <c r="DL628" s="2376"/>
      <c r="DM628" s="2376">
        <f t="shared" si="16"/>
        <v>0</v>
      </c>
      <c r="DN628" s="2376"/>
      <c r="DO628" s="2376"/>
      <c r="DP628" s="2376"/>
      <c r="DQ628" s="2376"/>
      <c r="DR628" s="2376">
        <f t="shared" si="17"/>
        <v>0</v>
      </c>
      <c r="DS628" s="2376"/>
      <c r="DT628" s="2376"/>
      <c r="DU628" s="2376"/>
      <c r="DV628" s="2376"/>
      <c r="DX628" s="2030" t="str">
        <f t="shared" si="18"/>
        <v xml:space="preserve"> </v>
      </c>
      <c r="DY628" s="2188"/>
      <c r="DZ628" s="2188"/>
      <c r="EA628" s="2188"/>
      <c r="EB628" s="2031"/>
      <c r="EC628" s="2030" t="str">
        <f t="shared" si="19"/>
        <v xml:space="preserve"> </v>
      </c>
      <c r="ED628" s="2188"/>
      <c r="EE628" s="2188"/>
      <c r="EF628" s="2188"/>
      <c r="EG628" s="2031"/>
      <c r="EH628" s="2030" t="str">
        <f t="shared" si="20"/>
        <v xml:space="preserve"> </v>
      </c>
      <c r="EI628" s="2188"/>
      <c r="EJ628" s="2188"/>
      <c r="EK628" s="2188"/>
      <c r="EL628" s="2031"/>
      <c r="EM628" s="2030" t="str">
        <f t="shared" si="21"/>
        <v xml:space="preserve"> </v>
      </c>
      <c r="EN628" s="2188"/>
      <c r="EO628" s="2188"/>
      <c r="EP628" s="2188"/>
      <c r="EQ628" s="2031"/>
      <c r="ER628" s="2030" t="str">
        <f t="shared" si="22"/>
        <v xml:space="preserve"> </v>
      </c>
      <c r="ES628" s="2188"/>
      <c r="ET628" s="2188"/>
      <c r="EU628" s="2188"/>
      <c r="EV628" s="2031"/>
      <c r="EW628" s="2030" t="str">
        <f t="shared" si="23"/>
        <v xml:space="preserve"> </v>
      </c>
      <c r="EX628" s="2188"/>
      <c r="EY628" s="2188"/>
      <c r="EZ628" s="2188"/>
      <c r="FA628" s="2031"/>
    </row>
    <row r="629" spans="1:157" ht="12.75">
      <c r="A629" s="25"/>
      <c r="B629" s="25"/>
      <c r="C629" s="25"/>
      <c r="D629" s="25"/>
      <c r="E629" s="25"/>
      <c r="F629" s="25"/>
      <c r="G629" s="3"/>
      <c r="H629" s="25"/>
      <c r="AZ629" s="58"/>
      <c r="BA629" s="58"/>
      <c r="BB629" s="58"/>
      <c r="BC629" s="58"/>
      <c r="BD629" s="58"/>
      <c r="BE629" s="2030">
        <f t="shared" si="2"/>
        <v>0</v>
      </c>
      <c r="BF629" s="2031"/>
      <c r="BG629" s="2027">
        <f t="shared" si="3"/>
        <v>0</v>
      </c>
      <c r="BH629" s="2029"/>
      <c r="BI629" s="2030">
        <f t="shared" si="4"/>
        <v>0</v>
      </c>
      <c r="BJ629" s="2031"/>
      <c r="BK629" s="2027">
        <f t="shared" si="5"/>
        <v>0</v>
      </c>
      <c r="BL629" s="2029"/>
      <c r="BM629" s="58"/>
      <c r="BN629" s="2024">
        <f t="shared" si="6"/>
        <v>0</v>
      </c>
      <c r="BO629" s="2025"/>
      <c r="BP629" s="2025"/>
      <c r="BQ629" s="2025"/>
      <c r="BR629" s="2026"/>
      <c r="BS629" s="2023">
        <f t="shared" si="7"/>
        <v>0</v>
      </c>
      <c r="BT629" s="2023"/>
      <c r="BU629" s="2023"/>
      <c r="BV629" s="2023"/>
      <c r="BW629" s="2023"/>
      <c r="BX629" s="2023">
        <f t="shared" si="8"/>
        <v>0</v>
      </c>
      <c r="BY629" s="2023"/>
      <c r="BZ629" s="2023"/>
      <c r="CA629" s="2023"/>
      <c r="CB629" s="2023"/>
      <c r="CC629" s="2023">
        <f t="shared" si="9"/>
        <v>0</v>
      </c>
      <c r="CD629" s="2023"/>
      <c r="CE629" s="2023"/>
      <c r="CF629" s="2023"/>
      <c r="CG629" s="2023"/>
      <c r="CH629" s="2023">
        <f t="shared" si="10"/>
        <v>0</v>
      </c>
      <c r="CI629" s="2023"/>
      <c r="CJ629" s="2023"/>
      <c r="CK629" s="2023"/>
      <c r="CL629" s="2023"/>
      <c r="CM629" s="2023">
        <f t="shared" si="11"/>
        <v>0</v>
      </c>
      <c r="CN629" s="2023"/>
      <c r="CO629" s="2023"/>
      <c r="CP629" s="2023"/>
      <c r="CQ629" s="2023"/>
      <c r="CR629" s="265"/>
      <c r="CS629" s="2376">
        <f t="shared" si="12"/>
        <v>0</v>
      </c>
      <c r="CT629" s="2376"/>
      <c r="CU629" s="2376"/>
      <c r="CV629" s="2376"/>
      <c r="CW629" s="2376"/>
      <c r="CX629" s="2376">
        <f t="shared" si="13"/>
        <v>0</v>
      </c>
      <c r="CY629" s="2376"/>
      <c r="CZ629" s="2376"/>
      <c r="DA629" s="2376"/>
      <c r="DB629" s="2376"/>
      <c r="DC629" s="2376">
        <f t="shared" si="14"/>
        <v>0</v>
      </c>
      <c r="DD629" s="2376"/>
      <c r="DE629" s="2376"/>
      <c r="DF629" s="2376"/>
      <c r="DG629" s="2376"/>
      <c r="DH629" s="2376">
        <f t="shared" si="15"/>
        <v>0</v>
      </c>
      <c r="DI629" s="2376"/>
      <c r="DJ629" s="2376"/>
      <c r="DK629" s="2376"/>
      <c r="DL629" s="2376"/>
      <c r="DM629" s="2376">
        <f t="shared" si="16"/>
        <v>0</v>
      </c>
      <c r="DN629" s="2376"/>
      <c r="DO629" s="2376"/>
      <c r="DP629" s="2376"/>
      <c r="DQ629" s="2376"/>
      <c r="DR629" s="2376">
        <f t="shared" si="17"/>
        <v>0</v>
      </c>
      <c r="DS629" s="2376"/>
      <c r="DT629" s="2376"/>
      <c r="DU629" s="2376"/>
      <c r="DV629" s="2376"/>
      <c r="DX629" s="2030" t="str">
        <f t="shared" si="18"/>
        <v xml:space="preserve"> </v>
      </c>
      <c r="DY629" s="2188"/>
      <c r="DZ629" s="2188"/>
      <c r="EA629" s="2188"/>
      <c r="EB629" s="2031"/>
      <c r="EC629" s="2030" t="str">
        <f t="shared" si="19"/>
        <v xml:space="preserve"> </v>
      </c>
      <c r="ED629" s="2188"/>
      <c r="EE629" s="2188"/>
      <c r="EF629" s="2188"/>
      <c r="EG629" s="2031"/>
      <c r="EH629" s="2030" t="str">
        <f t="shared" si="20"/>
        <v xml:space="preserve"> </v>
      </c>
      <c r="EI629" s="2188"/>
      <c r="EJ629" s="2188"/>
      <c r="EK629" s="2188"/>
      <c r="EL629" s="2031"/>
      <c r="EM629" s="2030" t="str">
        <f t="shared" si="21"/>
        <v xml:space="preserve"> </v>
      </c>
      <c r="EN629" s="2188"/>
      <c r="EO629" s="2188"/>
      <c r="EP629" s="2188"/>
      <c r="EQ629" s="2031"/>
      <c r="ER629" s="2030" t="str">
        <f t="shared" si="22"/>
        <v xml:space="preserve"> </v>
      </c>
      <c r="ES629" s="2188"/>
      <c r="ET629" s="2188"/>
      <c r="EU629" s="2188"/>
      <c r="EV629" s="2031"/>
      <c r="EW629" s="2030" t="str">
        <f t="shared" si="23"/>
        <v xml:space="preserve"> </v>
      </c>
      <c r="EX629" s="2188"/>
      <c r="EY629" s="2188"/>
      <c r="EZ629" s="2188"/>
      <c r="FA629" s="2031"/>
    </row>
    <row r="630" spans="1:157" ht="12.75">
      <c r="A630" s="50" t="s">
        <v>328</v>
      </c>
      <c r="B630" s="50"/>
      <c r="C630" s="50" t="s">
        <v>21</v>
      </c>
      <c r="AZ630" s="58"/>
      <c r="BA630" s="58"/>
      <c r="BB630" s="58"/>
      <c r="BC630" s="58"/>
      <c r="BD630" s="58"/>
      <c r="BE630" s="2030">
        <f t="shared" si="2"/>
        <v>0</v>
      </c>
      <c r="BF630" s="2031"/>
      <c r="BG630" s="2027">
        <f t="shared" si="3"/>
        <v>0</v>
      </c>
      <c r="BH630" s="2029"/>
      <c r="BI630" s="2030">
        <f t="shared" si="4"/>
        <v>0</v>
      </c>
      <c r="BJ630" s="2031"/>
      <c r="BK630" s="2027">
        <f t="shared" si="5"/>
        <v>0</v>
      </c>
      <c r="BL630" s="2029"/>
      <c r="BM630" s="58"/>
      <c r="BN630" s="2024">
        <f t="shared" si="6"/>
        <v>0</v>
      </c>
      <c r="BO630" s="2025"/>
      <c r="BP630" s="2025"/>
      <c r="BQ630" s="2025"/>
      <c r="BR630" s="2026"/>
      <c r="BS630" s="2023">
        <f t="shared" si="7"/>
        <v>0</v>
      </c>
      <c r="BT630" s="2023"/>
      <c r="BU630" s="2023"/>
      <c r="BV630" s="2023"/>
      <c r="BW630" s="2023"/>
      <c r="BX630" s="2023">
        <f t="shared" si="8"/>
        <v>0</v>
      </c>
      <c r="BY630" s="2023"/>
      <c r="BZ630" s="2023"/>
      <c r="CA630" s="2023"/>
      <c r="CB630" s="2023"/>
      <c r="CC630" s="2023">
        <f t="shared" si="9"/>
        <v>0</v>
      </c>
      <c r="CD630" s="2023"/>
      <c r="CE630" s="2023"/>
      <c r="CF630" s="2023"/>
      <c r="CG630" s="2023"/>
      <c r="CH630" s="2023">
        <f t="shared" si="10"/>
        <v>0</v>
      </c>
      <c r="CI630" s="2023"/>
      <c r="CJ630" s="2023"/>
      <c r="CK630" s="2023"/>
      <c r="CL630" s="2023"/>
      <c r="CM630" s="2023">
        <f t="shared" si="11"/>
        <v>0</v>
      </c>
      <c r="CN630" s="2023"/>
      <c r="CO630" s="2023"/>
      <c r="CP630" s="2023"/>
      <c r="CQ630" s="2023"/>
      <c r="CR630" s="265"/>
      <c r="CS630" s="2376">
        <f t="shared" si="12"/>
        <v>0</v>
      </c>
      <c r="CT630" s="2376"/>
      <c r="CU630" s="2376"/>
      <c r="CV630" s="2376"/>
      <c r="CW630" s="2376"/>
      <c r="CX630" s="2376">
        <f t="shared" si="13"/>
        <v>0</v>
      </c>
      <c r="CY630" s="2376"/>
      <c r="CZ630" s="2376"/>
      <c r="DA630" s="2376"/>
      <c r="DB630" s="2376"/>
      <c r="DC630" s="2376">
        <f t="shared" si="14"/>
        <v>0</v>
      </c>
      <c r="DD630" s="2376"/>
      <c r="DE630" s="2376"/>
      <c r="DF630" s="2376"/>
      <c r="DG630" s="2376"/>
      <c r="DH630" s="2376">
        <f t="shared" si="15"/>
        <v>0</v>
      </c>
      <c r="DI630" s="2376"/>
      <c r="DJ630" s="2376"/>
      <c r="DK630" s="2376"/>
      <c r="DL630" s="2376"/>
      <c r="DM630" s="2376">
        <f t="shared" si="16"/>
        <v>0</v>
      </c>
      <c r="DN630" s="2376"/>
      <c r="DO630" s="2376"/>
      <c r="DP630" s="2376"/>
      <c r="DQ630" s="2376"/>
      <c r="DR630" s="2376">
        <f t="shared" si="17"/>
        <v>0</v>
      </c>
      <c r="DS630" s="2376"/>
      <c r="DT630" s="2376"/>
      <c r="DU630" s="2376"/>
      <c r="DV630" s="2376"/>
      <c r="DX630" s="2030" t="str">
        <f t="shared" si="18"/>
        <v xml:space="preserve"> </v>
      </c>
      <c r="DY630" s="2188"/>
      <c r="DZ630" s="2188"/>
      <c r="EA630" s="2188"/>
      <c r="EB630" s="2031"/>
      <c r="EC630" s="2030" t="str">
        <f t="shared" si="19"/>
        <v xml:space="preserve"> </v>
      </c>
      <c r="ED630" s="2188"/>
      <c r="EE630" s="2188"/>
      <c r="EF630" s="2188"/>
      <c r="EG630" s="2031"/>
      <c r="EH630" s="2030" t="str">
        <f t="shared" si="20"/>
        <v xml:space="preserve"> </v>
      </c>
      <c r="EI630" s="2188"/>
      <c r="EJ630" s="2188"/>
      <c r="EK630" s="2188"/>
      <c r="EL630" s="2031"/>
      <c r="EM630" s="2030" t="str">
        <f t="shared" si="21"/>
        <v xml:space="preserve"> </v>
      </c>
      <c r="EN630" s="2188"/>
      <c r="EO630" s="2188"/>
      <c r="EP630" s="2188"/>
      <c r="EQ630" s="2031"/>
      <c r="ER630" s="2030" t="str">
        <f t="shared" si="22"/>
        <v xml:space="preserve"> </v>
      </c>
      <c r="ES630" s="2188"/>
      <c r="ET630" s="2188"/>
      <c r="EU630" s="2188"/>
      <c r="EV630" s="2031"/>
      <c r="EW630" s="2030" t="str">
        <f t="shared" si="23"/>
        <v xml:space="preserve"> </v>
      </c>
      <c r="EX630" s="2188"/>
      <c r="EY630" s="2188"/>
      <c r="EZ630" s="2188"/>
      <c r="FA630" s="2031"/>
    </row>
    <row r="631" spans="1:157" ht="12.75">
      <c r="A631" s="50"/>
      <c r="B631" s="50"/>
      <c r="C631" s="50"/>
      <c r="AZ631" s="58"/>
      <c r="BA631" s="58"/>
      <c r="BB631" s="58"/>
      <c r="BC631" s="58"/>
      <c r="BD631" s="58"/>
      <c r="BE631" s="2030">
        <f t="shared" si="2"/>
        <v>0</v>
      </c>
      <c r="BF631" s="2031"/>
      <c r="BG631" s="2027">
        <f t="shared" si="3"/>
        <v>0</v>
      </c>
      <c r="BH631" s="2029"/>
      <c r="BI631" s="2030">
        <f t="shared" si="4"/>
        <v>0</v>
      </c>
      <c r="BJ631" s="2031"/>
      <c r="BK631" s="2027">
        <f t="shared" si="5"/>
        <v>0</v>
      </c>
      <c r="BL631" s="2029"/>
      <c r="BM631" s="58"/>
      <c r="BN631" s="2024">
        <f t="shared" si="6"/>
        <v>0</v>
      </c>
      <c r="BO631" s="2025"/>
      <c r="BP631" s="2025"/>
      <c r="BQ631" s="2025"/>
      <c r="BR631" s="2026"/>
      <c r="BS631" s="2023">
        <f t="shared" si="7"/>
        <v>0</v>
      </c>
      <c r="BT631" s="2023"/>
      <c r="BU631" s="2023"/>
      <c r="BV631" s="2023"/>
      <c r="BW631" s="2023"/>
      <c r="BX631" s="2023">
        <f t="shared" si="8"/>
        <v>0</v>
      </c>
      <c r="BY631" s="2023"/>
      <c r="BZ631" s="2023"/>
      <c r="CA631" s="2023"/>
      <c r="CB631" s="2023"/>
      <c r="CC631" s="2023">
        <f t="shared" si="9"/>
        <v>0</v>
      </c>
      <c r="CD631" s="2023"/>
      <c r="CE631" s="2023"/>
      <c r="CF631" s="2023"/>
      <c r="CG631" s="2023"/>
      <c r="CH631" s="2023">
        <f t="shared" si="10"/>
        <v>0</v>
      </c>
      <c r="CI631" s="2023"/>
      <c r="CJ631" s="2023"/>
      <c r="CK631" s="2023"/>
      <c r="CL631" s="2023"/>
      <c r="CM631" s="2023">
        <f t="shared" si="11"/>
        <v>0</v>
      </c>
      <c r="CN631" s="2023"/>
      <c r="CO631" s="2023"/>
      <c r="CP631" s="2023"/>
      <c r="CQ631" s="2023"/>
      <c r="CR631" s="265"/>
      <c r="CS631" s="2376">
        <f t="shared" si="12"/>
        <v>0</v>
      </c>
      <c r="CT631" s="2376"/>
      <c r="CU631" s="2376"/>
      <c r="CV631" s="2376"/>
      <c r="CW631" s="2376"/>
      <c r="CX631" s="2376">
        <f t="shared" si="13"/>
        <v>0</v>
      </c>
      <c r="CY631" s="2376"/>
      <c r="CZ631" s="2376"/>
      <c r="DA631" s="2376"/>
      <c r="DB631" s="2376"/>
      <c r="DC631" s="2376">
        <f t="shared" si="14"/>
        <v>0</v>
      </c>
      <c r="DD631" s="2376"/>
      <c r="DE631" s="2376"/>
      <c r="DF631" s="2376"/>
      <c r="DG631" s="2376"/>
      <c r="DH631" s="2376">
        <f t="shared" si="15"/>
        <v>0</v>
      </c>
      <c r="DI631" s="2376"/>
      <c r="DJ631" s="2376"/>
      <c r="DK631" s="2376"/>
      <c r="DL631" s="2376"/>
      <c r="DM631" s="2376">
        <f t="shared" si="16"/>
        <v>0</v>
      </c>
      <c r="DN631" s="2376"/>
      <c r="DO631" s="2376"/>
      <c r="DP631" s="2376"/>
      <c r="DQ631" s="2376"/>
      <c r="DR631" s="2376">
        <f t="shared" si="17"/>
        <v>0</v>
      </c>
      <c r="DS631" s="2376"/>
      <c r="DT631" s="2376"/>
      <c r="DU631" s="2376"/>
      <c r="DV631" s="2376"/>
      <c r="DX631" s="2030" t="str">
        <f t="shared" si="18"/>
        <v xml:space="preserve"> </v>
      </c>
      <c r="DY631" s="2188"/>
      <c r="DZ631" s="2188"/>
      <c r="EA631" s="2188"/>
      <c r="EB631" s="2031"/>
      <c r="EC631" s="2030" t="str">
        <f t="shared" si="19"/>
        <v xml:space="preserve"> </v>
      </c>
      <c r="ED631" s="2188"/>
      <c r="EE631" s="2188"/>
      <c r="EF631" s="2188"/>
      <c r="EG631" s="2031"/>
      <c r="EH631" s="2030" t="str">
        <f t="shared" si="20"/>
        <v xml:space="preserve"> </v>
      </c>
      <c r="EI631" s="2188"/>
      <c r="EJ631" s="2188"/>
      <c r="EK631" s="2188"/>
      <c r="EL631" s="2031"/>
      <c r="EM631" s="2030" t="str">
        <f t="shared" si="21"/>
        <v xml:space="preserve"> </v>
      </c>
      <c r="EN631" s="2188"/>
      <c r="EO631" s="2188"/>
      <c r="EP631" s="2188"/>
      <c r="EQ631" s="2031"/>
      <c r="ER631" s="2030" t="str">
        <f t="shared" si="22"/>
        <v xml:space="preserve"> </v>
      </c>
      <c r="ES631" s="2188"/>
      <c r="ET631" s="2188"/>
      <c r="EU631" s="2188"/>
      <c r="EV631" s="2031"/>
      <c r="EW631" s="2030" t="str">
        <f t="shared" si="23"/>
        <v xml:space="preserve"> </v>
      </c>
      <c r="EX631" s="2188"/>
      <c r="EY631" s="2188"/>
      <c r="EZ631" s="2188"/>
      <c r="FA631" s="203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2"/>
        <v>0</v>
      </c>
      <c r="BF632" s="2031"/>
      <c r="BG632" s="2027">
        <f t="shared" si="3"/>
        <v>0</v>
      </c>
      <c r="BH632" s="2029"/>
      <c r="BI632" s="2030">
        <f t="shared" si="4"/>
        <v>0</v>
      </c>
      <c r="BJ632" s="2031"/>
      <c r="BK632" s="2027">
        <f t="shared" si="5"/>
        <v>0</v>
      </c>
      <c r="BL632" s="2029"/>
      <c r="BM632" s="58"/>
      <c r="BN632" s="2024">
        <f t="shared" si="6"/>
        <v>0</v>
      </c>
      <c r="BO632" s="2025"/>
      <c r="BP632" s="2025"/>
      <c r="BQ632" s="2025"/>
      <c r="BR632" s="2026"/>
      <c r="BS632" s="2023">
        <f t="shared" si="7"/>
        <v>0</v>
      </c>
      <c r="BT632" s="2023"/>
      <c r="BU632" s="2023"/>
      <c r="BV632" s="2023"/>
      <c r="BW632" s="2023"/>
      <c r="BX632" s="2023">
        <f t="shared" si="8"/>
        <v>0</v>
      </c>
      <c r="BY632" s="2023"/>
      <c r="BZ632" s="2023"/>
      <c r="CA632" s="2023"/>
      <c r="CB632" s="2023"/>
      <c r="CC632" s="2023">
        <f t="shared" si="9"/>
        <v>0</v>
      </c>
      <c r="CD632" s="2023"/>
      <c r="CE632" s="2023"/>
      <c r="CF632" s="2023"/>
      <c r="CG632" s="2023"/>
      <c r="CH632" s="2023">
        <f t="shared" si="10"/>
        <v>0</v>
      </c>
      <c r="CI632" s="2023"/>
      <c r="CJ632" s="2023"/>
      <c r="CK632" s="2023"/>
      <c r="CL632" s="2023"/>
      <c r="CM632" s="2023">
        <f t="shared" si="11"/>
        <v>0</v>
      </c>
      <c r="CN632" s="2023"/>
      <c r="CO632" s="2023"/>
      <c r="CP632" s="2023"/>
      <c r="CQ632" s="2023"/>
      <c r="CR632" s="265"/>
      <c r="CS632" s="2376">
        <f t="shared" si="12"/>
        <v>0</v>
      </c>
      <c r="CT632" s="2376"/>
      <c r="CU632" s="2376"/>
      <c r="CV632" s="2376"/>
      <c r="CW632" s="2376"/>
      <c r="CX632" s="2376">
        <f t="shared" si="13"/>
        <v>0</v>
      </c>
      <c r="CY632" s="2376"/>
      <c r="CZ632" s="2376"/>
      <c r="DA632" s="2376"/>
      <c r="DB632" s="2376"/>
      <c r="DC632" s="2376">
        <f t="shared" si="14"/>
        <v>0</v>
      </c>
      <c r="DD632" s="2376"/>
      <c r="DE632" s="2376"/>
      <c r="DF632" s="2376"/>
      <c r="DG632" s="2376"/>
      <c r="DH632" s="2376">
        <f t="shared" si="15"/>
        <v>0</v>
      </c>
      <c r="DI632" s="2376"/>
      <c r="DJ632" s="2376"/>
      <c r="DK632" s="2376"/>
      <c r="DL632" s="2376"/>
      <c r="DM632" s="2376">
        <f t="shared" si="16"/>
        <v>0</v>
      </c>
      <c r="DN632" s="2376"/>
      <c r="DO632" s="2376"/>
      <c r="DP632" s="2376"/>
      <c r="DQ632" s="2376"/>
      <c r="DR632" s="2376">
        <f t="shared" si="17"/>
        <v>0</v>
      </c>
      <c r="DS632" s="2376"/>
      <c r="DT632" s="2376"/>
      <c r="DU632" s="2376"/>
      <c r="DV632" s="2376"/>
      <c r="DX632" s="2030" t="str">
        <f t="shared" si="18"/>
        <v xml:space="preserve"> </v>
      </c>
      <c r="DY632" s="2188"/>
      <c r="DZ632" s="2188"/>
      <c r="EA632" s="2188"/>
      <c r="EB632" s="2031"/>
      <c r="EC632" s="2030" t="str">
        <f t="shared" si="19"/>
        <v xml:space="preserve"> </v>
      </c>
      <c r="ED632" s="2188"/>
      <c r="EE632" s="2188"/>
      <c r="EF632" s="2188"/>
      <c r="EG632" s="2031"/>
      <c r="EH632" s="2030" t="str">
        <f t="shared" si="20"/>
        <v xml:space="preserve"> </v>
      </c>
      <c r="EI632" s="2188"/>
      <c r="EJ632" s="2188"/>
      <c r="EK632" s="2188"/>
      <c r="EL632" s="2031"/>
      <c r="EM632" s="2030" t="str">
        <f t="shared" si="21"/>
        <v xml:space="preserve"> </v>
      </c>
      <c r="EN632" s="2188"/>
      <c r="EO632" s="2188"/>
      <c r="EP632" s="2188"/>
      <c r="EQ632" s="2031"/>
      <c r="ER632" s="2030" t="str">
        <f t="shared" si="22"/>
        <v xml:space="preserve"> </v>
      </c>
      <c r="ES632" s="2188"/>
      <c r="ET632" s="2188"/>
      <c r="EU632" s="2188"/>
      <c r="EV632" s="2031"/>
      <c r="EW632" s="2030" t="str">
        <f t="shared" si="23"/>
        <v xml:space="preserve"> </v>
      </c>
      <c r="EX632" s="2188"/>
      <c r="EY632" s="2188"/>
      <c r="EZ632" s="2188"/>
      <c r="FA632" s="203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2"/>
        <v>0</v>
      </c>
      <c r="BF633" s="2031"/>
      <c r="BG633" s="2027">
        <f t="shared" si="3"/>
        <v>0</v>
      </c>
      <c r="BH633" s="2029"/>
      <c r="BI633" s="2030">
        <f t="shared" si="4"/>
        <v>0</v>
      </c>
      <c r="BJ633" s="2031"/>
      <c r="BK633" s="2027">
        <f t="shared" si="5"/>
        <v>0</v>
      </c>
      <c r="BL633" s="2029"/>
      <c r="BM633" s="58"/>
      <c r="BN633" s="2024">
        <f t="shared" si="6"/>
        <v>0</v>
      </c>
      <c r="BO633" s="2025"/>
      <c r="BP633" s="2025"/>
      <c r="BQ633" s="2025"/>
      <c r="BR633" s="2026"/>
      <c r="BS633" s="2023">
        <f t="shared" si="7"/>
        <v>0</v>
      </c>
      <c r="BT633" s="2023"/>
      <c r="BU633" s="2023"/>
      <c r="BV633" s="2023"/>
      <c r="BW633" s="2023"/>
      <c r="BX633" s="2023">
        <f t="shared" si="8"/>
        <v>0</v>
      </c>
      <c r="BY633" s="2023"/>
      <c r="BZ633" s="2023"/>
      <c r="CA633" s="2023"/>
      <c r="CB633" s="2023"/>
      <c r="CC633" s="2023">
        <f t="shared" si="9"/>
        <v>0</v>
      </c>
      <c r="CD633" s="2023"/>
      <c r="CE633" s="2023"/>
      <c r="CF633" s="2023"/>
      <c r="CG633" s="2023"/>
      <c r="CH633" s="2023">
        <f t="shared" si="10"/>
        <v>0</v>
      </c>
      <c r="CI633" s="2023"/>
      <c r="CJ633" s="2023"/>
      <c r="CK633" s="2023"/>
      <c r="CL633" s="2023"/>
      <c r="CM633" s="2023">
        <f t="shared" si="11"/>
        <v>0</v>
      </c>
      <c r="CN633" s="2023"/>
      <c r="CO633" s="2023"/>
      <c r="CP633" s="2023"/>
      <c r="CQ633" s="2023"/>
      <c r="CR633" s="265"/>
      <c r="CS633" s="2376">
        <f t="shared" si="12"/>
        <v>0</v>
      </c>
      <c r="CT633" s="2376"/>
      <c r="CU633" s="2376"/>
      <c r="CV633" s="2376"/>
      <c r="CW633" s="2376"/>
      <c r="CX633" s="2376">
        <f t="shared" si="13"/>
        <v>0</v>
      </c>
      <c r="CY633" s="2376"/>
      <c r="CZ633" s="2376"/>
      <c r="DA633" s="2376"/>
      <c r="DB633" s="2376"/>
      <c r="DC633" s="2376">
        <f t="shared" si="14"/>
        <v>0</v>
      </c>
      <c r="DD633" s="2376"/>
      <c r="DE633" s="2376"/>
      <c r="DF633" s="2376"/>
      <c r="DG633" s="2376"/>
      <c r="DH633" s="2376">
        <f t="shared" si="15"/>
        <v>0</v>
      </c>
      <c r="DI633" s="2376"/>
      <c r="DJ633" s="2376"/>
      <c r="DK633" s="2376"/>
      <c r="DL633" s="2376"/>
      <c r="DM633" s="2376">
        <f t="shared" si="16"/>
        <v>0</v>
      </c>
      <c r="DN633" s="2376"/>
      <c r="DO633" s="2376"/>
      <c r="DP633" s="2376"/>
      <c r="DQ633" s="2376"/>
      <c r="DR633" s="2376">
        <f t="shared" si="17"/>
        <v>0</v>
      </c>
      <c r="DS633" s="2376"/>
      <c r="DT633" s="2376"/>
      <c r="DU633" s="2376"/>
      <c r="DV633" s="2376"/>
      <c r="DX633" s="2030" t="str">
        <f t="shared" si="18"/>
        <v xml:space="preserve"> </v>
      </c>
      <c r="DY633" s="2188"/>
      <c r="DZ633" s="2188"/>
      <c r="EA633" s="2188"/>
      <c r="EB633" s="2031"/>
      <c r="EC633" s="2030" t="str">
        <f t="shared" si="19"/>
        <v xml:space="preserve"> </v>
      </c>
      <c r="ED633" s="2188"/>
      <c r="EE633" s="2188"/>
      <c r="EF633" s="2188"/>
      <c r="EG633" s="2031"/>
      <c r="EH633" s="2030" t="str">
        <f t="shared" si="20"/>
        <v xml:space="preserve"> </v>
      </c>
      <c r="EI633" s="2188"/>
      <c r="EJ633" s="2188"/>
      <c r="EK633" s="2188"/>
      <c r="EL633" s="2031"/>
      <c r="EM633" s="2030" t="str">
        <f t="shared" si="21"/>
        <v xml:space="preserve"> </v>
      </c>
      <c r="EN633" s="2188"/>
      <c r="EO633" s="2188"/>
      <c r="EP633" s="2188"/>
      <c r="EQ633" s="2031"/>
      <c r="ER633" s="2030" t="str">
        <f t="shared" si="22"/>
        <v xml:space="preserve"> </v>
      </c>
      <c r="ES633" s="2188"/>
      <c r="ET633" s="2188"/>
      <c r="EU633" s="2188"/>
      <c r="EV633" s="2031"/>
      <c r="EW633" s="2030" t="str">
        <f t="shared" si="23"/>
        <v xml:space="preserve"> </v>
      </c>
      <c r="EX633" s="2188"/>
      <c r="EY633" s="2188"/>
      <c r="EZ633" s="2188"/>
      <c r="FA633" s="2031"/>
    </row>
    <row r="634" spans="1:157" s="1820" customFormat="1" ht="12.75" customHeight="1">
      <c r="B634" s="2506" t="s">
        <v>484</v>
      </c>
      <c r="C634" s="2507"/>
      <c r="D634" s="2507"/>
      <c r="E634" s="2507"/>
      <c r="F634" s="2507"/>
      <c r="G634" s="2507"/>
      <c r="H634" s="2507"/>
      <c r="I634" s="2507"/>
      <c r="J634" s="2507"/>
      <c r="K634" s="2507"/>
      <c r="L634" s="2507"/>
      <c r="M634" s="2507"/>
      <c r="N634" s="2508"/>
      <c r="O634" s="2253" t="s">
        <v>2376</v>
      </c>
      <c r="P634" s="2185"/>
      <c r="Q634" s="2186"/>
      <c r="R634" s="2253" t="s">
        <v>2374</v>
      </c>
      <c r="S634" s="2185"/>
      <c r="T634" s="2186"/>
      <c r="U634" s="2571" t="s">
        <v>485</v>
      </c>
      <c r="V634" s="2571"/>
      <c r="W634" s="2572"/>
      <c r="X634" s="2253" t="s">
        <v>2150</v>
      </c>
      <c r="Y634" s="2185"/>
      <c r="Z634" s="2185"/>
      <c r="AA634" s="2185"/>
      <c r="AB634" s="2186"/>
      <c r="AC634" s="2426" t="s">
        <v>2148</v>
      </c>
      <c r="AD634" s="2427"/>
      <c r="AE634" s="2428"/>
      <c r="AF634" s="2253" t="s">
        <v>2151</v>
      </c>
      <c r="AG634" s="2185"/>
      <c r="AH634" s="2185"/>
      <c r="AI634" s="2185"/>
      <c r="AJ634" s="2186"/>
      <c r="AK634" s="2412" t="s">
        <v>2152</v>
      </c>
      <c r="AL634" s="2413"/>
      <c r="AM634" s="2413"/>
      <c r="AN634" s="2414"/>
      <c r="AO634" s="2263" t="s">
        <v>486</v>
      </c>
      <c r="AP634" s="2263"/>
      <c r="AQ634" s="2263"/>
      <c r="AR634" s="2263"/>
      <c r="AS634" s="2263"/>
      <c r="AT634" s="1821"/>
      <c r="AU634" s="1821"/>
      <c r="AV634" s="1821"/>
      <c r="AW634" s="1821"/>
      <c r="AX634" s="1821"/>
      <c r="AY634" s="1821"/>
      <c r="AZ634" s="181"/>
      <c r="BA634" s="181"/>
      <c r="BB634" s="181"/>
      <c r="BC634" s="181"/>
      <c r="BD634" s="181"/>
      <c r="BE634" s="2030">
        <f t="shared" si="2"/>
        <v>0</v>
      </c>
      <c r="BF634" s="2031"/>
      <c r="BG634" s="2027">
        <f t="shared" si="3"/>
        <v>0</v>
      </c>
      <c r="BH634" s="2029"/>
      <c r="BI634" s="2030">
        <f t="shared" si="4"/>
        <v>0</v>
      </c>
      <c r="BJ634" s="2031"/>
      <c r="BK634" s="2027">
        <f t="shared" si="5"/>
        <v>0</v>
      </c>
      <c r="BL634" s="2029"/>
      <c r="BM634" s="181"/>
      <c r="BN634" s="2024">
        <f t="shared" si="6"/>
        <v>0</v>
      </c>
      <c r="BO634" s="2025"/>
      <c r="BP634" s="2025"/>
      <c r="BQ634" s="2025"/>
      <c r="BR634" s="2026"/>
      <c r="BS634" s="2023">
        <f t="shared" si="7"/>
        <v>0</v>
      </c>
      <c r="BT634" s="2023"/>
      <c r="BU634" s="2023"/>
      <c r="BV634" s="2023"/>
      <c r="BW634" s="2023"/>
      <c r="BX634" s="2023">
        <f t="shared" si="8"/>
        <v>0</v>
      </c>
      <c r="BY634" s="2023"/>
      <c r="BZ634" s="2023"/>
      <c r="CA634" s="2023"/>
      <c r="CB634" s="2023"/>
      <c r="CC634" s="2023">
        <f t="shared" si="9"/>
        <v>0</v>
      </c>
      <c r="CD634" s="2023"/>
      <c r="CE634" s="2023"/>
      <c r="CF634" s="2023"/>
      <c r="CG634" s="2023"/>
      <c r="CH634" s="2023">
        <f t="shared" si="10"/>
        <v>0</v>
      </c>
      <c r="CI634" s="2023"/>
      <c r="CJ634" s="2023"/>
      <c r="CK634" s="2023"/>
      <c r="CL634" s="2023"/>
      <c r="CM634" s="2023">
        <f t="shared" si="11"/>
        <v>0</v>
      </c>
      <c r="CN634" s="2023"/>
      <c r="CO634" s="2023"/>
      <c r="CP634" s="2023"/>
      <c r="CQ634" s="2023"/>
      <c r="CR634" s="265"/>
      <c r="CS634" s="2376">
        <f t="shared" si="12"/>
        <v>0</v>
      </c>
      <c r="CT634" s="2376"/>
      <c r="CU634" s="2376"/>
      <c r="CV634" s="2376"/>
      <c r="CW634" s="2376"/>
      <c r="CX634" s="2376">
        <f t="shared" si="13"/>
        <v>0</v>
      </c>
      <c r="CY634" s="2376"/>
      <c r="CZ634" s="2376"/>
      <c r="DA634" s="2376"/>
      <c r="DB634" s="2376"/>
      <c r="DC634" s="2376">
        <f t="shared" si="14"/>
        <v>0</v>
      </c>
      <c r="DD634" s="2376"/>
      <c r="DE634" s="2376"/>
      <c r="DF634" s="2376"/>
      <c r="DG634" s="2376"/>
      <c r="DH634" s="2376">
        <f t="shared" si="15"/>
        <v>0</v>
      </c>
      <c r="DI634" s="2376"/>
      <c r="DJ634" s="2376"/>
      <c r="DK634" s="2376"/>
      <c r="DL634" s="2376"/>
      <c r="DM634" s="2376">
        <f t="shared" si="16"/>
        <v>0</v>
      </c>
      <c r="DN634" s="2376"/>
      <c r="DO634" s="2376"/>
      <c r="DP634" s="2376"/>
      <c r="DQ634" s="2376"/>
      <c r="DR634" s="2376">
        <f t="shared" si="17"/>
        <v>0</v>
      </c>
      <c r="DS634" s="2376"/>
      <c r="DT634" s="2376"/>
      <c r="DU634" s="2376"/>
      <c r="DV634" s="2376"/>
      <c r="DX634" s="2030" t="str">
        <f t="shared" si="18"/>
        <v xml:space="preserve"> </v>
      </c>
      <c r="DY634" s="2188"/>
      <c r="DZ634" s="2188"/>
      <c r="EA634" s="2188"/>
      <c r="EB634" s="2031"/>
      <c r="EC634" s="2030" t="str">
        <f t="shared" si="19"/>
        <v xml:space="preserve"> </v>
      </c>
      <c r="ED634" s="2188"/>
      <c r="EE634" s="2188"/>
      <c r="EF634" s="2188"/>
      <c r="EG634" s="2031"/>
      <c r="EH634" s="2030" t="str">
        <f t="shared" si="20"/>
        <v xml:space="preserve"> </v>
      </c>
      <c r="EI634" s="2188"/>
      <c r="EJ634" s="2188"/>
      <c r="EK634" s="2188"/>
      <c r="EL634" s="2031"/>
      <c r="EM634" s="2030" t="str">
        <f t="shared" si="21"/>
        <v xml:space="preserve"> </v>
      </c>
      <c r="EN634" s="2188"/>
      <c r="EO634" s="2188"/>
      <c r="EP634" s="2188"/>
      <c r="EQ634" s="2031"/>
      <c r="ER634" s="2030" t="str">
        <f t="shared" si="22"/>
        <v xml:space="preserve"> </v>
      </c>
      <c r="ES634" s="2188"/>
      <c r="ET634" s="2188"/>
      <c r="EU634" s="2188"/>
      <c r="EV634" s="2031"/>
      <c r="EW634" s="2030" t="str">
        <f t="shared" si="23"/>
        <v xml:space="preserve"> </v>
      </c>
      <c r="EX634" s="2188"/>
      <c r="EY634" s="2188"/>
      <c r="EZ634" s="2188"/>
      <c r="FA634" s="2031"/>
    </row>
    <row r="635" spans="1:157" s="1820" customFormat="1" ht="12.75">
      <c r="B635" s="2565"/>
      <c r="C635" s="2235"/>
      <c r="D635" s="2235"/>
      <c r="E635" s="2235"/>
      <c r="F635" s="2235"/>
      <c r="G635" s="2235"/>
      <c r="H635" s="2235"/>
      <c r="I635" s="2235"/>
      <c r="J635" s="2235"/>
      <c r="K635" s="2235"/>
      <c r="L635" s="2235"/>
      <c r="M635" s="2235"/>
      <c r="N635" s="2566"/>
      <c r="O635" s="2254"/>
      <c r="P635" s="2255"/>
      <c r="Q635" s="2256"/>
      <c r="R635" s="2254"/>
      <c r="S635" s="2255"/>
      <c r="T635" s="2256"/>
      <c r="U635" s="2573"/>
      <c r="V635" s="2573"/>
      <c r="W635" s="2574"/>
      <c r="X635" s="2254"/>
      <c r="Y635" s="2255"/>
      <c r="Z635" s="2255"/>
      <c r="AA635" s="2255"/>
      <c r="AB635" s="2256"/>
      <c r="AC635" s="2429"/>
      <c r="AD635" s="2430"/>
      <c r="AE635" s="2431"/>
      <c r="AF635" s="2254"/>
      <c r="AG635" s="2255"/>
      <c r="AH635" s="2255"/>
      <c r="AI635" s="2255"/>
      <c r="AJ635" s="2256"/>
      <c r="AK635" s="2415"/>
      <c r="AL635" s="2416"/>
      <c r="AM635" s="2416"/>
      <c r="AN635" s="2417"/>
      <c r="AO635" s="2263"/>
      <c r="AP635" s="2263"/>
      <c r="AQ635" s="2263"/>
      <c r="AR635" s="2263"/>
      <c r="AS635" s="2263"/>
      <c r="AT635" s="1821"/>
      <c r="AU635" s="1821"/>
      <c r="AV635" s="1821"/>
      <c r="AW635" s="1821"/>
      <c r="AX635" s="1821"/>
      <c r="AY635" s="1821"/>
      <c r="AZ635" s="181"/>
      <c r="BA635" s="181"/>
      <c r="BB635" s="181"/>
      <c r="BC635" s="181"/>
      <c r="BD635" s="181"/>
      <c r="BE635" s="181"/>
      <c r="BF635" s="181"/>
      <c r="BG635" s="2030">
        <f>SUM(BG610:BH634)</f>
        <v>119</v>
      </c>
      <c r="BH635" s="2031"/>
      <c r="BI635" s="181"/>
      <c r="BJ635" s="181"/>
      <c r="BK635" s="2030">
        <f>SUM(BK610:BL634)</f>
        <v>0</v>
      </c>
      <c r="BL635" s="2031"/>
      <c r="BM635" s="181"/>
      <c r="BN635" s="2030">
        <f>SUM(BN610:BR634)</f>
        <v>0</v>
      </c>
      <c r="BO635" s="2188"/>
      <c r="BP635" s="2188"/>
      <c r="BQ635" s="2188"/>
      <c r="BR635" s="2031"/>
      <c r="BS635" s="2187">
        <f>SUM(BS610:BW634)</f>
        <v>135</v>
      </c>
      <c r="BT635" s="2187"/>
      <c r="BU635" s="2187"/>
      <c r="BV635" s="2187"/>
      <c r="BW635" s="2187"/>
      <c r="BX635" s="2187">
        <f>SUM(BX610:CB634)</f>
        <v>14</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0</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2358</v>
      </c>
      <c r="ED635" s="2187"/>
      <c r="EE635" s="2187"/>
      <c r="EF635" s="2187"/>
      <c r="EG635" s="2187"/>
      <c r="EH635" s="2187">
        <f>SUM(EH610:EL634)</f>
        <v>2820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0" customFormat="1" ht="12.75">
      <c r="B636" s="2567"/>
      <c r="C636" s="2235"/>
      <c r="D636" s="2235"/>
      <c r="E636" s="2235"/>
      <c r="F636" s="2235"/>
      <c r="G636" s="2235"/>
      <c r="H636" s="2235"/>
      <c r="I636" s="2235"/>
      <c r="J636" s="2235"/>
      <c r="K636" s="2235"/>
      <c r="L636" s="2235"/>
      <c r="M636" s="2235"/>
      <c r="N636" s="2566"/>
      <c r="O636" s="2257"/>
      <c r="P636" s="2258"/>
      <c r="Q636" s="2259"/>
      <c r="R636" s="2257"/>
      <c r="S636" s="2258"/>
      <c r="T636" s="2259"/>
      <c r="U636" s="2575"/>
      <c r="V636" s="2575"/>
      <c r="W636" s="2576"/>
      <c r="X636" s="2257"/>
      <c r="Y636" s="2258"/>
      <c r="Z636" s="2258"/>
      <c r="AA636" s="2258"/>
      <c r="AB636" s="2259"/>
      <c r="AC636" s="2432"/>
      <c r="AD636" s="2433"/>
      <c r="AE636" s="2434"/>
      <c r="AF636" s="2257"/>
      <c r="AG636" s="2258"/>
      <c r="AH636" s="2258"/>
      <c r="AI636" s="2258"/>
      <c r="AJ636" s="2259"/>
      <c r="AK636" s="2418"/>
      <c r="AL636" s="2419"/>
      <c r="AM636" s="2419"/>
      <c r="AN636" s="2420"/>
      <c r="AO636" s="2263"/>
      <c r="AP636" s="2263"/>
      <c r="AQ636" s="2263"/>
      <c r="AR636" s="2263"/>
      <c r="AS636" s="226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0">
        <f>BN635+BS635+BX635+CC635+CH635+CM635</f>
        <v>149</v>
      </c>
      <c r="CN636" s="2188"/>
      <c r="CO636" s="2188"/>
      <c r="CP636" s="2188"/>
      <c r="CQ636" s="2031"/>
      <c r="CR636" s="697"/>
      <c r="CS636" s="181"/>
      <c r="CT636" s="181"/>
      <c r="CU636" s="181"/>
      <c r="CV636" s="181"/>
      <c r="CW636" s="181"/>
      <c r="CX636" s="181"/>
      <c r="CY636" s="181"/>
      <c r="CZ636" s="181"/>
      <c r="DA636" s="181"/>
      <c r="DB636" s="181"/>
      <c r="DC636" s="181"/>
      <c r="DD636" s="181"/>
      <c r="DE636" s="181"/>
      <c r="DF636" s="181"/>
    </row>
    <row r="637" spans="1:157" ht="12.75">
      <c r="B637" s="83" t="s">
        <v>117</v>
      </c>
      <c r="C637" s="2174" t="s">
        <v>2624</v>
      </c>
      <c r="D637" s="2041"/>
      <c r="E637" s="2041"/>
      <c r="F637" s="2041"/>
      <c r="G637" s="2041"/>
      <c r="H637" s="2041"/>
      <c r="I637" s="2041"/>
      <c r="J637" s="2041"/>
      <c r="K637" s="2041"/>
      <c r="L637" s="2041"/>
      <c r="M637" s="2041"/>
      <c r="N637" s="2425"/>
      <c r="O637" s="2380">
        <f>15*12</f>
        <v>180</v>
      </c>
      <c r="P637" s="2381"/>
      <c r="Q637" s="2382"/>
      <c r="R637" s="2168">
        <f>35*12</f>
        <v>420</v>
      </c>
      <c r="S637" s="2169"/>
      <c r="T637" s="2170"/>
      <c r="U637" s="2421">
        <v>4.2500000000000003E-2</v>
      </c>
      <c r="V637" s="2422"/>
      <c r="W637" s="2423"/>
      <c r="X637" s="2393" t="s">
        <v>2149</v>
      </c>
      <c r="Y637" s="2568"/>
      <c r="Z637" s="2568"/>
      <c r="AA637" s="2568"/>
      <c r="AB637" s="2569"/>
      <c r="AC637" s="2144">
        <v>1</v>
      </c>
      <c r="AD637" s="2145"/>
      <c r="AE637" s="2146"/>
      <c r="AF637" s="2260">
        <f>-PMT(U637/12, R637, AO637)*12</f>
        <v>308419.0796187729</v>
      </c>
      <c r="AG637" s="2261"/>
      <c r="AH637" s="2261"/>
      <c r="AI637" s="2261"/>
      <c r="AJ637" s="2262"/>
      <c r="AK637" s="2377">
        <v>0</v>
      </c>
      <c r="AL637" s="2378"/>
      <c r="AM637" s="2378"/>
      <c r="AN637" s="2379"/>
      <c r="AO637" s="2147">
        <v>5613000</v>
      </c>
      <c r="AP637" s="2147"/>
      <c r="AQ637" s="2147"/>
      <c r="AR637" s="2147"/>
      <c r="AS637" s="214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135</v>
      </c>
      <c r="BX637" s="58"/>
      <c r="BY637" s="58"/>
      <c r="BZ637" s="58"/>
      <c r="CA637" s="58"/>
      <c r="CB637" s="1469">
        <f>BX635*2</f>
        <v>28</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163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4" t="s">
        <v>2625</v>
      </c>
      <c r="D638" s="2041"/>
      <c r="E638" s="2041"/>
      <c r="F638" s="2041"/>
      <c r="G638" s="2041"/>
      <c r="H638" s="2041"/>
      <c r="I638" s="2041"/>
      <c r="J638" s="2041"/>
      <c r="K638" s="2041"/>
      <c r="L638" s="2041"/>
      <c r="M638" s="2041"/>
      <c r="N638" s="2425"/>
      <c r="O638" s="2380">
        <f>57*12</f>
        <v>684</v>
      </c>
      <c r="P638" s="2381"/>
      <c r="Q638" s="2382"/>
      <c r="R638" s="2168">
        <f>57*12</f>
        <v>684</v>
      </c>
      <c r="S638" s="2169"/>
      <c r="T638" s="2170"/>
      <c r="U638" s="2421">
        <v>0.03</v>
      </c>
      <c r="V638" s="2422"/>
      <c r="W638" s="2423"/>
      <c r="X638" s="2393" t="s">
        <v>490</v>
      </c>
      <c r="Y638" s="2568"/>
      <c r="Z638" s="2568"/>
      <c r="AA638" s="2568"/>
      <c r="AB638" s="2569"/>
      <c r="AC638" s="2144">
        <v>2</v>
      </c>
      <c r="AD638" s="2145"/>
      <c r="AE638" s="2146"/>
      <c r="AF638" s="2260">
        <v>0</v>
      </c>
      <c r="AG638" s="2261"/>
      <c r="AH638" s="2261"/>
      <c r="AI638" s="2261"/>
      <c r="AJ638" s="2262"/>
      <c r="AK638" s="2377"/>
      <c r="AL638" s="2378"/>
      <c r="AM638" s="2378"/>
      <c r="AN638" s="2379"/>
      <c r="AO638" s="2147">
        <v>3500000</v>
      </c>
      <c r="AP638" s="2147"/>
      <c r="AQ638" s="2147"/>
      <c r="AR638" s="2147"/>
      <c r="AS638" s="21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0" t="e">
        <f t="shared" ref="DX638:DX662" si="24">DX610*(BN610/$BN$635)</f>
        <v>#VALUE!</v>
      </c>
      <c r="DY638" s="2570"/>
      <c r="DZ638" s="2570"/>
      <c r="EA638" s="2570"/>
      <c r="EB638" s="2570"/>
      <c r="EC638" s="2570">
        <f t="shared" ref="EC638:EC662" si="25">EC610*(BS610/$BS$635)</f>
        <v>123.2</v>
      </c>
      <c r="ED638" s="2570"/>
      <c r="EE638" s="2570"/>
      <c r="EF638" s="2570"/>
      <c r="EG638" s="2570"/>
      <c r="EH638" s="2570" t="e">
        <f t="shared" ref="EH638:EH662" si="26">EH610*(BX610/$BX$635)</f>
        <v>#VALUE!</v>
      </c>
      <c r="EI638" s="2570"/>
      <c r="EJ638" s="2570"/>
      <c r="EK638" s="2570"/>
      <c r="EL638" s="2570"/>
      <c r="EM638" s="2570" t="e">
        <f t="shared" ref="EM638:EM662" si="27">EM610*(CC610/$CC$635)</f>
        <v>#VALUE!</v>
      </c>
      <c r="EN638" s="2570"/>
      <c r="EO638" s="2570"/>
      <c r="EP638" s="2570"/>
      <c r="EQ638" s="2570"/>
      <c r="ER638" s="2570" t="e">
        <f t="shared" ref="ER638:ER662" si="28">ER610*(CH610/$CH$635)</f>
        <v>#VALUE!</v>
      </c>
      <c r="ES638" s="2570"/>
      <c r="ET638" s="2570"/>
      <c r="EU638" s="2570"/>
      <c r="EV638" s="2570"/>
      <c r="EW638" s="2570" t="e">
        <f t="shared" ref="EW638:EW662" si="29">EW610*(CM610/$CM$635)</f>
        <v>#VALUE!</v>
      </c>
      <c r="EX638" s="2570"/>
      <c r="EY638" s="2570"/>
      <c r="EZ638" s="2570"/>
      <c r="FA638" s="2570"/>
    </row>
    <row r="639" spans="1:157" ht="12.75" customHeight="1">
      <c r="B639" s="84" t="s">
        <v>124</v>
      </c>
      <c r="C639" s="2174" t="s">
        <v>2670</v>
      </c>
      <c r="D639" s="2041"/>
      <c r="E639" s="2041"/>
      <c r="F639" s="2041"/>
      <c r="G639" s="2041"/>
      <c r="H639" s="2041"/>
      <c r="I639" s="2041"/>
      <c r="J639" s="2041"/>
      <c r="K639" s="2041"/>
      <c r="L639" s="2041"/>
      <c r="M639" s="2041"/>
      <c r="N639" s="2425"/>
      <c r="O639" s="2380">
        <f>55*12</f>
        <v>660</v>
      </c>
      <c r="P639" s="2381"/>
      <c r="Q639" s="2382"/>
      <c r="R639" s="2168">
        <f>55*12</f>
        <v>660</v>
      </c>
      <c r="S639" s="2169"/>
      <c r="T639" s="2170"/>
      <c r="U639" s="2421">
        <v>0.03</v>
      </c>
      <c r="V639" s="2422"/>
      <c r="W639" s="2423"/>
      <c r="X639" s="2393" t="s">
        <v>490</v>
      </c>
      <c r="Y639" s="2568"/>
      <c r="Z639" s="2568"/>
      <c r="AA639" s="2568"/>
      <c r="AB639" s="2569"/>
      <c r="AC639" s="2144">
        <v>3</v>
      </c>
      <c r="AD639" s="2145"/>
      <c r="AE639" s="2146"/>
      <c r="AF639" s="2260">
        <v>0</v>
      </c>
      <c r="AG639" s="2261"/>
      <c r="AH639" s="2261"/>
      <c r="AI639" s="2261"/>
      <c r="AJ639" s="2262"/>
      <c r="AK639" s="2377"/>
      <c r="AL639" s="2378"/>
      <c r="AM639" s="2378"/>
      <c r="AN639" s="2379"/>
      <c r="AO639" s="2147">
        <v>12800000</v>
      </c>
      <c r="AP639" s="2147"/>
      <c r="AQ639" s="2147"/>
      <c r="AR639" s="2147"/>
      <c r="AS639" s="21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0" t="e">
        <f t="shared" si="24"/>
        <v>#VALUE!</v>
      </c>
      <c r="DY639" s="2570"/>
      <c r="DZ639" s="2570"/>
      <c r="EA639" s="2570"/>
      <c r="EB639" s="2570"/>
      <c r="EC639" s="2570" t="e">
        <f t="shared" si="25"/>
        <v>#VALUE!</v>
      </c>
      <c r="ED639" s="2570"/>
      <c r="EE639" s="2570"/>
      <c r="EF639" s="2570"/>
      <c r="EG639" s="2570"/>
      <c r="EH639" s="2570">
        <f t="shared" si="26"/>
        <v>157.71428571428569</v>
      </c>
      <c r="EI639" s="2570"/>
      <c r="EJ639" s="2570"/>
      <c r="EK639" s="2570"/>
      <c r="EL639" s="2570"/>
      <c r="EM639" s="2570" t="e">
        <f t="shared" si="27"/>
        <v>#VALUE!</v>
      </c>
      <c r="EN639" s="2570"/>
      <c r="EO639" s="2570"/>
      <c r="EP639" s="2570"/>
      <c r="EQ639" s="2570"/>
      <c r="ER639" s="2570" t="e">
        <f t="shared" si="28"/>
        <v>#VALUE!</v>
      </c>
      <c r="ES639" s="2570"/>
      <c r="ET639" s="2570"/>
      <c r="EU639" s="2570"/>
      <c r="EV639" s="2570"/>
      <c r="EW639" s="2570" t="e">
        <f t="shared" si="29"/>
        <v>#VALUE!</v>
      </c>
      <c r="EX639" s="2570"/>
      <c r="EY639" s="2570"/>
      <c r="EZ639" s="2570"/>
      <c r="FA639" s="2570"/>
    </row>
    <row r="640" spans="1:157" ht="12.75">
      <c r="B640" s="84" t="s">
        <v>616</v>
      </c>
      <c r="C640" s="2174" t="s">
        <v>2626</v>
      </c>
      <c r="D640" s="2041"/>
      <c r="E640" s="2041"/>
      <c r="F640" s="2041"/>
      <c r="G640" s="2041"/>
      <c r="H640" s="2041"/>
      <c r="I640" s="2041"/>
      <c r="J640" s="2041"/>
      <c r="K640" s="2041"/>
      <c r="L640" s="2041"/>
      <c r="M640" s="2041"/>
      <c r="N640" s="2425"/>
      <c r="O640" s="2380"/>
      <c r="P640" s="2381"/>
      <c r="Q640" s="2382"/>
      <c r="R640" s="2168"/>
      <c r="S640" s="2169"/>
      <c r="T640" s="2170"/>
      <c r="U640" s="2421"/>
      <c r="V640" s="2422"/>
      <c r="W640" s="2423"/>
      <c r="X640" s="2393" t="s">
        <v>1383</v>
      </c>
      <c r="Y640" s="2568"/>
      <c r="Z640" s="2568"/>
      <c r="AA640" s="2568"/>
      <c r="AB640" s="2569"/>
      <c r="AC640" s="2144"/>
      <c r="AD640" s="2145"/>
      <c r="AE640" s="2146"/>
      <c r="AF640" s="2260"/>
      <c r="AG640" s="2261"/>
      <c r="AH640" s="2261"/>
      <c r="AI640" s="2261"/>
      <c r="AJ640" s="2262"/>
      <c r="AK640" s="2377"/>
      <c r="AL640" s="2378"/>
      <c r="AM640" s="2378"/>
      <c r="AN640" s="2379"/>
      <c r="AO640" s="2147">
        <v>1733059</v>
      </c>
      <c r="AP640" s="2147"/>
      <c r="AQ640" s="2147"/>
      <c r="AR640" s="2147"/>
      <c r="AS640" s="2147"/>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24">
        <f>IF(J772="SRO/Studio",O772,0)</f>
        <v>0</v>
      </c>
      <c r="BO640" s="2025"/>
      <c r="BP640" s="2025"/>
      <c r="BQ640" s="2025"/>
      <c r="BR640" s="2026"/>
      <c r="BS640" s="2023">
        <f>IF(J772="1 Bedroom",O772,0)</f>
        <v>0</v>
      </c>
      <c r="BT640" s="2023"/>
      <c r="BU640" s="2023"/>
      <c r="BV640" s="2023"/>
      <c r="BW640" s="2023"/>
      <c r="BX640" s="2023">
        <f>IF(J772="2 Bedrooms",O772,0)</f>
        <v>1</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570" t="e">
        <f t="shared" si="24"/>
        <v>#VALUE!</v>
      </c>
      <c r="DY640" s="2570"/>
      <c r="DZ640" s="2570"/>
      <c r="EA640" s="2570"/>
      <c r="EB640" s="2570"/>
      <c r="EC640" s="2570">
        <f t="shared" si="25"/>
        <v>471.59999999999997</v>
      </c>
      <c r="ED640" s="2570"/>
      <c r="EE640" s="2570"/>
      <c r="EF640" s="2570"/>
      <c r="EG640" s="2570"/>
      <c r="EH640" s="2570" t="e">
        <f t="shared" si="26"/>
        <v>#VALUE!</v>
      </c>
      <c r="EI640" s="2570"/>
      <c r="EJ640" s="2570"/>
      <c r="EK640" s="2570"/>
      <c r="EL640" s="2570"/>
      <c r="EM640" s="2570" t="e">
        <f t="shared" si="27"/>
        <v>#VALUE!</v>
      </c>
      <c r="EN640" s="2570"/>
      <c r="EO640" s="2570"/>
      <c r="EP640" s="2570"/>
      <c r="EQ640" s="2570"/>
      <c r="ER640" s="2570" t="e">
        <f t="shared" si="28"/>
        <v>#VALUE!</v>
      </c>
      <c r="ES640" s="2570"/>
      <c r="ET640" s="2570"/>
      <c r="EU640" s="2570"/>
      <c r="EV640" s="2570"/>
      <c r="EW640" s="2570" t="e">
        <f t="shared" si="29"/>
        <v>#VALUE!</v>
      </c>
      <c r="EX640" s="2570"/>
      <c r="EY640" s="2570"/>
      <c r="EZ640" s="2570"/>
      <c r="FA640" s="2570"/>
    </row>
    <row r="641" spans="1:157" ht="12.75">
      <c r="B641" s="84" t="s">
        <v>821</v>
      </c>
      <c r="C641" s="2174" t="s">
        <v>2668</v>
      </c>
      <c r="D641" s="2041"/>
      <c r="E641" s="2041"/>
      <c r="F641" s="2041"/>
      <c r="G641" s="2041"/>
      <c r="H641" s="2041"/>
      <c r="I641" s="2041"/>
      <c r="J641" s="2041"/>
      <c r="K641" s="2041"/>
      <c r="L641" s="2041"/>
      <c r="M641" s="2041"/>
      <c r="N641" s="2425"/>
      <c r="O641" s="2380">
        <f>55*12</f>
        <v>660</v>
      </c>
      <c r="P641" s="2381"/>
      <c r="Q641" s="2382"/>
      <c r="R641" s="2168">
        <f>55*12</f>
        <v>660</v>
      </c>
      <c r="S641" s="2169"/>
      <c r="T641" s="2170"/>
      <c r="U641" s="2421">
        <v>0.03</v>
      </c>
      <c r="V641" s="2422"/>
      <c r="W641" s="2423"/>
      <c r="X641" s="2393" t="s">
        <v>490</v>
      </c>
      <c r="Y641" s="2568"/>
      <c r="Z641" s="2568"/>
      <c r="AA641" s="2568"/>
      <c r="AB641" s="2569"/>
      <c r="AC641" s="2144">
        <v>4</v>
      </c>
      <c r="AD641" s="2145"/>
      <c r="AE641" s="2146"/>
      <c r="AF641" s="2260"/>
      <c r="AG641" s="2261"/>
      <c r="AH641" s="2261"/>
      <c r="AI641" s="2261"/>
      <c r="AJ641" s="2262"/>
      <c r="AK641" s="2377"/>
      <c r="AL641" s="2378"/>
      <c r="AM641" s="2378"/>
      <c r="AN641" s="2379"/>
      <c r="AO641" s="2147">
        <v>2228000</v>
      </c>
      <c r="AP641" s="2147"/>
      <c r="AQ641" s="2147"/>
      <c r="AR641" s="2147"/>
      <c r="AS641" s="21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4">
        <f>IF(J773="SRO/Studio",O773,0)</f>
        <v>0</v>
      </c>
      <c r="BO641" s="2025"/>
      <c r="BP641" s="2025"/>
      <c r="BQ641" s="2025"/>
      <c r="BR641" s="2026"/>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570" t="e">
        <f t="shared" si="24"/>
        <v>#VALUE!</v>
      </c>
      <c r="DY641" s="2570"/>
      <c r="DZ641" s="2570"/>
      <c r="EA641" s="2570"/>
      <c r="EB641" s="2570"/>
      <c r="EC641" s="2570" t="e">
        <f t="shared" si="25"/>
        <v>#VALUE!</v>
      </c>
      <c r="ED641" s="2570"/>
      <c r="EE641" s="2570"/>
      <c r="EF641" s="2570"/>
      <c r="EG641" s="2570"/>
      <c r="EH641" s="2570">
        <f t="shared" si="26"/>
        <v>537.14285714285711</v>
      </c>
      <c r="EI641" s="2570"/>
      <c r="EJ641" s="2570"/>
      <c r="EK641" s="2570"/>
      <c r="EL641" s="2570"/>
      <c r="EM641" s="2570" t="e">
        <f t="shared" si="27"/>
        <v>#VALUE!</v>
      </c>
      <c r="EN641" s="2570"/>
      <c r="EO641" s="2570"/>
      <c r="EP641" s="2570"/>
      <c r="EQ641" s="2570"/>
      <c r="ER641" s="2570" t="e">
        <f t="shared" si="28"/>
        <v>#VALUE!</v>
      </c>
      <c r="ES641" s="2570"/>
      <c r="ET641" s="2570"/>
      <c r="EU641" s="2570"/>
      <c r="EV641" s="2570"/>
      <c r="EW641" s="2570" t="e">
        <f t="shared" si="29"/>
        <v>#VALUE!</v>
      </c>
      <c r="EX641" s="2570"/>
      <c r="EY641" s="2570"/>
      <c r="EZ641" s="2570"/>
      <c r="FA641" s="2570"/>
    </row>
    <row r="642" spans="1:157" ht="12.75">
      <c r="B642" s="84" t="s">
        <v>619</v>
      </c>
      <c r="C642" s="2174" t="s">
        <v>2672</v>
      </c>
      <c r="D642" s="2041"/>
      <c r="E642" s="2041"/>
      <c r="F642" s="2041"/>
      <c r="G642" s="2041"/>
      <c r="H642" s="2041"/>
      <c r="I642" s="2041"/>
      <c r="J642" s="2041"/>
      <c r="K642" s="2041"/>
      <c r="L642" s="2041"/>
      <c r="M642" s="2041"/>
      <c r="N642" s="2425"/>
      <c r="O642" s="2380">
        <f>55*12</f>
        <v>660</v>
      </c>
      <c r="P642" s="2381"/>
      <c r="Q642" s="2382"/>
      <c r="R642" s="2168">
        <f>55*12</f>
        <v>660</v>
      </c>
      <c r="S642" s="2169"/>
      <c r="T642" s="2170"/>
      <c r="U642" s="2435" t="s">
        <v>2673</v>
      </c>
      <c r="V642" s="2422"/>
      <c r="W642" s="2423"/>
      <c r="X642" s="2393" t="s">
        <v>490</v>
      </c>
      <c r="Y642" s="2568"/>
      <c r="Z642" s="2568"/>
      <c r="AA642" s="2568"/>
      <c r="AB642" s="2569"/>
      <c r="AC642" s="2144">
        <v>5</v>
      </c>
      <c r="AD642" s="2145"/>
      <c r="AE642" s="2146"/>
      <c r="AF642" s="2260"/>
      <c r="AG642" s="2261"/>
      <c r="AH642" s="2261"/>
      <c r="AI642" s="2261"/>
      <c r="AJ642" s="2262"/>
      <c r="AK642" s="2377"/>
      <c r="AL642" s="2378"/>
      <c r="AM642" s="2378"/>
      <c r="AN642" s="2379"/>
      <c r="AO642" s="2147">
        <v>94500</v>
      </c>
      <c r="AP642" s="2147"/>
      <c r="AQ642" s="2147"/>
      <c r="AR642" s="2147"/>
      <c r="AS642" s="21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4">
        <f>IF(J774="SRO/Studio",O774,0)</f>
        <v>0</v>
      </c>
      <c r="BO642" s="2025"/>
      <c r="BP642" s="2025"/>
      <c r="BQ642" s="2025"/>
      <c r="BR642" s="2026"/>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4"/>
      <c r="CV642" s="58"/>
      <c r="CW642" s="58"/>
      <c r="CX642" s="58"/>
      <c r="CY642" s="58"/>
      <c r="CZ642" s="58"/>
      <c r="DA642" s="58"/>
      <c r="DB642" s="58"/>
      <c r="DC642" s="58"/>
      <c r="DD642" s="58"/>
      <c r="DE642" s="58"/>
      <c r="DF642" s="58"/>
      <c r="DX642" s="2570" t="e">
        <f t="shared" si="24"/>
        <v>#VALUE!</v>
      </c>
      <c r="DY642" s="2570"/>
      <c r="DZ642" s="2570"/>
      <c r="EA642" s="2570"/>
      <c r="EB642" s="2570"/>
      <c r="EC642" s="2570">
        <f t="shared" si="25"/>
        <v>191.20000000000002</v>
      </c>
      <c r="ED642" s="2570"/>
      <c r="EE642" s="2570"/>
      <c r="EF642" s="2570"/>
      <c r="EG642" s="2570"/>
      <c r="EH642" s="2570" t="e">
        <f t="shared" si="26"/>
        <v>#VALUE!</v>
      </c>
      <c r="EI642" s="2570"/>
      <c r="EJ642" s="2570"/>
      <c r="EK642" s="2570"/>
      <c r="EL642" s="2570"/>
      <c r="EM642" s="2570" t="e">
        <f t="shared" si="27"/>
        <v>#VALUE!</v>
      </c>
      <c r="EN642" s="2570"/>
      <c r="EO642" s="2570"/>
      <c r="EP642" s="2570"/>
      <c r="EQ642" s="2570"/>
      <c r="ER642" s="2570" t="e">
        <f t="shared" si="28"/>
        <v>#VALUE!</v>
      </c>
      <c r="ES642" s="2570"/>
      <c r="ET642" s="2570"/>
      <c r="EU642" s="2570"/>
      <c r="EV642" s="2570"/>
      <c r="EW642" s="2570" t="e">
        <f t="shared" si="29"/>
        <v>#VALUE!</v>
      </c>
      <c r="EX642" s="2570"/>
      <c r="EY642" s="2570"/>
      <c r="EZ642" s="2570"/>
      <c r="FA642" s="2570"/>
    </row>
    <row r="643" spans="1:157" ht="12.75">
      <c r="B643" s="84" t="s">
        <v>487</v>
      </c>
      <c r="C643" s="2174"/>
      <c r="D643" s="2041"/>
      <c r="E643" s="2041"/>
      <c r="F643" s="2041"/>
      <c r="G643" s="2041"/>
      <c r="H643" s="2041"/>
      <c r="I643" s="2041"/>
      <c r="J643" s="2041"/>
      <c r="K643" s="2041"/>
      <c r="L643" s="2041"/>
      <c r="M643" s="2041"/>
      <c r="N643" s="2425"/>
      <c r="O643" s="2380"/>
      <c r="P643" s="2381"/>
      <c r="Q643" s="2382"/>
      <c r="R643" s="2168"/>
      <c r="S643" s="2169"/>
      <c r="T643" s="2170"/>
      <c r="U643" s="2421"/>
      <c r="V643" s="2422"/>
      <c r="W643" s="2423"/>
      <c r="X643" s="2393" t="s">
        <v>1383</v>
      </c>
      <c r="Y643" s="2568"/>
      <c r="Z643" s="2568"/>
      <c r="AA643" s="2568"/>
      <c r="AB643" s="2569"/>
      <c r="AC643" s="2144"/>
      <c r="AD643" s="2145"/>
      <c r="AE643" s="2146"/>
      <c r="AF643" s="2260"/>
      <c r="AG643" s="2261"/>
      <c r="AH643" s="2261"/>
      <c r="AI643" s="2261"/>
      <c r="AJ643" s="2262"/>
      <c r="AK643" s="2377"/>
      <c r="AL643" s="2378"/>
      <c r="AM643" s="2378"/>
      <c r="AN643" s="2379"/>
      <c r="AO643" s="2147"/>
      <c r="AP643" s="2147"/>
      <c r="AQ643" s="2147"/>
      <c r="AR643" s="2147"/>
      <c r="AS643" s="21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4">
        <f>IF(J775="SRO/Studio",O775,0)</f>
        <v>0</v>
      </c>
      <c r="BO643" s="2025"/>
      <c r="BP643" s="2025"/>
      <c r="BQ643" s="2025"/>
      <c r="BR643" s="2026"/>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570" t="e">
        <f t="shared" si="24"/>
        <v>#VALUE!</v>
      </c>
      <c r="DY643" s="2570"/>
      <c r="DZ643" s="2570"/>
      <c r="EA643" s="2570"/>
      <c r="EB643" s="2570"/>
      <c r="EC643" s="2570" t="e">
        <f t="shared" si="25"/>
        <v>#VALUE!</v>
      </c>
      <c r="ED643" s="2570"/>
      <c r="EE643" s="2570"/>
      <c r="EF643" s="2570"/>
      <c r="EG643" s="2570"/>
      <c r="EH643" s="2570">
        <f t="shared" si="26"/>
        <v>245.14285714285714</v>
      </c>
      <c r="EI643" s="2570"/>
      <c r="EJ643" s="2570"/>
      <c r="EK643" s="2570"/>
      <c r="EL643" s="2570"/>
      <c r="EM643" s="2570" t="e">
        <f t="shared" si="27"/>
        <v>#VALUE!</v>
      </c>
      <c r="EN643" s="2570"/>
      <c r="EO643" s="2570"/>
      <c r="EP643" s="2570"/>
      <c r="EQ643" s="2570"/>
      <c r="ER643" s="2570" t="e">
        <f t="shared" si="28"/>
        <v>#VALUE!</v>
      </c>
      <c r="ES643" s="2570"/>
      <c r="ET643" s="2570"/>
      <c r="EU643" s="2570"/>
      <c r="EV643" s="2570"/>
      <c r="EW643" s="2570" t="e">
        <f t="shared" si="29"/>
        <v>#VALUE!</v>
      </c>
      <c r="EX643" s="2570"/>
      <c r="EY643" s="2570"/>
      <c r="EZ643" s="2570"/>
      <c r="FA643" s="2570"/>
    </row>
    <row r="644" spans="1:157" ht="12.75">
      <c r="B644" s="84" t="s">
        <v>488</v>
      </c>
      <c r="C644" s="2174" t="s">
        <v>2682</v>
      </c>
      <c r="D644" s="2041"/>
      <c r="E644" s="2041"/>
      <c r="F644" s="2041"/>
      <c r="G644" s="2041"/>
      <c r="H644" s="2041"/>
      <c r="I644" s="2041"/>
      <c r="J644" s="2041"/>
      <c r="K644" s="2041"/>
      <c r="L644" s="2041"/>
      <c r="M644" s="2041"/>
      <c r="N644" s="2425"/>
      <c r="O644" s="2380"/>
      <c r="P644" s="2381"/>
      <c r="Q644" s="2382"/>
      <c r="R644" s="2168"/>
      <c r="S644" s="2169"/>
      <c r="T644" s="2170"/>
      <c r="U644" s="2421"/>
      <c r="V644" s="2422"/>
      <c r="W644" s="2423"/>
      <c r="X644" s="2393" t="s">
        <v>1383</v>
      </c>
      <c r="Y644" s="2568"/>
      <c r="Z644" s="2568"/>
      <c r="AA644" s="2568"/>
      <c r="AB644" s="2569"/>
      <c r="AC644" s="2144"/>
      <c r="AD644" s="2145"/>
      <c r="AE644" s="2146"/>
      <c r="AF644" s="2260"/>
      <c r="AG644" s="2261"/>
      <c r="AH644" s="2261"/>
      <c r="AI644" s="2261"/>
      <c r="AJ644" s="2262"/>
      <c r="AK644" s="2377"/>
      <c r="AL644" s="2378"/>
      <c r="AM644" s="2378"/>
      <c r="AN644" s="2379"/>
      <c r="AO644" s="2147">
        <v>2799900</v>
      </c>
      <c r="AP644" s="2147"/>
      <c r="AQ644" s="2147"/>
      <c r="AR644" s="2147"/>
      <c r="AS644" s="21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7">
        <f>SUM(BN640:BR643)</f>
        <v>0</v>
      </c>
      <c r="BO644" s="2028"/>
      <c r="BP644" s="2028"/>
      <c r="BQ644" s="2028"/>
      <c r="BR644" s="2029"/>
      <c r="BS644" s="2020">
        <f>SUM(BS640:BW643)</f>
        <v>0</v>
      </c>
      <c r="BT644" s="2021"/>
      <c r="BU644" s="2021"/>
      <c r="BV644" s="2021"/>
      <c r="BW644" s="2022"/>
      <c r="BX644" s="2020">
        <f>SUM(BX640:CB643)</f>
        <v>1</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69">
        <f>BN644+BS644+BX644+CC644+CH644+CM644</f>
        <v>1</v>
      </c>
      <c r="CT644" s="134" t="s">
        <v>2385</v>
      </c>
      <c r="CU644" s="58"/>
      <c r="CV644" s="58"/>
      <c r="CW644" s="58"/>
      <c r="CX644" s="58"/>
      <c r="CY644" s="58"/>
      <c r="CZ644" s="58"/>
      <c r="DA644" s="58"/>
      <c r="DB644" s="58"/>
      <c r="DC644" s="58"/>
      <c r="DD644" s="58"/>
      <c r="DE644" s="58"/>
      <c r="DF644" s="58"/>
      <c r="DX644" s="2570" t="e">
        <f t="shared" si="24"/>
        <v>#VALUE!</v>
      </c>
      <c r="DY644" s="2570"/>
      <c r="DZ644" s="2570"/>
      <c r="EA644" s="2570"/>
      <c r="EB644" s="2570"/>
      <c r="EC644" s="2570" t="e">
        <f t="shared" si="25"/>
        <v>#VALUE!</v>
      </c>
      <c r="ED644" s="2570"/>
      <c r="EE644" s="2570"/>
      <c r="EF644" s="2570"/>
      <c r="EG644" s="2570"/>
      <c r="EH644" s="2570" t="e">
        <f t="shared" si="26"/>
        <v>#VALUE!</v>
      </c>
      <c r="EI644" s="2570"/>
      <c r="EJ644" s="2570"/>
      <c r="EK644" s="2570"/>
      <c r="EL644" s="2570"/>
      <c r="EM644" s="2570" t="e">
        <f t="shared" si="27"/>
        <v>#VALUE!</v>
      </c>
      <c r="EN644" s="2570"/>
      <c r="EO644" s="2570"/>
      <c r="EP644" s="2570"/>
      <c r="EQ644" s="2570"/>
      <c r="ER644" s="2570" t="e">
        <f t="shared" si="28"/>
        <v>#VALUE!</v>
      </c>
      <c r="ES644" s="2570"/>
      <c r="ET644" s="2570"/>
      <c r="EU644" s="2570"/>
      <c r="EV644" s="2570"/>
      <c r="EW644" s="2570" t="e">
        <f t="shared" si="29"/>
        <v>#VALUE!</v>
      </c>
      <c r="EX644" s="2570"/>
      <c r="EY644" s="2570"/>
      <c r="EZ644" s="2570"/>
      <c r="FA644" s="2570"/>
    </row>
    <row r="645" spans="1:157" ht="12.75">
      <c r="B645" s="84" t="s">
        <v>494</v>
      </c>
      <c r="C645" s="2174" t="s">
        <v>2627</v>
      </c>
      <c r="D645" s="2041"/>
      <c r="E645" s="2041"/>
      <c r="F645" s="2041"/>
      <c r="G645" s="2041"/>
      <c r="H645" s="2041"/>
      <c r="I645" s="2041"/>
      <c r="J645" s="2041"/>
      <c r="K645" s="2041"/>
      <c r="L645" s="2041"/>
      <c r="M645" s="2041"/>
      <c r="N645" s="2425"/>
      <c r="O645" s="2380"/>
      <c r="P645" s="2381"/>
      <c r="Q645" s="2382"/>
      <c r="R645" s="2168"/>
      <c r="S645" s="2169"/>
      <c r="T645" s="2170"/>
      <c r="U645" s="2421"/>
      <c r="V645" s="2422"/>
      <c r="W645" s="2423"/>
      <c r="X645" s="2393" t="s">
        <v>1383</v>
      </c>
      <c r="Y645" s="2568"/>
      <c r="Z645" s="2568"/>
      <c r="AA645" s="2568"/>
      <c r="AB645" s="2569"/>
      <c r="AC645" s="2144"/>
      <c r="AD645" s="2145"/>
      <c r="AE645" s="2146"/>
      <c r="AF645" s="2260"/>
      <c r="AG645" s="2261"/>
      <c r="AH645" s="2261"/>
      <c r="AI645" s="2261"/>
      <c r="AJ645" s="2262"/>
      <c r="AK645" s="2377"/>
      <c r="AL645" s="2378"/>
      <c r="AM645" s="2378"/>
      <c r="AN645" s="2379"/>
      <c r="AO645" s="2147">
        <v>2589258</v>
      </c>
      <c r="AP645" s="2147"/>
      <c r="AQ645" s="2147"/>
      <c r="AR645" s="2147"/>
      <c r="AS645" s="21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70" t="e">
        <f t="shared" si="24"/>
        <v>#VALUE!</v>
      </c>
      <c r="DY645" s="2570"/>
      <c r="DZ645" s="2570"/>
      <c r="EA645" s="2570"/>
      <c r="EB645" s="2570"/>
      <c r="EC645" s="2570" t="e">
        <f t="shared" si="25"/>
        <v>#VALUE!</v>
      </c>
      <c r="ED645" s="2570"/>
      <c r="EE645" s="2570"/>
      <c r="EF645" s="2570"/>
      <c r="EG645" s="2570"/>
      <c r="EH645" s="2570" t="e">
        <f t="shared" si="26"/>
        <v>#VALUE!</v>
      </c>
      <c r="EI645" s="2570"/>
      <c r="EJ645" s="2570"/>
      <c r="EK645" s="2570"/>
      <c r="EL645" s="2570"/>
      <c r="EM645" s="2570" t="e">
        <f t="shared" si="27"/>
        <v>#VALUE!</v>
      </c>
      <c r="EN645" s="2570"/>
      <c r="EO645" s="2570"/>
      <c r="EP645" s="2570"/>
      <c r="EQ645" s="2570"/>
      <c r="ER645" s="2570" t="e">
        <f t="shared" si="28"/>
        <v>#VALUE!</v>
      </c>
      <c r="ES645" s="2570"/>
      <c r="ET645" s="2570"/>
      <c r="EU645" s="2570"/>
      <c r="EV645" s="2570"/>
      <c r="EW645" s="2570" t="e">
        <f t="shared" si="29"/>
        <v>#VALUE!</v>
      </c>
      <c r="EX645" s="2570"/>
      <c r="EY645" s="2570"/>
      <c r="EZ645" s="2570"/>
      <c r="FA645" s="2570"/>
    </row>
    <row r="646" spans="1:157" ht="12.75">
      <c r="B646" s="84" t="s">
        <v>681</v>
      </c>
      <c r="C646" s="2174"/>
      <c r="D646" s="2041"/>
      <c r="E646" s="2041"/>
      <c r="F646" s="2041"/>
      <c r="G646" s="2041"/>
      <c r="H646" s="2041"/>
      <c r="I646" s="2041"/>
      <c r="J646" s="2041"/>
      <c r="K646" s="2041"/>
      <c r="L646" s="2041"/>
      <c r="M646" s="2041"/>
      <c r="N646" s="2425"/>
      <c r="O646" s="2380"/>
      <c r="P646" s="2381"/>
      <c r="Q646" s="2382"/>
      <c r="R646" s="2168"/>
      <c r="S646" s="2169"/>
      <c r="T646" s="2170"/>
      <c r="U646" s="2421"/>
      <c r="V646" s="2422"/>
      <c r="W646" s="2423"/>
      <c r="X646" s="2393" t="s">
        <v>1383</v>
      </c>
      <c r="Y646" s="2568"/>
      <c r="Z646" s="2568"/>
      <c r="AA646" s="2568"/>
      <c r="AB646" s="2569"/>
      <c r="AC646" s="2144"/>
      <c r="AD646" s="2145"/>
      <c r="AE646" s="2146"/>
      <c r="AF646" s="2260"/>
      <c r="AG646" s="2261"/>
      <c r="AH646" s="2261"/>
      <c r="AI646" s="2261"/>
      <c r="AJ646" s="2262"/>
      <c r="AK646" s="2377"/>
      <c r="AL646" s="2378"/>
      <c r="AM646" s="2378"/>
      <c r="AN646" s="2379"/>
      <c r="AO646" s="2147"/>
      <c r="AP646" s="2147"/>
      <c r="AQ646" s="2147"/>
      <c r="AR646" s="2147"/>
      <c r="AS646" s="21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0" t="e">
        <f t="shared" si="24"/>
        <v>#VALUE!</v>
      </c>
      <c r="DY646" s="2570"/>
      <c r="DZ646" s="2570"/>
      <c r="EA646" s="2570"/>
      <c r="EB646" s="2570"/>
      <c r="EC646" s="2570" t="e">
        <f t="shared" si="25"/>
        <v>#VALUE!</v>
      </c>
      <c r="ED646" s="2570"/>
      <c r="EE646" s="2570"/>
      <c r="EF646" s="2570"/>
      <c r="EG646" s="2570"/>
      <c r="EH646" s="2570" t="e">
        <f t="shared" si="26"/>
        <v>#VALUE!</v>
      </c>
      <c r="EI646" s="2570"/>
      <c r="EJ646" s="2570"/>
      <c r="EK646" s="2570"/>
      <c r="EL646" s="2570"/>
      <c r="EM646" s="2570" t="e">
        <f t="shared" si="27"/>
        <v>#VALUE!</v>
      </c>
      <c r="EN646" s="2570"/>
      <c r="EO646" s="2570"/>
      <c r="EP646" s="2570"/>
      <c r="EQ646" s="2570"/>
      <c r="ER646" s="2570" t="e">
        <f t="shared" si="28"/>
        <v>#VALUE!</v>
      </c>
      <c r="ES646" s="2570"/>
      <c r="ET646" s="2570"/>
      <c r="EU646" s="2570"/>
      <c r="EV646" s="2570"/>
      <c r="EW646" s="2570" t="e">
        <f t="shared" si="29"/>
        <v>#VALUE!</v>
      </c>
      <c r="EX646" s="2570"/>
      <c r="EY646" s="2570"/>
      <c r="EZ646" s="2570"/>
      <c r="FA646" s="2570"/>
    </row>
    <row r="647" spans="1:157" ht="12.75">
      <c r="B647" s="84" t="s">
        <v>372</v>
      </c>
      <c r="C647" s="2174"/>
      <c r="D647" s="2041"/>
      <c r="E647" s="2041"/>
      <c r="F647" s="2041"/>
      <c r="G647" s="2041"/>
      <c r="H647" s="2041"/>
      <c r="I647" s="2041"/>
      <c r="J647" s="2041"/>
      <c r="K647" s="2041"/>
      <c r="L647" s="2041"/>
      <c r="M647" s="2041"/>
      <c r="N647" s="2425"/>
      <c r="O647" s="2380"/>
      <c r="P647" s="2381"/>
      <c r="Q647" s="2382"/>
      <c r="R647" s="2168"/>
      <c r="S647" s="2169"/>
      <c r="T647" s="2170"/>
      <c r="U647" s="2421"/>
      <c r="V647" s="2422"/>
      <c r="W647" s="2423"/>
      <c r="X647" s="2393" t="s">
        <v>1383</v>
      </c>
      <c r="Y647" s="2568"/>
      <c r="Z647" s="2568"/>
      <c r="AA647" s="2568"/>
      <c r="AB647" s="2569"/>
      <c r="AC647" s="2144"/>
      <c r="AD647" s="2145"/>
      <c r="AE647" s="2146"/>
      <c r="AF647" s="2260"/>
      <c r="AG647" s="2261"/>
      <c r="AH647" s="2261"/>
      <c r="AI647" s="2261"/>
      <c r="AJ647" s="2262"/>
      <c r="AK647" s="2377"/>
      <c r="AL647" s="2378"/>
      <c r="AM647" s="2378"/>
      <c r="AN647" s="2379"/>
      <c r="AO647" s="2147"/>
      <c r="AP647" s="2147"/>
      <c r="AQ647" s="2147"/>
      <c r="AR647" s="2147"/>
      <c r="AS647" s="21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0" t="e">
        <f t="shared" si="24"/>
        <v>#VALUE!</v>
      </c>
      <c r="DY647" s="2570"/>
      <c r="DZ647" s="2570"/>
      <c r="EA647" s="2570"/>
      <c r="EB647" s="2570"/>
      <c r="EC647" s="2570" t="e">
        <f t="shared" si="25"/>
        <v>#VALUE!</v>
      </c>
      <c r="ED647" s="2570"/>
      <c r="EE647" s="2570"/>
      <c r="EF647" s="2570"/>
      <c r="EG647" s="2570"/>
      <c r="EH647" s="2570" t="e">
        <f t="shared" si="26"/>
        <v>#VALUE!</v>
      </c>
      <c r="EI647" s="2570"/>
      <c r="EJ647" s="2570"/>
      <c r="EK647" s="2570"/>
      <c r="EL647" s="2570"/>
      <c r="EM647" s="2570" t="e">
        <f t="shared" si="27"/>
        <v>#VALUE!</v>
      </c>
      <c r="EN647" s="2570"/>
      <c r="EO647" s="2570"/>
      <c r="EP647" s="2570"/>
      <c r="EQ647" s="2570"/>
      <c r="ER647" s="2570" t="e">
        <f t="shared" si="28"/>
        <v>#VALUE!</v>
      </c>
      <c r="ES647" s="2570"/>
      <c r="ET647" s="2570"/>
      <c r="EU647" s="2570"/>
      <c r="EV647" s="2570"/>
      <c r="EW647" s="2570" t="e">
        <f t="shared" si="29"/>
        <v>#VALUE!</v>
      </c>
      <c r="EX647" s="2570"/>
      <c r="EY647" s="2570"/>
      <c r="EZ647" s="2570"/>
      <c r="FA647" s="2570"/>
    </row>
    <row r="648" spans="1:157" ht="12.75">
      <c r="B648" s="84" t="s">
        <v>373</v>
      </c>
      <c r="C648" s="2174"/>
      <c r="D648" s="2041"/>
      <c r="E648" s="2041"/>
      <c r="F648" s="2041"/>
      <c r="G648" s="2041"/>
      <c r="H648" s="2041"/>
      <c r="I648" s="2041"/>
      <c r="J648" s="2041"/>
      <c r="K648" s="2041"/>
      <c r="L648" s="2041"/>
      <c r="M648" s="2041"/>
      <c r="N648" s="2425"/>
      <c r="O648" s="2380"/>
      <c r="P648" s="2381"/>
      <c r="Q648" s="2382"/>
      <c r="R648" s="2168"/>
      <c r="S648" s="2169"/>
      <c r="T648" s="2170"/>
      <c r="U648" s="2421"/>
      <c r="V648" s="2422"/>
      <c r="W648" s="2423"/>
      <c r="X648" s="2393" t="s">
        <v>1383</v>
      </c>
      <c r="Y648" s="2568"/>
      <c r="Z648" s="2568"/>
      <c r="AA648" s="2568"/>
      <c r="AB648" s="2569"/>
      <c r="AC648" s="2144"/>
      <c r="AD648" s="2145"/>
      <c r="AE648" s="2146"/>
      <c r="AF648" s="2260"/>
      <c r="AG648" s="2261"/>
      <c r="AH648" s="2261"/>
      <c r="AI648" s="2261"/>
      <c r="AJ648" s="2262"/>
      <c r="AK648" s="2377"/>
      <c r="AL648" s="2378"/>
      <c r="AM648" s="2378"/>
      <c r="AN648" s="2379"/>
      <c r="AO648" s="2147"/>
      <c r="AP648" s="2147"/>
      <c r="AQ648" s="2147"/>
      <c r="AR648" s="2147"/>
      <c r="AS648" s="21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4">
        <f t="shared" ref="BN648:BN657" si="30">IF(J786="SRO/Studio",O786,0)</f>
        <v>0</v>
      </c>
      <c r="BO648" s="2025"/>
      <c r="BP648" s="2025"/>
      <c r="BQ648" s="2025"/>
      <c r="BR648" s="2026"/>
      <c r="BS648" s="2023">
        <f t="shared" ref="BS648:BS657" si="31">IF(J786="1 Bedroom",O786,0)</f>
        <v>0</v>
      </c>
      <c r="BT648" s="2023"/>
      <c r="BU648" s="2023"/>
      <c r="BV648" s="2023"/>
      <c r="BW648" s="2023"/>
      <c r="BX648" s="2023">
        <f t="shared" ref="BX648:BX657" si="32">IF(J786="2 Bedrooms",O786,0)</f>
        <v>0</v>
      </c>
      <c r="BY648" s="2023"/>
      <c r="BZ648" s="2023"/>
      <c r="CA648" s="2023"/>
      <c r="CB648" s="2023"/>
      <c r="CC648" s="2023">
        <f t="shared" ref="CC648:CC657" si="33">IF(J786="3 Bedrooms",O786,0)</f>
        <v>0</v>
      </c>
      <c r="CD648" s="2023"/>
      <c r="CE648" s="2023"/>
      <c r="CF648" s="2023"/>
      <c r="CG648" s="2023"/>
      <c r="CH648" s="2023">
        <f t="shared" ref="CH648:CH657" si="34">IF(J786="4 Bedrooms",O786,0)</f>
        <v>0</v>
      </c>
      <c r="CI648" s="2023"/>
      <c r="CJ648" s="2023"/>
      <c r="CK648" s="2023"/>
      <c r="CL648" s="2023"/>
      <c r="CM648" s="2023">
        <f t="shared" ref="CM648:CM657" si="35">IF(J786="5 Bedrooms",O786,0)</f>
        <v>0</v>
      </c>
      <c r="CN648" s="2023"/>
      <c r="CO648" s="2023"/>
      <c r="CP648" s="2023"/>
      <c r="CQ648" s="2023"/>
      <c r="CR648" s="265"/>
      <c r="CS648" s="2024">
        <f>IF(AND(BN648&gt;=1,AH786&gt;=0.1,AH786&lt;=1),O786,0)</f>
        <v>0</v>
      </c>
      <c r="CT648" s="2025"/>
      <c r="CU648" s="2025"/>
      <c r="CV648" s="2025"/>
      <c r="CW648" s="2026"/>
      <c r="CX648" s="2024">
        <f>IF(AND(BS648&gt;=1,AH786&gt;=0.1,AH786&lt;=1),O786,0)</f>
        <v>0</v>
      </c>
      <c r="CY648" s="2025"/>
      <c r="CZ648" s="2025"/>
      <c r="DA648" s="2025"/>
      <c r="DB648" s="2026"/>
      <c r="DC648" s="2024">
        <f>IF(AND(BX648&gt;=1,AH786&gt;=0.1,AH786&lt;=1),O786,0)</f>
        <v>0</v>
      </c>
      <c r="DD648" s="2025"/>
      <c r="DE648" s="2025"/>
      <c r="DF648" s="2025"/>
      <c r="DG648" s="2026"/>
      <c r="DH648" s="2024">
        <f>IF(AND(CC648&gt;=1,AH786&gt;=0.1,AH786&lt;=1),O786,0)</f>
        <v>0</v>
      </c>
      <c r="DI648" s="2025"/>
      <c r="DJ648" s="2025"/>
      <c r="DK648" s="2025"/>
      <c r="DL648" s="2026"/>
      <c r="DM648" s="2024">
        <f>IF(AND(CH648&gt;=1,AH786&gt;=0.1,AH786&lt;=1),O786,0)</f>
        <v>0</v>
      </c>
      <c r="DN648" s="2025"/>
      <c r="DO648" s="2025"/>
      <c r="DP648" s="2025"/>
      <c r="DQ648" s="2026"/>
      <c r="DR648" s="2024">
        <f>IF(AND(CM648&gt;=1,AH786&gt;=0.1,AH786&lt;=1),O786,0)</f>
        <v>0</v>
      </c>
      <c r="DS648" s="2025"/>
      <c r="DT648" s="2025"/>
      <c r="DU648" s="2025"/>
      <c r="DV648" s="2026"/>
      <c r="DX648" s="2570" t="e">
        <f t="shared" si="24"/>
        <v>#VALUE!</v>
      </c>
      <c r="DY648" s="2570"/>
      <c r="DZ648" s="2570"/>
      <c r="EA648" s="2570"/>
      <c r="EB648" s="2570"/>
      <c r="EC648" s="2570" t="e">
        <f t="shared" si="25"/>
        <v>#VALUE!</v>
      </c>
      <c r="ED648" s="2570"/>
      <c r="EE648" s="2570"/>
      <c r="EF648" s="2570"/>
      <c r="EG648" s="2570"/>
      <c r="EH648" s="2570" t="e">
        <f t="shared" si="26"/>
        <v>#VALUE!</v>
      </c>
      <c r="EI648" s="2570"/>
      <c r="EJ648" s="2570"/>
      <c r="EK648" s="2570"/>
      <c r="EL648" s="2570"/>
      <c r="EM648" s="2570" t="e">
        <f t="shared" si="27"/>
        <v>#VALUE!</v>
      </c>
      <c r="EN648" s="2570"/>
      <c r="EO648" s="2570"/>
      <c r="EP648" s="2570"/>
      <c r="EQ648" s="2570"/>
      <c r="ER648" s="2570" t="e">
        <f t="shared" si="28"/>
        <v>#VALUE!</v>
      </c>
      <c r="ES648" s="2570"/>
      <c r="ET648" s="2570"/>
      <c r="EU648" s="2570"/>
      <c r="EV648" s="2570"/>
      <c r="EW648" s="2570" t="e">
        <f t="shared" si="29"/>
        <v>#VALUE!</v>
      </c>
      <c r="EX648" s="2570"/>
      <c r="EY648" s="2570"/>
      <c r="EZ648" s="2570"/>
      <c r="FA648" s="2570"/>
    </row>
    <row r="649" spans="1:157" ht="12.75">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9">
        <f>SUM(AO637:AR648)</f>
        <v>31357717</v>
      </c>
      <c r="AP649" s="2150"/>
      <c r="AQ649" s="2150"/>
      <c r="AR649" s="2150"/>
      <c r="AS649" s="2151"/>
      <c r="AZ649" s="58"/>
      <c r="BA649" s="58"/>
      <c r="BB649" s="58"/>
      <c r="BC649" s="58"/>
      <c r="BD649" s="58"/>
      <c r="BE649" s="58"/>
      <c r="BF649" s="58"/>
      <c r="BG649" s="58"/>
      <c r="BH649" s="58"/>
      <c r="BI649" s="58"/>
      <c r="BJ649" s="58"/>
      <c r="BK649" s="58"/>
      <c r="BL649" s="58"/>
      <c r="BM649" s="58"/>
      <c r="BN649" s="2024">
        <f t="shared" si="30"/>
        <v>0</v>
      </c>
      <c r="BO649" s="2025"/>
      <c r="BP649" s="2025"/>
      <c r="BQ649" s="2025"/>
      <c r="BR649" s="2026"/>
      <c r="BS649" s="2023">
        <f t="shared" si="31"/>
        <v>0</v>
      </c>
      <c r="BT649" s="2023"/>
      <c r="BU649" s="2023"/>
      <c r="BV649" s="2023"/>
      <c r="BW649" s="2023"/>
      <c r="BX649" s="2023">
        <f t="shared" si="32"/>
        <v>0</v>
      </c>
      <c r="BY649" s="2023"/>
      <c r="BZ649" s="2023"/>
      <c r="CA649" s="2023"/>
      <c r="CB649" s="2023"/>
      <c r="CC649" s="2023">
        <f t="shared" si="33"/>
        <v>0</v>
      </c>
      <c r="CD649" s="2023"/>
      <c r="CE649" s="2023"/>
      <c r="CF649" s="2023"/>
      <c r="CG649" s="2023"/>
      <c r="CH649" s="2023">
        <f t="shared" si="34"/>
        <v>0</v>
      </c>
      <c r="CI649" s="2023"/>
      <c r="CJ649" s="2023"/>
      <c r="CK649" s="2023"/>
      <c r="CL649" s="2023"/>
      <c r="CM649" s="2023">
        <f t="shared" si="35"/>
        <v>0</v>
      </c>
      <c r="CN649" s="2023"/>
      <c r="CO649" s="2023"/>
      <c r="CP649" s="2023"/>
      <c r="CQ649" s="2023"/>
      <c r="CR649" s="265"/>
      <c r="CS649" s="2024">
        <f t="shared" ref="CS649:CS657" si="36">IF(AND(BN649&gt;=1,AH787&gt;=0.1,AH787&lt;=1),O787,0)</f>
        <v>0</v>
      </c>
      <c r="CT649" s="2025"/>
      <c r="CU649" s="2025"/>
      <c r="CV649" s="2025"/>
      <c r="CW649" s="2026"/>
      <c r="CX649" s="2024">
        <f t="shared" ref="CX649:CX657" si="37">IF(AND(BS649&gt;=1,AH787&gt;=0.1,AH787&lt;=1),O787,0)</f>
        <v>0</v>
      </c>
      <c r="CY649" s="2025"/>
      <c r="CZ649" s="2025"/>
      <c r="DA649" s="2025"/>
      <c r="DB649" s="2026"/>
      <c r="DC649" s="2024">
        <f t="shared" ref="DC649:DC657" si="38">IF(AND(BX649&gt;=1,AH787&gt;=0.1,AH787&lt;=1),O787,0)</f>
        <v>0</v>
      </c>
      <c r="DD649" s="2025"/>
      <c r="DE649" s="2025"/>
      <c r="DF649" s="2025"/>
      <c r="DG649" s="2026"/>
      <c r="DH649" s="2024">
        <f t="shared" ref="DH649:DH657" si="39">IF(AND(CC649&gt;=1,AH787&gt;=0.1,AH787&lt;=1),O787,0)</f>
        <v>0</v>
      </c>
      <c r="DI649" s="2025"/>
      <c r="DJ649" s="2025"/>
      <c r="DK649" s="2025"/>
      <c r="DL649" s="2026"/>
      <c r="DM649" s="2024">
        <f t="shared" ref="DM649:DM657" si="40">IF(AND(CH649&gt;=1,AH787&gt;=0.1,AH787&lt;=1),O787,0)</f>
        <v>0</v>
      </c>
      <c r="DN649" s="2025"/>
      <c r="DO649" s="2025"/>
      <c r="DP649" s="2025"/>
      <c r="DQ649" s="2026"/>
      <c r="DR649" s="2024">
        <f t="shared" ref="DR649:DR657" si="41">IF(AND(CM649&gt;=1,AH787&gt;=0.1,AH787&lt;=1),O787,0)</f>
        <v>0</v>
      </c>
      <c r="DS649" s="2025"/>
      <c r="DT649" s="2025"/>
      <c r="DU649" s="2025"/>
      <c r="DV649" s="2026"/>
      <c r="DX649" s="2570" t="e">
        <f t="shared" si="24"/>
        <v>#VALUE!</v>
      </c>
      <c r="DY649" s="2570"/>
      <c r="DZ649" s="2570"/>
      <c r="EA649" s="2570"/>
      <c r="EB649" s="2570"/>
      <c r="EC649" s="2570" t="e">
        <f t="shared" si="25"/>
        <v>#VALUE!</v>
      </c>
      <c r="ED649" s="2570"/>
      <c r="EE649" s="2570"/>
      <c r="EF649" s="2570"/>
      <c r="EG649" s="2570"/>
      <c r="EH649" s="2570" t="e">
        <f t="shared" si="26"/>
        <v>#VALUE!</v>
      </c>
      <c r="EI649" s="2570"/>
      <c r="EJ649" s="2570"/>
      <c r="EK649" s="2570"/>
      <c r="EL649" s="2570"/>
      <c r="EM649" s="2570" t="e">
        <f t="shared" si="27"/>
        <v>#VALUE!</v>
      </c>
      <c r="EN649" s="2570"/>
      <c r="EO649" s="2570"/>
      <c r="EP649" s="2570"/>
      <c r="EQ649" s="2570"/>
      <c r="ER649" s="2570" t="e">
        <f t="shared" si="28"/>
        <v>#VALUE!</v>
      </c>
      <c r="ES649" s="2570"/>
      <c r="ET649" s="2570"/>
      <c r="EU649" s="2570"/>
      <c r="EV649" s="2570"/>
      <c r="EW649" s="2570" t="e">
        <f t="shared" si="29"/>
        <v>#VALUE!</v>
      </c>
      <c r="EX649" s="2570"/>
      <c r="EY649" s="2570"/>
      <c r="EZ649" s="2570"/>
      <c r="FA649" s="2570"/>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43">
        <f>21822707-108000</f>
        <v>21714707</v>
      </c>
      <c r="AP650" s="2044"/>
      <c r="AQ650" s="2044"/>
      <c r="AR650" s="2044"/>
      <c r="AS650" s="2045"/>
      <c r="AZ650" s="61"/>
      <c r="BA650" s="61"/>
      <c r="BB650" s="61"/>
      <c r="BC650" s="61"/>
      <c r="BD650" s="61"/>
      <c r="BE650" s="61"/>
      <c r="BF650" s="61"/>
      <c r="BG650" s="61"/>
      <c r="BH650" s="61"/>
      <c r="BI650" s="61"/>
      <c r="BJ650" s="61"/>
      <c r="BK650" s="61"/>
      <c r="BL650" s="61"/>
      <c r="BM650" s="61"/>
      <c r="BN650" s="2024">
        <f t="shared" si="30"/>
        <v>0</v>
      </c>
      <c r="BO650" s="2025"/>
      <c r="BP650" s="2025"/>
      <c r="BQ650" s="2025"/>
      <c r="BR650" s="2026"/>
      <c r="BS650" s="2023">
        <f t="shared" si="31"/>
        <v>0</v>
      </c>
      <c r="BT650" s="2023"/>
      <c r="BU650" s="2023"/>
      <c r="BV650" s="2023"/>
      <c r="BW650" s="2023"/>
      <c r="BX650" s="2023">
        <f t="shared" si="32"/>
        <v>0</v>
      </c>
      <c r="BY650" s="2023"/>
      <c r="BZ650" s="2023"/>
      <c r="CA650" s="2023"/>
      <c r="CB650" s="2023"/>
      <c r="CC650" s="2023">
        <f t="shared" si="33"/>
        <v>0</v>
      </c>
      <c r="CD650" s="2023"/>
      <c r="CE650" s="2023"/>
      <c r="CF650" s="2023"/>
      <c r="CG650" s="2023"/>
      <c r="CH650" s="2023">
        <f t="shared" si="34"/>
        <v>0</v>
      </c>
      <c r="CI650" s="2023"/>
      <c r="CJ650" s="2023"/>
      <c r="CK650" s="2023"/>
      <c r="CL650" s="2023"/>
      <c r="CM650" s="2023">
        <f t="shared" si="35"/>
        <v>0</v>
      </c>
      <c r="CN650" s="2023"/>
      <c r="CO650" s="2023"/>
      <c r="CP650" s="2023"/>
      <c r="CQ650" s="2023"/>
      <c r="CR650" s="265"/>
      <c r="CS650" s="2024">
        <f t="shared" si="36"/>
        <v>0</v>
      </c>
      <c r="CT650" s="2025"/>
      <c r="CU650" s="2025"/>
      <c r="CV650" s="2025"/>
      <c r="CW650" s="2026"/>
      <c r="CX650" s="2024">
        <f t="shared" si="37"/>
        <v>0</v>
      </c>
      <c r="CY650" s="2025"/>
      <c r="CZ650" s="2025"/>
      <c r="DA650" s="2025"/>
      <c r="DB650" s="2026"/>
      <c r="DC650" s="2024">
        <f t="shared" si="38"/>
        <v>0</v>
      </c>
      <c r="DD650" s="2025"/>
      <c r="DE650" s="2025"/>
      <c r="DF650" s="2025"/>
      <c r="DG650" s="2026"/>
      <c r="DH650" s="2024">
        <f t="shared" si="39"/>
        <v>0</v>
      </c>
      <c r="DI650" s="2025"/>
      <c r="DJ650" s="2025"/>
      <c r="DK650" s="2025"/>
      <c r="DL650" s="2026"/>
      <c r="DM650" s="2024">
        <f t="shared" si="40"/>
        <v>0</v>
      </c>
      <c r="DN650" s="2025"/>
      <c r="DO650" s="2025"/>
      <c r="DP650" s="2025"/>
      <c r="DQ650" s="2026"/>
      <c r="DR650" s="2024">
        <f t="shared" si="41"/>
        <v>0</v>
      </c>
      <c r="DS650" s="2025"/>
      <c r="DT650" s="2025"/>
      <c r="DU650" s="2025"/>
      <c r="DV650" s="2026"/>
      <c r="DX650" s="2570" t="e">
        <f t="shared" si="24"/>
        <v>#VALUE!</v>
      </c>
      <c r="DY650" s="2570"/>
      <c r="DZ650" s="2570"/>
      <c r="EA650" s="2570"/>
      <c r="EB650" s="2570"/>
      <c r="EC650" s="2570" t="e">
        <f t="shared" si="25"/>
        <v>#VALUE!</v>
      </c>
      <c r="ED650" s="2570"/>
      <c r="EE650" s="2570"/>
      <c r="EF650" s="2570"/>
      <c r="EG650" s="2570"/>
      <c r="EH650" s="2570" t="e">
        <f t="shared" si="26"/>
        <v>#VALUE!</v>
      </c>
      <c r="EI650" s="2570"/>
      <c r="EJ650" s="2570"/>
      <c r="EK650" s="2570"/>
      <c r="EL650" s="2570"/>
      <c r="EM650" s="2570" t="e">
        <f t="shared" si="27"/>
        <v>#VALUE!</v>
      </c>
      <c r="EN650" s="2570"/>
      <c r="EO650" s="2570"/>
      <c r="EP650" s="2570"/>
      <c r="EQ650" s="2570"/>
      <c r="ER650" s="2570" t="e">
        <f t="shared" si="28"/>
        <v>#VALUE!</v>
      </c>
      <c r="ES650" s="2570"/>
      <c r="ET650" s="2570"/>
      <c r="EU650" s="2570"/>
      <c r="EV650" s="2570"/>
      <c r="EW650" s="2570" t="e">
        <f t="shared" si="29"/>
        <v>#VALUE!</v>
      </c>
      <c r="EX650" s="2570"/>
      <c r="EY650" s="2570"/>
      <c r="EZ650" s="2570"/>
      <c r="FA650" s="2570"/>
    </row>
    <row r="651" spans="1:157" ht="12.75" customHeight="1">
      <c r="B651" s="2268"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69"/>
      <c r="AO651" s="2149">
        <f>AO649+AO650</f>
        <v>53072424</v>
      </c>
      <c r="AP651" s="2150"/>
      <c r="AQ651" s="2150"/>
      <c r="AR651" s="2150"/>
      <c r="AS651" s="2151"/>
      <c r="AZ651" s="61"/>
      <c r="BA651" s="61"/>
      <c r="BB651" s="61"/>
      <c r="BC651" s="61"/>
      <c r="BD651" s="61"/>
      <c r="BE651" s="61"/>
      <c r="BF651" s="61"/>
      <c r="BG651" s="61"/>
      <c r="BH651" s="61"/>
      <c r="BI651" s="61"/>
      <c r="BJ651" s="61"/>
      <c r="BK651" s="61"/>
      <c r="BL651" s="61"/>
      <c r="BM651" s="61"/>
      <c r="BN651" s="2024">
        <f t="shared" si="30"/>
        <v>0</v>
      </c>
      <c r="BO651" s="2025"/>
      <c r="BP651" s="2025"/>
      <c r="BQ651" s="2025"/>
      <c r="BR651" s="2026"/>
      <c r="BS651" s="2023">
        <f t="shared" si="31"/>
        <v>0</v>
      </c>
      <c r="BT651" s="2023"/>
      <c r="BU651" s="2023"/>
      <c r="BV651" s="2023"/>
      <c r="BW651" s="2023"/>
      <c r="BX651" s="2023">
        <f t="shared" si="32"/>
        <v>0</v>
      </c>
      <c r="BY651" s="2023"/>
      <c r="BZ651" s="2023"/>
      <c r="CA651" s="2023"/>
      <c r="CB651" s="2023"/>
      <c r="CC651" s="2023">
        <f t="shared" si="33"/>
        <v>0</v>
      </c>
      <c r="CD651" s="2023"/>
      <c r="CE651" s="2023"/>
      <c r="CF651" s="2023"/>
      <c r="CG651" s="2023"/>
      <c r="CH651" s="2023">
        <f t="shared" si="34"/>
        <v>0</v>
      </c>
      <c r="CI651" s="2023"/>
      <c r="CJ651" s="2023"/>
      <c r="CK651" s="2023"/>
      <c r="CL651" s="2023"/>
      <c r="CM651" s="2023">
        <f t="shared" si="35"/>
        <v>0</v>
      </c>
      <c r="CN651" s="2023"/>
      <c r="CO651" s="2023"/>
      <c r="CP651" s="2023"/>
      <c r="CQ651" s="2023"/>
      <c r="CR651" s="265"/>
      <c r="CS651" s="2024">
        <f t="shared" si="36"/>
        <v>0</v>
      </c>
      <c r="CT651" s="2025"/>
      <c r="CU651" s="2025"/>
      <c r="CV651" s="2025"/>
      <c r="CW651" s="2026"/>
      <c r="CX651" s="2024">
        <f t="shared" si="37"/>
        <v>0</v>
      </c>
      <c r="CY651" s="2025"/>
      <c r="CZ651" s="2025"/>
      <c r="DA651" s="2025"/>
      <c r="DB651" s="2026"/>
      <c r="DC651" s="2024">
        <f t="shared" si="38"/>
        <v>0</v>
      </c>
      <c r="DD651" s="2025"/>
      <c r="DE651" s="2025"/>
      <c r="DF651" s="2025"/>
      <c r="DG651" s="2026"/>
      <c r="DH651" s="2024">
        <f t="shared" si="39"/>
        <v>0</v>
      </c>
      <c r="DI651" s="2025"/>
      <c r="DJ651" s="2025"/>
      <c r="DK651" s="2025"/>
      <c r="DL651" s="2026"/>
      <c r="DM651" s="2024">
        <f t="shared" si="40"/>
        <v>0</v>
      </c>
      <c r="DN651" s="2025"/>
      <c r="DO651" s="2025"/>
      <c r="DP651" s="2025"/>
      <c r="DQ651" s="2026"/>
      <c r="DR651" s="2024">
        <f t="shared" si="41"/>
        <v>0</v>
      </c>
      <c r="DS651" s="2025"/>
      <c r="DT651" s="2025"/>
      <c r="DU651" s="2025"/>
      <c r="DV651" s="2026"/>
      <c r="DX651" s="2570" t="e">
        <f t="shared" si="24"/>
        <v>#VALUE!</v>
      </c>
      <c r="DY651" s="2570"/>
      <c r="DZ651" s="2570"/>
      <c r="EA651" s="2570"/>
      <c r="EB651" s="2570"/>
      <c r="EC651" s="2570" t="e">
        <f t="shared" si="25"/>
        <v>#VALUE!</v>
      </c>
      <c r="ED651" s="2570"/>
      <c r="EE651" s="2570"/>
      <c r="EF651" s="2570"/>
      <c r="EG651" s="2570"/>
      <c r="EH651" s="2570" t="e">
        <f t="shared" si="26"/>
        <v>#VALUE!</v>
      </c>
      <c r="EI651" s="2570"/>
      <c r="EJ651" s="2570"/>
      <c r="EK651" s="2570"/>
      <c r="EL651" s="2570"/>
      <c r="EM651" s="2570" t="e">
        <f t="shared" si="27"/>
        <v>#VALUE!</v>
      </c>
      <c r="EN651" s="2570"/>
      <c r="EO651" s="2570"/>
      <c r="EP651" s="2570"/>
      <c r="EQ651" s="2570"/>
      <c r="ER651" s="2570" t="e">
        <f t="shared" si="28"/>
        <v>#VALUE!</v>
      </c>
      <c r="ES651" s="2570"/>
      <c r="ET651" s="2570"/>
      <c r="EU651" s="2570"/>
      <c r="EV651" s="2570"/>
      <c r="EW651" s="2570" t="e">
        <f t="shared" si="29"/>
        <v>#VALUE!</v>
      </c>
      <c r="EX651" s="2570"/>
      <c r="EY651" s="2570"/>
      <c r="EZ651" s="2570"/>
      <c r="FA651" s="257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4">
        <f t="shared" si="30"/>
        <v>0</v>
      </c>
      <c r="BO652" s="2025"/>
      <c r="BP652" s="2025"/>
      <c r="BQ652" s="2025"/>
      <c r="BR652" s="2026"/>
      <c r="BS652" s="2023">
        <f t="shared" si="31"/>
        <v>0</v>
      </c>
      <c r="BT652" s="2023"/>
      <c r="BU652" s="2023"/>
      <c r="BV652" s="2023"/>
      <c r="BW652" s="2023"/>
      <c r="BX652" s="2023">
        <f t="shared" si="32"/>
        <v>0</v>
      </c>
      <c r="BY652" s="2023"/>
      <c r="BZ652" s="2023"/>
      <c r="CA652" s="2023"/>
      <c r="CB652" s="2023"/>
      <c r="CC652" s="2023">
        <f t="shared" si="33"/>
        <v>0</v>
      </c>
      <c r="CD652" s="2023"/>
      <c r="CE652" s="2023"/>
      <c r="CF652" s="2023"/>
      <c r="CG652" s="2023"/>
      <c r="CH652" s="2023">
        <f t="shared" si="34"/>
        <v>0</v>
      </c>
      <c r="CI652" s="2023"/>
      <c r="CJ652" s="2023"/>
      <c r="CK652" s="2023"/>
      <c r="CL652" s="2023"/>
      <c r="CM652" s="2023">
        <f t="shared" si="35"/>
        <v>0</v>
      </c>
      <c r="CN652" s="2023"/>
      <c r="CO652" s="2023"/>
      <c r="CP652" s="2023"/>
      <c r="CQ652" s="2023"/>
      <c r="CR652" s="265"/>
      <c r="CS652" s="2024">
        <f t="shared" si="36"/>
        <v>0</v>
      </c>
      <c r="CT652" s="2025"/>
      <c r="CU652" s="2025"/>
      <c r="CV652" s="2025"/>
      <c r="CW652" s="2026"/>
      <c r="CX652" s="2024">
        <f t="shared" si="37"/>
        <v>0</v>
      </c>
      <c r="CY652" s="2025"/>
      <c r="CZ652" s="2025"/>
      <c r="DA652" s="2025"/>
      <c r="DB652" s="2026"/>
      <c r="DC652" s="2024">
        <f t="shared" si="38"/>
        <v>0</v>
      </c>
      <c r="DD652" s="2025"/>
      <c r="DE652" s="2025"/>
      <c r="DF652" s="2025"/>
      <c r="DG652" s="2026"/>
      <c r="DH652" s="2024">
        <f t="shared" si="39"/>
        <v>0</v>
      </c>
      <c r="DI652" s="2025"/>
      <c r="DJ652" s="2025"/>
      <c r="DK652" s="2025"/>
      <c r="DL652" s="2026"/>
      <c r="DM652" s="2024">
        <f t="shared" si="40"/>
        <v>0</v>
      </c>
      <c r="DN652" s="2025"/>
      <c r="DO652" s="2025"/>
      <c r="DP652" s="2025"/>
      <c r="DQ652" s="2026"/>
      <c r="DR652" s="2024">
        <f t="shared" si="41"/>
        <v>0</v>
      </c>
      <c r="DS652" s="2025"/>
      <c r="DT652" s="2025"/>
      <c r="DU652" s="2025"/>
      <c r="DV652" s="2026"/>
      <c r="DX652" s="2570" t="e">
        <f t="shared" si="24"/>
        <v>#VALUE!</v>
      </c>
      <c r="DY652" s="2570"/>
      <c r="DZ652" s="2570"/>
      <c r="EA652" s="2570"/>
      <c r="EB652" s="2570"/>
      <c r="EC652" s="2570" t="e">
        <f t="shared" si="25"/>
        <v>#VALUE!</v>
      </c>
      <c r="ED652" s="2570"/>
      <c r="EE652" s="2570"/>
      <c r="EF652" s="2570"/>
      <c r="EG652" s="2570"/>
      <c r="EH652" s="2570" t="e">
        <f t="shared" si="26"/>
        <v>#VALUE!</v>
      </c>
      <c r="EI652" s="2570"/>
      <c r="EJ652" s="2570"/>
      <c r="EK652" s="2570"/>
      <c r="EL652" s="2570"/>
      <c r="EM652" s="2570" t="e">
        <f t="shared" si="27"/>
        <v>#VALUE!</v>
      </c>
      <c r="EN652" s="2570"/>
      <c r="EO652" s="2570"/>
      <c r="EP652" s="2570"/>
      <c r="EQ652" s="2570"/>
      <c r="ER652" s="2570" t="e">
        <f t="shared" si="28"/>
        <v>#VALUE!</v>
      </c>
      <c r="ES652" s="2570"/>
      <c r="ET652" s="2570"/>
      <c r="EU652" s="2570"/>
      <c r="EV652" s="2570"/>
      <c r="EW652" s="2570" t="e">
        <f t="shared" si="29"/>
        <v>#VALUE!</v>
      </c>
      <c r="EX652" s="2570"/>
      <c r="EY652" s="2570"/>
      <c r="EZ652" s="2570"/>
      <c r="FA652" s="2570"/>
    </row>
    <row r="653" spans="1:157" ht="12.75">
      <c r="A653" s="87" t="s">
        <v>117</v>
      </c>
      <c r="B653" s="12" t="s">
        <v>496</v>
      </c>
      <c r="G653" s="2052" t="str">
        <f>C637</f>
        <v>US Bank Tax-Exempt Permanent Loan</v>
      </c>
      <c r="H653" s="2052"/>
      <c r="I653" s="2052"/>
      <c r="J653" s="2052"/>
      <c r="K653" s="2052"/>
      <c r="L653" s="2052"/>
      <c r="M653" s="2052"/>
      <c r="N653" s="2052"/>
      <c r="O653" s="2052"/>
      <c r="P653" s="2052"/>
      <c r="Q653" s="2052"/>
      <c r="R653" s="2052"/>
      <c r="S653" s="14"/>
      <c r="T653" s="87" t="s">
        <v>118</v>
      </c>
      <c r="U653" s="12" t="s">
        <v>496</v>
      </c>
      <c r="Z653" s="2052" t="str">
        <f>C638</f>
        <v>SHRA Loan</v>
      </c>
      <c r="AA653" s="2052"/>
      <c r="AB653" s="2052"/>
      <c r="AC653" s="2052"/>
      <c r="AD653" s="2052"/>
      <c r="AE653" s="2052"/>
      <c r="AF653" s="2052"/>
      <c r="AG653" s="2052"/>
      <c r="AH653" s="2052"/>
      <c r="AI653" s="2052"/>
      <c r="AJ653" s="2052"/>
      <c r="AK653" s="2052"/>
      <c r="AZ653" s="61"/>
      <c r="BA653" s="61"/>
      <c r="BB653" s="61"/>
      <c r="BC653" s="61"/>
      <c r="BD653" s="61"/>
      <c r="BE653" s="61"/>
      <c r="BF653" s="61"/>
      <c r="BG653" s="61"/>
      <c r="BH653" s="61"/>
      <c r="BI653" s="61"/>
      <c r="BJ653" s="61"/>
      <c r="BK653" s="61"/>
      <c r="BL653" s="61"/>
      <c r="BM653" s="61"/>
      <c r="BN653" s="2024">
        <f t="shared" si="30"/>
        <v>0</v>
      </c>
      <c r="BO653" s="2025"/>
      <c r="BP653" s="2025"/>
      <c r="BQ653" s="2025"/>
      <c r="BR653" s="2026"/>
      <c r="BS653" s="2023">
        <f t="shared" si="31"/>
        <v>0</v>
      </c>
      <c r="BT653" s="2023"/>
      <c r="BU653" s="2023"/>
      <c r="BV653" s="2023"/>
      <c r="BW653" s="2023"/>
      <c r="BX653" s="2023">
        <f t="shared" si="32"/>
        <v>0</v>
      </c>
      <c r="BY653" s="2023"/>
      <c r="BZ653" s="2023"/>
      <c r="CA653" s="2023"/>
      <c r="CB653" s="2023"/>
      <c r="CC653" s="2023">
        <f t="shared" si="33"/>
        <v>0</v>
      </c>
      <c r="CD653" s="2023"/>
      <c r="CE653" s="2023"/>
      <c r="CF653" s="2023"/>
      <c r="CG653" s="2023"/>
      <c r="CH653" s="2023">
        <f t="shared" si="34"/>
        <v>0</v>
      </c>
      <c r="CI653" s="2023"/>
      <c r="CJ653" s="2023"/>
      <c r="CK653" s="2023"/>
      <c r="CL653" s="2023"/>
      <c r="CM653" s="2023">
        <f t="shared" si="35"/>
        <v>0</v>
      </c>
      <c r="CN653" s="2023"/>
      <c r="CO653" s="2023"/>
      <c r="CP653" s="2023"/>
      <c r="CQ653" s="2023"/>
      <c r="CR653" s="265"/>
      <c r="CS653" s="2024">
        <f t="shared" si="36"/>
        <v>0</v>
      </c>
      <c r="CT653" s="2025"/>
      <c r="CU653" s="2025"/>
      <c r="CV653" s="2025"/>
      <c r="CW653" s="2026"/>
      <c r="CX653" s="2024">
        <f t="shared" si="37"/>
        <v>0</v>
      </c>
      <c r="CY653" s="2025"/>
      <c r="CZ653" s="2025"/>
      <c r="DA653" s="2025"/>
      <c r="DB653" s="2026"/>
      <c r="DC653" s="2024">
        <f t="shared" si="38"/>
        <v>0</v>
      </c>
      <c r="DD653" s="2025"/>
      <c r="DE653" s="2025"/>
      <c r="DF653" s="2025"/>
      <c r="DG653" s="2026"/>
      <c r="DH653" s="2024">
        <f t="shared" si="39"/>
        <v>0</v>
      </c>
      <c r="DI653" s="2025"/>
      <c r="DJ653" s="2025"/>
      <c r="DK653" s="2025"/>
      <c r="DL653" s="2026"/>
      <c r="DM653" s="2024">
        <f t="shared" si="40"/>
        <v>0</v>
      </c>
      <c r="DN653" s="2025"/>
      <c r="DO653" s="2025"/>
      <c r="DP653" s="2025"/>
      <c r="DQ653" s="2026"/>
      <c r="DR653" s="2024">
        <f t="shared" si="41"/>
        <v>0</v>
      </c>
      <c r="DS653" s="2025"/>
      <c r="DT653" s="2025"/>
      <c r="DU653" s="2025"/>
      <c r="DV653" s="2026"/>
      <c r="DX653" s="2570" t="e">
        <f t="shared" si="24"/>
        <v>#VALUE!</v>
      </c>
      <c r="DY653" s="2570"/>
      <c r="DZ653" s="2570"/>
      <c r="EA653" s="2570"/>
      <c r="EB653" s="2570"/>
      <c r="EC653" s="2570" t="e">
        <f t="shared" si="25"/>
        <v>#VALUE!</v>
      </c>
      <c r="ED653" s="2570"/>
      <c r="EE653" s="2570"/>
      <c r="EF653" s="2570"/>
      <c r="EG653" s="2570"/>
      <c r="EH653" s="2570" t="e">
        <f t="shared" si="26"/>
        <v>#VALUE!</v>
      </c>
      <c r="EI653" s="2570"/>
      <c r="EJ653" s="2570"/>
      <c r="EK653" s="2570"/>
      <c r="EL653" s="2570"/>
      <c r="EM653" s="2570" t="e">
        <f t="shared" si="27"/>
        <v>#VALUE!</v>
      </c>
      <c r="EN653" s="2570"/>
      <c r="EO653" s="2570"/>
      <c r="EP653" s="2570"/>
      <c r="EQ653" s="2570"/>
      <c r="ER653" s="2570" t="e">
        <f t="shared" si="28"/>
        <v>#VALUE!</v>
      </c>
      <c r="ES653" s="2570"/>
      <c r="ET653" s="2570"/>
      <c r="EU653" s="2570"/>
      <c r="EV653" s="2570"/>
      <c r="EW653" s="2570" t="e">
        <f t="shared" si="29"/>
        <v>#VALUE!</v>
      </c>
      <c r="EX653" s="2570"/>
      <c r="EY653" s="2570"/>
      <c r="EZ653" s="2570"/>
      <c r="FA653" s="2570"/>
    </row>
    <row r="654" spans="1:157" ht="12.75">
      <c r="A654" s="35"/>
      <c r="B654" s="12" t="s">
        <v>90</v>
      </c>
      <c r="G654" s="2050" t="s">
        <v>2642</v>
      </c>
      <c r="H654" s="2050"/>
      <c r="I654" s="2050"/>
      <c r="J654" s="2050"/>
      <c r="K654" s="2050"/>
      <c r="L654" s="2050"/>
      <c r="M654" s="2050"/>
      <c r="N654" s="2050"/>
      <c r="O654" s="2050"/>
      <c r="P654" s="2050"/>
      <c r="Q654" s="2050"/>
      <c r="R654" s="2050"/>
      <c r="S654" s="14"/>
      <c r="T654" s="35"/>
      <c r="U654" s="12" t="s">
        <v>90</v>
      </c>
      <c r="Z654" s="2050" t="s">
        <v>2647</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24">
        <f t="shared" si="30"/>
        <v>0</v>
      </c>
      <c r="BO654" s="2025"/>
      <c r="BP654" s="2025"/>
      <c r="BQ654" s="2025"/>
      <c r="BR654" s="2026"/>
      <c r="BS654" s="2023">
        <f t="shared" si="31"/>
        <v>0</v>
      </c>
      <c r="BT654" s="2023"/>
      <c r="BU654" s="2023"/>
      <c r="BV654" s="2023"/>
      <c r="BW654" s="2023"/>
      <c r="BX654" s="2023">
        <f t="shared" si="32"/>
        <v>0</v>
      </c>
      <c r="BY654" s="2023"/>
      <c r="BZ654" s="2023"/>
      <c r="CA654" s="2023"/>
      <c r="CB654" s="2023"/>
      <c r="CC654" s="2023">
        <f t="shared" si="33"/>
        <v>0</v>
      </c>
      <c r="CD654" s="2023"/>
      <c r="CE654" s="2023"/>
      <c r="CF654" s="2023"/>
      <c r="CG654" s="2023"/>
      <c r="CH654" s="2023">
        <f t="shared" si="34"/>
        <v>0</v>
      </c>
      <c r="CI654" s="2023"/>
      <c r="CJ654" s="2023"/>
      <c r="CK654" s="2023"/>
      <c r="CL654" s="2023"/>
      <c r="CM654" s="2023">
        <f t="shared" si="35"/>
        <v>0</v>
      </c>
      <c r="CN654" s="2023"/>
      <c r="CO654" s="2023"/>
      <c r="CP654" s="2023"/>
      <c r="CQ654" s="2023"/>
      <c r="CR654" s="265"/>
      <c r="CS654" s="2024">
        <f t="shared" si="36"/>
        <v>0</v>
      </c>
      <c r="CT654" s="2025"/>
      <c r="CU654" s="2025"/>
      <c r="CV654" s="2025"/>
      <c r="CW654" s="2026"/>
      <c r="CX654" s="2024">
        <f t="shared" si="37"/>
        <v>0</v>
      </c>
      <c r="CY654" s="2025"/>
      <c r="CZ654" s="2025"/>
      <c r="DA654" s="2025"/>
      <c r="DB654" s="2026"/>
      <c r="DC654" s="2024">
        <f t="shared" si="38"/>
        <v>0</v>
      </c>
      <c r="DD654" s="2025"/>
      <c r="DE654" s="2025"/>
      <c r="DF654" s="2025"/>
      <c r="DG654" s="2026"/>
      <c r="DH654" s="2024">
        <f t="shared" si="39"/>
        <v>0</v>
      </c>
      <c r="DI654" s="2025"/>
      <c r="DJ654" s="2025"/>
      <c r="DK654" s="2025"/>
      <c r="DL654" s="2026"/>
      <c r="DM654" s="2024">
        <f t="shared" si="40"/>
        <v>0</v>
      </c>
      <c r="DN654" s="2025"/>
      <c r="DO654" s="2025"/>
      <c r="DP654" s="2025"/>
      <c r="DQ654" s="2026"/>
      <c r="DR654" s="2024">
        <f t="shared" si="41"/>
        <v>0</v>
      </c>
      <c r="DS654" s="2025"/>
      <c r="DT654" s="2025"/>
      <c r="DU654" s="2025"/>
      <c r="DV654" s="2026"/>
      <c r="DX654" s="2570" t="e">
        <f t="shared" si="24"/>
        <v>#VALUE!</v>
      </c>
      <c r="DY654" s="2570"/>
      <c r="DZ654" s="2570"/>
      <c r="EA654" s="2570"/>
      <c r="EB654" s="2570"/>
      <c r="EC654" s="2570" t="e">
        <f t="shared" si="25"/>
        <v>#VALUE!</v>
      </c>
      <c r="ED654" s="2570"/>
      <c r="EE654" s="2570"/>
      <c r="EF654" s="2570"/>
      <c r="EG654" s="2570"/>
      <c r="EH654" s="2570" t="e">
        <f t="shared" si="26"/>
        <v>#VALUE!</v>
      </c>
      <c r="EI654" s="2570"/>
      <c r="EJ654" s="2570"/>
      <c r="EK654" s="2570"/>
      <c r="EL654" s="2570"/>
      <c r="EM654" s="2570" t="e">
        <f t="shared" si="27"/>
        <v>#VALUE!</v>
      </c>
      <c r="EN654" s="2570"/>
      <c r="EO654" s="2570"/>
      <c r="EP654" s="2570"/>
      <c r="EQ654" s="2570"/>
      <c r="ER654" s="2570" t="e">
        <f t="shared" si="28"/>
        <v>#VALUE!</v>
      </c>
      <c r="ES654" s="2570"/>
      <c r="ET654" s="2570"/>
      <c r="EU654" s="2570"/>
      <c r="EV654" s="2570"/>
      <c r="EW654" s="2570" t="e">
        <f t="shared" si="29"/>
        <v>#VALUE!</v>
      </c>
      <c r="EX654" s="2570"/>
      <c r="EY654" s="2570"/>
      <c r="EZ654" s="2570"/>
      <c r="FA654" s="2570"/>
    </row>
    <row r="655" spans="1:157" ht="12.75">
      <c r="A655" s="35"/>
      <c r="B655" s="12" t="s">
        <v>615</v>
      </c>
      <c r="G655" s="2050" t="s">
        <v>2643</v>
      </c>
      <c r="H655" s="2050"/>
      <c r="I655" s="2050"/>
      <c r="J655" s="2050"/>
      <c r="K655" s="2050"/>
      <c r="L655" s="2050"/>
      <c r="M655" s="2050"/>
      <c r="N655" s="2050"/>
      <c r="O655" s="2050"/>
      <c r="P655" s="2050"/>
      <c r="Q655" s="2050"/>
      <c r="R655" s="2050"/>
      <c r="S655" s="88"/>
      <c r="T655" s="35"/>
      <c r="U655" s="12" t="s">
        <v>615</v>
      </c>
      <c r="Z655" s="2053" t="s">
        <v>71</v>
      </c>
      <c r="AA655" s="2053"/>
      <c r="AB655" s="2053"/>
      <c r="AC655" s="2053"/>
      <c r="AD655" s="2053"/>
      <c r="AE655" s="2053"/>
      <c r="AF655" s="2053"/>
      <c r="AG655" s="2053"/>
      <c r="AH655" s="2053"/>
      <c r="AI655" s="2053"/>
      <c r="AJ655" s="2053"/>
      <c r="AK655" s="2053"/>
      <c r="AZ655" s="61"/>
      <c r="BA655" s="61"/>
      <c r="BB655" s="61"/>
      <c r="BC655" s="61"/>
      <c r="BD655" s="61"/>
      <c r="BE655" s="61"/>
      <c r="BF655" s="61"/>
      <c r="BG655" s="61"/>
      <c r="BH655" s="61"/>
      <c r="BI655" s="61"/>
      <c r="BJ655" s="61"/>
      <c r="BK655" s="61"/>
      <c r="BL655" s="61"/>
      <c r="BM655" s="61"/>
      <c r="BN655" s="2024">
        <f t="shared" si="30"/>
        <v>0</v>
      </c>
      <c r="BO655" s="2025"/>
      <c r="BP655" s="2025"/>
      <c r="BQ655" s="2025"/>
      <c r="BR655" s="2026"/>
      <c r="BS655" s="2023">
        <f t="shared" si="31"/>
        <v>0</v>
      </c>
      <c r="BT655" s="2023"/>
      <c r="BU655" s="2023"/>
      <c r="BV655" s="2023"/>
      <c r="BW655" s="2023"/>
      <c r="BX655" s="2023">
        <f t="shared" si="32"/>
        <v>0</v>
      </c>
      <c r="BY655" s="2023"/>
      <c r="BZ655" s="2023"/>
      <c r="CA655" s="2023"/>
      <c r="CB655" s="2023"/>
      <c r="CC655" s="2023">
        <f t="shared" si="33"/>
        <v>0</v>
      </c>
      <c r="CD655" s="2023"/>
      <c r="CE655" s="2023"/>
      <c r="CF655" s="2023"/>
      <c r="CG655" s="2023"/>
      <c r="CH655" s="2023">
        <f t="shared" si="34"/>
        <v>0</v>
      </c>
      <c r="CI655" s="2023"/>
      <c r="CJ655" s="2023"/>
      <c r="CK655" s="2023"/>
      <c r="CL655" s="2023"/>
      <c r="CM655" s="2023">
        <f t="shared" si="35"/>
        <v>0</v>
      </c>
      <c r="CN655" s="2023"/>
      <c r="CO655" s="2023"/>
      <c r="CP655" s="2023"/>
      <c r="CQ655" s="2023"/>
      <c r="CR655" s="265"/>
      <c r="CS655" s="2024">
        <f t="shared" si="36"/>
        <v>0</v>
      </c>
      <c r="CT655" s="2025"/>
      <c r="CU655" s="2025"/>
      <c r="CV655" s="2025"/>
      <c r="CW655" s="2026"/>
      <c r="CX655" s="2024">
        <f t="shared" si="37"/>
        <v>0</v>
      </c>
      <c r="CY655" s="2025"/>
      <c r="CZ655" s="2025"/>
      <c r="DA655" s="2025"/>
      <c r="DB655" s="2026"/>
      <c r="DC655" s="2024">
        <f t="shared" si="38"/>
        <v>0</v>
      </c>
      <c r="DD655" s="2025"/>
      <c r="DE655" s="2025"/>
      <c r="DF655" s="2025"/>
      <c r="DG655" s="2026"/>
      <c r="DH655" s="2024">
        <f t="shared" si="39"/>
        <v>0</v>
      </c>
      <c r="DI655" s="2025"/>
      <c r="DJ655" s="2025"/>
      <c r="DK655" s="2025"/>
      <c r="DL655" s="2026"/>
      <c r="DM655" s="2024">
        <f t="shared" si="40"/>
        <v>0</v>
      </c>
      <c r="DN655" s="2025"/>
      <c r="DO655" s="2025"/>
      <c r="DP655" s="2025"/>
      <c r="DQ655" s="2026"/>
      <c r="DR655" s="2024">
        <f t="shared" si="41"/>
        <v>0</v>
      </c>
      <c r="DS655" s="2025"/>
      <c r="DT655" s="2025"/>
      <c r="DU655" s="2025"/>
      <c r="DV655" s="2026"/>
      <c r="DX655" s="2570" t="e">
        <f t="shared" si="24"/>
        <v>#VALUE!</v>
      </c>
      <c r="DY655" s="2570"/>
      <c r="DZ655" s="2570"/>
      <c r="EA655" s="2570"/>
      <c r="EB655" s="2570"/>
      <c r="EC655" s="2570" t="e">
        <f t="shared" si="25"/>
        <v>#VALUE!</v>
      </c>
      <c r="ED655" s="2570"/>
      <c r="EE655" s="2570"/>
      <c r="EF655" s="2570"/>
      <c r="EG655" s="2570"/>
      <c r="EH655" s="2570" t="e">
        <f t="shared" si="26"/>
        <v>#VALUE!</v>
      </c>
      <c r="EI655" s="2570"/>
      <c r="EJ655" s="2570"/>
      <c r="EK655" s="2570"/>
      <c r="EL655" s="2570"/>
      <c r="EM655" s="2570" t="e">
        <f t="shared" si="27"/>
        <v>#VALUE!</v>
      </c>
      <c r="EN655" s="2570"/>
      <c r="EO655" s="2570"/>
      <c r="EP655" s="2570"/>
      <c r="EQ655" s="2570"/>
      <c r="ER655" s="2570" t="e">
        <f t="shared" si="28"/>
        <v>#VALUE!</v>
      </c>
      <c r="ES655" s="2570"/>
      <c r="ET655" s="2570"/>
      <c r="EU655" s="2570"/>
      <c r="EV655" s="2570"/>
      <c r="EW655" s="2570" t="e">
        <f t="shared" si="29"/>
        <v>#VALUE!</v>
      </c>
      <c r="EX655" s="2570"/>
      <c r="EY655" s="2570"/>
      <c r="EZ655" s="2570"/>
      <c r="FA655" s="2570"/>
    </row>
    <row r="656" spans="1:157" ht="12.75">
      <c r="A656" s="35"/>
      <c r="B656" s="12" t="s">
        <v>17</v>
      </c>
      <c r="G656" s="2051" t="s">
        <v>2661</v>
      </c>
      <c r="H656" s="2050"/>
      <c r="I656" s="2050"/>
      <c r="J656" s="2050"/>
      <c r="K656" s="2050"/>
      <c r="L656" s="2050"/>
      <c r="M656" s="2050"/>
      <c r="N656" s="2050"/>
      <c r="O656" s="2050"/>
      <c r="P656" s="2050"/>
      <c r="Q656" s="2050"/>
      <c r="R656" s="2050"/>
      <c r="S656" s="14"/>
      <c r="T656" s="35"/>
      <c r="U656" s="12" t="s">
        <v>17</v>
      </c>
      <c r="Z656" s="2053" t="s">
        <v>2648</v>
      </c>
      <c r="AA656" s="2053"/>
      <c r="AB656" s="2053"/>
      <c r="AC656" s="2053"/>
      <c r="AD656" s="2053"/>
      <c r="AE656" s="2053"/>
      <c r="AF656" s="2053"/>
      <c r="AG656" s="2053"/>
      <c r="AH656" s="2053"/>
      <c r="AI656" s="2053"/>
      <c r="AJ656" s="2053"/>
      <c r="AK656" s="2053"/>
      <c r="AZ656" s="61"/>
      <c r="BA656" s="61"/>
      <c r="BB656" s="61"/>
      <c r="BC656" s="61"/>
      <c r="BD656" s="61"/>
      <c r="BE656" s="61"/>
      <c r="BF656" s="61"/>
      <c r="BG656" s="61"/>
      <c r="BH656" s="61"/>
      <c r="BI656" s="61"/>
      <c r="BJ656" s="61"/>
      <c r="BK656" s="61"/>
      <c r="BL656" s="61"/>
      <c r="BM656" s="61"/>
      <c r="BN656" s="2024">
        <f t="shared" si="30"/>
        <v>0</v>
      </c>
      <c r="BO656" s="2025"/>
      <c r="BP656" s="2025"/>
      <c r="BQ656" s="2025"/>
      <c r="BR656" s="2026"/>
      <c r="BS656" s="2023">
        <f t="shared" si="31"/>
        <v>0</v>
      </c>
      <c r="BT656" s="2023"/>
      <c r="BU656" s="2023"/>
      <c r="BV656" s="2023"/>
      <c r="BW656" s="2023"/>
      <c r="BX656" s="2023">
        <f t="shared" si="32"/>
        <v>0</v>
      </c>
      <c r="BY656" s="2023"/>
      <c r="BZ656" s="2023"/>
      <c r="CA656" s="2023"/>
      <c r="CB656" s="2023"/>
      <c r="CC656" s="2023">
        <f t="shared" si="33"/>
        <v>0</v>
      </c>
      <c r="CD656" s="2023"/>
      <c r="CE656" s="2023"/>
      <c r="CF656" s="2023"/>
      <c r="CG656" s="2023"/>
      <c r="CH656" s="2023">
        <f t="shared" si="34"/>
        <v>0</v>
      </c>
      <c r="CI656" s="2023"/>
      <c r="CJ656" s="2023"/>
      <c r="CK656" s="2023"/>
      <c r="CL656" s="2023"/>
      <c r="CM656" s="2023">
        <f t="shared" si="35"/>
        <v>0</v>
      </c>
      <c r="CN656" s="2023"/>
      <c r="CO656" s="2023"/>
      <c r="CP656" s="2023"/>
      <c r="CQ656" s="2023"/>
      <c r="CR656" s="265"/>
      <c r="CS656" s="2024">
        <f t="shared" si="36"/>
        <v>0</v>
      </c>
      <c r="CT656" s="2025"/>
      <c r="CU656" s="2025"/>
      <c r="CV656" s="2025"/>
      <c r="CW656" s="2026"/>
      <c r="CX656" s="2024">
        <f t="shared" si="37"/>
        <v>0</v>
      </c>
      <c r="CY656" s="2025"/>
      <c r="CZ656" s="2025"/>
      <c r="DA656" s="2025"/>
      <c r="DB656" s="2026"/>
      <c r="DC656" s="2024">
        <f t="shared" si="38"/>
        <v>0</v>
      </c>
      <c r="DD656" s="2025"/>
      <c r="DE656" s="2025"/>
      <c r="DF656" s="2025"/>
      <c r="DG656" s="2026"/>
      <c r="DH656" s="2024">
        <f t="shared" si="39"/>
        <v>0</v>
      </c>
      <c r="DI656" s="2025"/>
      <c r="DJ656" s="2025"/>
      <c r="DK656" s="2025"/>
      <c r="DL656" s="2026"/>
      <c r="DM656" s="2024">
        <f t="shared" si="40"/>
        <v>0</v>
      </c>
      <c r="DN656" s="2025"/>
      <c r="DO656" s="2025"/>
      <c r="DP656" s="2025"/>
      <c r="DQ656" s="2026"/>
      <c r="DR656" s="2024">
        <f t="shared" si="41"/>
        <v>0</v>
      </c>
      <c r="DS656" s="2025"/>
      <c r="DT656" s="2025"/>
      <c r="DU656" s="2025"/>
      <c r="DV656" s="2026"/>
      <c r="DX656" s="2570" t="e">
        <f t="shared" si="24"/>
        <v>#VALUE!</v>
      </c>
      <c r="DY656" s="2570"/>
      <c r="DZ656" s="2570"/>
      <c r="EA656" s="2570"/>
      <c r="EB656" s="2570"/>
      <c r="EC656" s="2570" t="e">
        <f t="shared" si="25"/>
        <v>#VALUE!</v>
      </c>
      <c r="ED656" s="2570"/>
      <c r="EE656" s="2570"/>
      <c r="EF656" s="2570"/>
      <c r="EG656" s="2570"/>
      <c r="EH656" s="2570" t="e">
        <f t="shared" si="26"/>
        <v>#VALUE!</v>
      </c>
      <c r="EI656" s="2570"/>
      <c r="EJ656" s="2570"/>
      <c r="EK656" s="2570"/>
      <c r="EL656" s="2570"/>
      <c r="EM656" s="2570" t="e">
        <f t="shared" si="27"/>
        <v>#VALUE!</v>
      </c>
      <c r="EN656" s="2570"/>
      <c r="EO656" s="2570"/>
      <c r="EP656" s="2570"/>
      <c r="EQ656" s="2570"/>
      <c r="ER656" s="2570" t="e">
        <f t="shared" si="28"/>
        <v>#VALUE!</v>
      </c>
      <c r="ES656" s="2570"/>
      <c r="ET656" s="2570"/>
      <c r="EU656" s="2570"/>
      <c r="EV656" s="2570"/>
      <c r="EW656" s="2570" t="e">
        <f t="shared" si="29"/>
        <v>#VALUE!</v>
      </c>
      <c r="EX656" s="2570"/>
      <c r="EY656" s="2570"/>
      <c r="EZ656" s="2570"/>
      <c r="FA656" s="2570"/>
    </row>
    <row r="657" spans="1:157" ht="12.75">
      <c r="A657" s="35"/>
      <c r="B657" s="12" t="s">
        <v>325</v>
      </c>
      <c r="G657" s="2190" t="s">
        <v>2644</v>
      </c>
      <c r="H657" s="2075"/>
      <c r="I657" s="2075"/>
      <c r="J657" s="2075"/>
      <c r="K657" s="2075"/>
      <c r="L657" s="2075"/>
      <c r="O657" s="137" t="s">
        <v>212</v>
      </c>
      <c r="P657" s="2041"/>
      <c r="Q657" s="2041"/>
      <c r="R657" s="2041"/>
      <c r="S657" s="16"/>
      <c r="T657" s="35"/>
      <c r="U657" s="12" t="s">
        <v>325</v>
      </c>
      <c r="Z657" s="2190" t="s">
        <v>2649</v>
      </c>
      <c r="AA657" s="2075"/>
      <c r="AB657" s="2075"/>
      <c r="AC657" s="2075"/>
      <c r="AD657" s="2075"/>
      <c r="AE657" s="2075"/>
      <c r="AH657" s="137" t="s">
        <v>212</v>
      </c>
      <c r="AI657" s="2041"/>
      <c r="AJ657" s="2041"/>
      <c r="AK657" s="2041"/>
      <c r="AZ657" s="61"/>
      <c r="BA657" s="61"/>
      <c r="BB657" s="61"/>
      <c r="BC657" s="61"/>
      <c r="BD657" s="61"/>
      <c r="BE657" s="61"/>
      <c r="BF657" s="61"/>
      <c r="BG657" s="61"/>
      <c r="BH657" s="61"/>
      <c r="BI657" s="61"/>
      <c r="BJ657" s="61"/>
      <c r="BK657" s="61"/>
      <c r="BL657" s="61"/>
      <c r="BM657" s="61"/>
      <c r="BN657" s="2024">
        <f t="shared" si="30"/>
        <v>0</v>
      </c>
      <c r="BO657" s="2025"/>
      <c r="BP657" s="2025"/>
      <c r="BQ657" s="2025"/>
      <c r="BR657" s="2026"/>
      <c r="BS657" s="2023">
        <f t="shared" si="31"/>
        <v>0</v>
      </c>
      <c r="BT657" s="2023"/>
      <c r="BU657" s="2023"/>
      <c r="BV657" s="2023"/>
      <c r="BW657" s="2023"/>
      <c r="BX657" s="2023">
        <f t="shared" si="32"/>
        <v>0</v>
      </c>
      <c r="BY657" s="2023"/>
      <c r="BZ657" s="2023"/>
      <c r="CA657" s="2023"/>
      <c r="CB657" s="2023"/>
      <c r="CC657" s="2023">
        <f t="shared" si="33"/>
        <v>0</v>
      </c>
      <c r="CD657" s="2023"/>
      <c r="CE657" s="2023"/>
      <c r="CF657" s="2023"/>
      <c r="CG657" s="2023"/>
      <c r="CH657" s="2023">
        <f t="shared" si="34"/>
        <v>0</v>
      </c>
      <c r="CI657" s="2023"/>
      <c r="CJ657" s="2023"/>
      <c r="CK657" s="2023"/>
      <c r="CL657" s="2023"/>
      <c r="CM657" s="2023">
        <f t="shared" si="35"/>
        <v>0</v>
      </c>
      <c r="CN657" s="2023"/>
      <c r="CO657" s="2023"/>
      <c r="CP657" s="2023"/>
      <c r="CQ657" s="2023"/>
      <c r="CR657" s="265"/>
      <c r="CS657" s="2024">
        <f t="shared" si="36"/>
        <v>0</v>
      </c>
      <c r="CT657" s="2025"/>
      <c r="CU657" s="2025"/>
      <c r="CV657" s="2025"/>
      <c r="CW657" s="2026"/>
      <c r="CX657" s="2024">
        <f t="shared" si="37"/>
        <v>0</v>
      </c>
      <c r="CY657" s="2025"/>
      <c r="CZ657" s="2025"/>
      <c r="DA657" s="2025"/>
      <c r="DB657" s="2026"/>
      <c r="DC657" s="2024">
        <f t="shared" si="38"/>
        <v>0</v>
      </c>
      <c r="DD657" s="2025"/>
      <c r="DE657" s="2025"/>
      <c r="DF657" s="2025"/>
      <c r="DG657" s="2026"/>
      <c r="DH657" s="2024">
        <f t="shared" si="39"/>
        <v>0</v>
      </c>
      <c r="DI657" s="2025"/>
      <c r="DJ657" s="2025"/>
      <c r="DK657" s="2025"/>
      <c r="DL657" s="2026"/>
      <c r="DM657" s="2024">
        <f t="shared" si="40"/>
        <v>0</v>
      </c>
      <c r="DN657" s="2025"/>
      <c r="DO657" s="2025"/>
      <c r="DP657" s="2025"/>
      <c r="DQ657" s="2026"/>
      <c r="DR657" s="2024">
        <f t="shared" si="41"/>
        <v>0</v>
      </c>
      <c r="DS657" s="2025"/>
      <c r="DT657" s="2025"/>
      <c r="DU657" s="2025"/>
      <c r="DV657" s="2026"/>
      <c r="DX657" s="2570" t="e">
        <f t="shared" si="24"/>
        <v>#VALUE!</v>
      </c>
      <c r="DY657" s="2570"/>
      <c r="DZ657" s="2570"/>
      <c r="EA657" s="2570"/>
      <c r="EB657" s="2570"/>
      <c r="EC657" s="2570" t="e">
        <f t="shared" si="25"/>
        <v>#VALUE!</v>
      </c>
      <c r="ED657" s="2570"/>
      <c r="EE657" s="2570"/>
      <c r="EF657" s="2570"/>
      <c r="EG657" s="2570"/>
      <c r="EH657" s="2570" t="e">
        <f t="shared" si="26"/>
        <v>#VALUE!</v>
      </c>
      <c r="EI657" s="2570"/>
      <c r="EJ657" s="2570"/>
      <c r="EK657" s="2570"/>
      <c r="EL657" s="2570"/>
      <c r="EM657" s="2570" t="e">
        <f t="shared" si="27"/>
        <v>#VALUE!</v>
      </c>
      <c r="EN657" s="2570"/>
      <c r="EO657" s="2570"/>
      <c r="EP657" s="2570"/>
      <c r="EQ657" s="2570"/>
      <c r="ER657" s="2570" t="e">
        <f t="shared" si="28"/>
        <v>#VALUE!</v>
      </c>
      <c r="ES657" s="2570"/>
      <c r="ET657" s="2570"/>
      <c r="EU657" s="2570"/>
      <c r="EV657" s="2570"/>
      <c r="EW657" s="2570" t="e">
        <f t="shared" si="29"/>
        <v>#VALUE!</v>
      </c>
      <c r="EX657" s="2570"/>
      <c r="EY657" s="2570"/>
      <c r="EZ657" s="2570"/>
      <c r="FA657" s="2570"/>
    </row>
    <row r="658" spans="1:157" ht="12.75">
      <c r="A658" s="35"/>
      <c r="B658" s="12" t="s">
        <v>18</v>
      </c>
      <c r="H658" s="2050" t="s">
        <v>2654</v>
      </c>
      <c r="I658" s="2050"/>
      <c r="J658" s="2050"/>
      <c r="K658" s="2050"/>
      <c r="L658" s="2050"/>
      <c r="M658" s="2050"/>
      <c r="N658" s="2050"/>
      <c r="O658" s="2050"/>
      <c r="P658" s="2050"/>
      <c r="Q658" s="2050"/>
      <c r="R658" s="2050"/>
      <c r="S658" s="14"/>
      <c r="T658" s="35"/>
      <c r="U658" s="12" t="s">
        <v>18</v>
      </c>
      <c r="AA658" s="2050" t="s">
        <v>2650</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027">
        <f>SUM(BN648:BR657)</f>
        <v>0</v>
      </c>
      <c r="BO658" s="2028"/>
      <c r="BP658" s="2028"/>
      <c r="BQ658" s="2028"/>
      <c r="BR658" s="2029"/>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4"/>
      <c r="CS658" s="2577">
        <f>SUM(CS648:CW657)</f>
        <v>0</v>
      </c>
      <c r="CT658" s="2577"/>
      <c r="CU658" s="2577"/>
      <c r="CV658" s="2577"/>
      <c r="CW658" s="2577"/>
      <c r="CX658" s="2577">
        <f>SUM(CX648:DB657)</f>
        <v>0</v>
      </c>
      <c r="CY658" s="2577"/>
      <c r="CZ658" s="2577"/>
      <c r="DA658" s="2577"/>
      <c r="DB658" s="2577"/>
      <c r="DC658" s="2577">
        <f>SUM(DC648:DG657)</f>
        <v>0</v>
      </c>
      <c r="DD658" s="2577"/>
      <c r="DE658" s="2577"/>
      <c r="DF658" s="2577"/>
      <c r="DG658" s="2577"/>
      <c r="DH658" s="2577">
        <f>SUM(DH648:DL657)</f>
        <v>0</v>
      </c>
      <c r="DI658" s="2577"/>
      <c r="DJ658" s="2577"/>
      <c r="DK658" s="2577"/>
      <c r="DL658" s="2577"/>
      <c r="DM658" s="2577">
        <f>SUM(DM648:DQ657)</f>
        <v>0</v>
      </c>
      <c r="DN658" s="2577"/>
      <c r="DO658" s="2577"/>
      <c r="DP658" s="2577"/>
      <c r="DQ658" s="2577"/>
      <c r="DR658" s="2577">
        <f>SUM(DR648:DV657)</f>
        <v>0</v>
      </c>
      <c r="DS658" s="2577"/>
      <c r="DT658" s="2577"/>
      <c r="DU658" s="2577"/>
      <c r="DV658" s="2577"/>
      <c r="DX658" s="2570" t="e">
        <f t="shared" si="24"/>
        <v>#VALUE!</v>
      </c>
      <c r="DY658" s="2570"/>
      <c r="DZ658" s="2570"/>
      <c r="EA658" s="2570"/>
      <c r="EB658" s="2570"/>
      <c r="EC658" s="2570" t="e">
        <f t="shared" si="25"/>
        <v>#VALUE!</v>
      </c>
      <c r="ED658" s="2570"/>
      <c r="EE658" s="2570"/>
      <c r="EF658" s="2570"/>
      <c r="EG658" s="2570"/>
      <c r="EH658" s="2570" t="e">
        <f t="shared" si="26"/>
        <v>#VALUE!</v>
      </c>
      <c r="EI658" s="2570"/>
      <c r="EJ658" s="2570"/>
      <c r="EK658" s="2570"/>
      <c r="EL658" s="2570"/>
      <c r="EM658" s="2570" t="e">
        <f t="shared" si="27"/>
        <v>#VALUE!</v>
      </c>
      <c r="EN658" s="2570"/>
      <c r="EO658" s="2570"/>
      <c r="EP658" s="2570"/>
      <c r="EQ658" s="2570"/>
      <c r="ER658" s="2570" t="e">
        <f t="shared" si="28"/>
        <v>#VALUE!</v>
      </c>
      <c r="ES658" s="2570"/>
      <c r="ET658" s="2570"/>
      <c r="EU658" s="2570"/>
      <c r="EV658" s="2570"/>
      <c r="EW658" s="2570" t="e">
        <f t="shared" si="29"/>
        <v>#VALUE!</v>
      </c>
      <c r="EX658" s="2570"/>
      <c r="EY658" s="2570"/>
      <c r="EZ658" s="2570"/>
      <c r="FA658" s="2570"/>
    </row>
    <row r="659" spans="1:157" ht="12.75">
      <c r="A659" s="35"/>
      <c r="B659" s="12" t="s">
        <v>20</v>
      </c>
      <c r="N659" s="2049" t="s">
        <v>578</v>
      </c>
      <c r="O659" s="2049"/>
      <c r="T659" s="35"/>
      <c r="U659" s="12" t="s">
        <v>20</v>
      </c>
      <c r="AG659" s="2049" t="s">
        <v>578</v>
      </c>
      <c r="AH659" s="2049"/>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0" t="e">
        <f t="shared" si="24"/>
        <v>#VALUE!</v>
      </c>
      <c r="DY659" s="2570"/>
      <c r="DZ659" s="2570"/>
      <c r="EA659" s="2570"/>
      <c r="EB659" s="2570"/>
      <c r="EC659" s="2570" t="e">
        <f t="shared" si="25"/>
        <v>#VALUE!</v>
      </c>
      <c r="ED659" s="2570"/>
      <c r="EE659" s="2570"/>
      <c r="EF659" s="2570"/>
      <c r="EG659" s="2570"/>
      <c r="EH659" s="2570" t="e">
        <f t="shared" si="26"/>
        <v>#VALUE!</v>
      </c>
      <c r="EI659" s="2570"/>
      <c r="EJ659" s="2570"/>
      <c r="EK659" s="2570"/>
      <c r="EL659" s="2570"/>
      <c r="EM659" s="2570" t="e">
        <f t="shared" si="27"/>
        <v>#VALUE!</v>
      </c>
      <c r="EN659" s="2570"/>
      <c r="EO659" s="2570"/>
      <c r="EP659" s="2570"/>
      <c r="EQ659" s="2570"/>
      <c r="ER659" s="2570" t="e">
        <f t="shared" si="28"/>
        <v>#VALUE!</v>
      </c>
      <c r="ES659" s="2570"/>
      <c r="ET659" s="2570"/>
      <c r="EU659" s="2570"/>
      <c r="EV659" s="2570"/>
      <c r="EW659" s="2570" t="e">
        <f t="shared" si="29"/>
        <v>#VALUE!</v>
      </c>
      <c r="EX659" s="2570"/>
      <c r="EY659" s="2570"/>
      <c r="EZ659" s="2570"/>
      <c r="FA659" s="2570"/>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70">
        <f>SUM(CS658:DV658)</f>
        <v>0</v>
      </c>
      <c r="DS660" s="2570"/>
      <c r="DT660" s="2570"/>
      <c r="DU660" s="2570"/>
      <c r="DV660" s="2570"/>
      <c r="DX660" s="2570" t="e">
        <f t="shared" si="24"/>
        <v>#VALUE!</v>
      </c>
      <c r="DY660" s="2570"/>
      <c r="DZ660" s="2570"/>
      <c r="EA660" s="2570"/>
      <c r="EB660" s="2570"/>
      <c r="EC660" s="2570" t="e">
        <f t="shared" si="25"/>
        <v>#VALUE!</v>
      </c>
      <c r="ED660" s="2570"/>
      <c r="EE660" s="2570"/>
      <c r="EF660" s="2570"/>
      <c r="EG660" s="2570"/>
      <c r="EH660" s="2570" t="e">
        <f t="shared" si="26"/>
        <v>#VALUE!</v>
      </c>
      <c r="EI660" s="2570"/>
      <c r="EJ660" s="2570"/>
      <c r="EK660" s="2570"/>
      <c r="EL660" s="2570"/>
      <c r="EM660" s="2570" t="e">
        <f t="shared" si="27"/>
        <v>#VALUE!</v>
      </c>
      <c r="EN660" s="2570"/>
      <c r="EO660" s="2570"/>
      <c r="EP660" s="2570"/>
      <c r="EQ660" s="2570"/>
      <c r="ER660" s="2570" t="e">
        <f t="shared" si="28"/>
        <v>#VALUE!</v>
      </c>
      <c r="ES660" s="2570"/>
      <c r="ET660" s="2570"/>
      <c r="EU660" s="2570"/>
      <c r="EV660" s="2570"/>
      <c r="EW660" s="2570" t="e">
        <f t="shared" si="29"/>
        <v>#VALUE!</v>
      </c>
      <c r="EX660" s="2570"/>
      <c r="EY660" s="2570"/>
      <c r="EZ660" s="2570"/>
      <c r="FA660" s="2570"/>
    </row>
    <row r="661" spans="1:157" ht="12.75">
      <c r="A661" s="87" t="s">
        <v>124</v>
      </c>
      <c r="B661" s="12" t="s">
        <v>496</v>
      </c>
      <c r="G661" s="2052" t="str">
        <f>C639</f>
        <v>Wong Center Inc. Loan</v>
      </c>
      <c r="H661" s="2052"/>
      <c r="I661" s="2052"/>
      <c r="J661" s="2052"/>
      <c r="K661" s="2052"/>
      <c r="L661" s="2052"/>
      <c r="M661" s="2052"/>
      <c r="N661" s="2052"/>
      <c r="O661" s="2052"/>
      <c r="P661" s="2052"/>
      <c r="Q661" s="2052"/>
      <c r="R661" s="2052"/>
      <c r="T661" s="87" t="s">
        <v>616</v>
      </c>
      <c r="U661" s="12" t="s">
        <v>496</v>
      </c>
      <c r="Z661" s="2052" t="str">
        <f>C640</f>
        <v>Impact Fee Waiver</v>
      </c>
      <c r="AA661" s="2052"/>
      <c r="AB661" s="2052"/>
      <c r="AC661" s="2052"/>
      <c r="AD661" s="2052"/>
      <c r="AE661" s="2052"/>
      <c r="AF661" s="2052"/>
      <c r="AG661" s="2052"/>
      <c r="AH661" s="2052"/>
      <c r="AI661" s="2052"/>
      <c r="AJ661" s="2052"/>
      <c r="AK661" s="2052"/>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70" t="e">
        <f t="shared" si="24"/>
        <v>#VALUE!</v>
      </c>
      <c r="DY661" s="2570"/>
      <c r="DZ661" s="2570"/>
      <c r="EA661" s="2570"/>
      <c r="EB661" s="2570"/>
      <c r="EC661" s="2570" t="e">
        <f t="shared" si="25"/>
        <v>#VALUE!</v>
      </c>
      <c r="ED661" s="2570"/>
      <c r="EE661" s="2570"/>
      <c r="EF661" s="2570"/>
      <c r="EG661" s="2570"/>
      <c r="EH661" s="2570" t="e">
        <f t="shared" si="26"/>
        <v>#VALUE!</v>
      </c>
      <c r="EI661" s="2570"/>
      <c r="EJ661" s="2570"/>
      <c r="EK661" s="2570"/>
      <c r="EL661" s="2570"/>
      <c r="EM661" s="2570" t="e">
        <f t="shared" si="27"/>
        <v>#VALUE!</v>
      </c>
      <c r="EN661" s="2570"/>
      <c r="EO661" s="2570"/>
      <c r="EP661" s="2570"/>
      <c r="EQ661" s="2570"/>
      <c r="ER661" s="2570" t="e">
        <f t="shared" si="28"/>
        <v>#VALUE!</v>
      </c>
      <c r="ES661" s="2570"/>
      <c r="ET661" s="2570"/>
      <c r="EU661" s="2570"/>
      <c r="EV661" s="2570"/>
      <c r="EW661" s="2570" t="e">
        <f t="shared" si="29"/>
        <v>#VALUE!</v>
      </c>
      <c r="EX661" s="2570"/>
      <c r="EY661" s="2570"/>
      <c r="EZ661" s="2570"/>
      <c r="FA661" s="2570"/>
    </row>
    <row r="662" spans="1:157" ht="12.75">
      <c r="A662" s="35"/>
      <c r="B662" s="12" t="s">
        <v>90</v>
      </c>
      <c r="G662" s="2050" t="s">
        <v>2539</v>
      </c>
      <c r="H662" s="2050"/>
      <c r="I662" s="2050"/>
      <c r="J662" s="2050"/>
      <c r="K662" s="2050"/>
      <c r="L662" s="2050"/>
      <c r="M662" s="2050"/>
      <c r="N662" s="2050"/>
      <c r="O662" s="2050"/>
      <c r="P662" s="2050"/>
      <c r="Q662" s="2050"/>
      <c r="R662" s="2050"/>
      <c r="T662" s="35"/>
      <c r="U662" s="12" t="s">
        <v>90</v>
      </c>
      <c r="Z662" s="2051" t="s">
        <v>2658</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0" t="e">
        <f t="shared" si="24"/>
        <v>#VALUE!</v>
      </c>
      <c r="DY662" s="2570"/>
      <c r="DZ662" s="2570"/>
      <c r="EA662" s="2570"/>
      <c r="EB662" s="2570"/>
      <c r="EC662" s="2570" t="e">
        <f t="shared" si="25"/>
        <v>#VALUE!</v>
      </c>
      <c r="ED662" s="2570"/>
      <c r="EE662" s="2570"/>
      <c r="EF662" s="2570"/>
      <c r="EG662" s="2570"/>
      <c r="EH662" s="2570" t="e">
        <f t="shared" si="26"/>
        <v>#VALUE!</v>
      </c>
      <c r="EI662" s="2570"/>
      <c r="EJ662" s="2570"/>
      <c r="EK662" s="2570"/>
      <c r="EL662" s="2570"/>
      <c r="EM662" s="2570" t="e">
        <f t="shared" si="27"/>
        <v>#VALUE!</v>
      </c>
      <c r="EN662" s="2570"/>
      <c r="EO662" s="2570"/>
      <c r="EP662" s="2570"/>
      <c r="EQ662" s="2570"/>
      <c r="ER662" s="2570" t="e">
        <f t="shared" si="28"/>
        <v>#VALUE!</v>
      </c>
      <c r="ES662" s="2570"/>
      <c r="ET662" s="2570"/>
      <c r="EU662" s="2570"/>
      <c r="EV662" s="2570"/>
      <c r="EW662" s="2570" t="e">
        <f t="shared" si="29"/>
        <v>#VALUE!</v>
      </c>
      <c r="EX662" s="2570"/>
      <c r="EY662" s="2570"/>
      <c r="EZ662" s="2570"/>
      <c r="FA662" s="2570"/>
    </row>
    <row r="663" spans="1:157" ht="12.75">
      <c r="A663" s="35"/>
      <c r="B663" s="12" t="s">
        <v>615</v>
      </c>
      <c r="G663" s="2053" t="s">
        <v>71</v>
      </c>
      <c r="H663" s="2053"/>
      <c r="I663" s="2053"/>
      <c r="J663" s="2053"/>
      <c r="K663" s="2053"/>
      <c r="L663" s="2053"/>
      <c r="M663" s="2053"/>
      <c r="N663" s="2053"/>
      <c r="O663" s="2053"/>
      <c r="P663" s="2053"/>
      <c r="Q663" s="2053"/>
      <c r="R663" s="2053"/>
      <c r="T663" s="35"/>
      <c r="U663" s="12" t="s">
        <v>615</v>
      </c>
      <c r="Z663" s="2174" t="s">
        <v>71</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135</v>
      </c>
      <c r="BT663" s="2021"/>
      <c r="BU663" s="2021"/>
      <c r="BV663" s="2021"/>
      <c r="BW663" s="2022"/>
      <c r="BX663" s="2020">
        <f>BX635+BX644+BX658</f>
        <v>15</v>
      </c>
      <c r="BY663" s="2021"/>
      <c r="BZ663" s="2021"/>
      <c r="CA663" s="2021"/>
      <c r="CB663" s="2022"/>
      <c r="CC663" s="2020">
        <f>CC635+CC644+CC658</f>
        <v>0</v>
      </c>
      <c r="CD663" s="2021"/>
      <c r="CE663" s="2021"/>
      <c r="CF663" s="2021"/>
      <c r="CG663" s="2022"/>
      <c r="CH663" s="2020">
        <f>CH635+CH644+CH658</f>
        <v>0</v>
      </c>
      <c r="CI663" s="2021"/>
      <c r="CJ663" s="2021"/>
      <c r="CK663" s="2021"/>
      <c r="CL663" s="2022"/>
      <c r="CM663" s="2030">
        <f>CM658+CM644+CM635</f>
        <v>0</v>
      </c>
      <c r="CN663" s="2188"/>
      <c r="CO663" s="2188"/>
      <c r="CP663" s="2188"/>
      <c r="CQ663" s="2031"/>
      <c r="CR663" s="177"/>
      <c r="CS663" s="1469">
        <f>CS637+CS661</f>
        <v>163</v>
      </c>
      <c r="CT663" s="134" t="s">
        <v>2389</v>
      </c>
      <c r="CU663" s="58"/>
      <c r="CV663" s="58"/>
      <c r="CW663" s="58"/>
      <c r="CX663" s="58"/>
      <c r="CY663" s="58"/>
      <c r="CZ663" s="58"/>
      <c r="DA663" s="58"/>
      <c r="DB663" s="58"/>
      <c r="DC663" s="58"/>
      <c r="DD663" s="58"/>
      <c r="DE663" s="58"/>
      <c r="DF663" s="58"/>
      <c r="DX663" s="2570">
        <f>SUMIF(DX638:EB662,"&gt;0")</f>
        <v>0</v>
      </c>
      <c r="DY663" s="2570"/>
      <c r="DZ663" s="2570"/>
      <c r="EA663" s="2570"/>
      <c r="EB663" s="2570"/>
      <c r="EC663" s="2570">
        <f>SUMIF(EC638:EG662,"&gt;0")</f>
        <v>786</v>
      </c>
      <c r="ED663" s="2570"/>
      <c r="EE663" s="2570"/>
      <c r="EF663" s="2570"/>
      <c r="EG663" s="2570"/>
      <c r="EH663" s="2570">
        <f>SUMIF(EH638:EL662,"&gt;0")</f>
        <v>939.99999999999989</v>
      </c>
      <c r="EI663" s="2570"/>
      <c r="EJ663" s="2570"/>
      <c r="EK663" s="2570"/>
      <c r="EL663" s="2570"/>
      <c r="EM663" s="2570">
        <f>SUMIF(EM638:EQ662,"&gt;0")</f>
        <v>0</v>
      </c>
      <c r="EN663" s="2570"/>
      <c r="EO663" s="2570"/>
      <c r="EP663" s="2570"/>
      <c r="EQ663" s="2570"/>
      <c r="ER663" s="2570">
        <f>SUMIF(ER638:EV662,"&gt;0")</f>
        <v>0</v>
      </c>
      <c r="ES663" s="2570"/>
      <c r="ET663" s="2570"/>
      <c r="EU663" s="2570"/>
      <c r="EV663" s="2570"/>
      <c r="EW663" s="2570">
        <f>SUMIF(EW638:FA662,"&gt;0")</f>
        <v>0</v>
      </c>
      <c r="EX663" s="2570"/>
      <c r="EY663" s="2570"/>
      <c r="EZ663" s="2570"/>
      <c r="FA663" s="2570"/>
    </row>
    <row r="664" spans="1:157" ht="12.75">
      <c r="A664" s="35"/>
      <c r="B664" s="12" t="s">
        <v>17</v>
      </c>
      <c r="G664" s="2053" t="s">
        <v>2540</v>
      </c>
      <c r="H664" s="2053"/>
      <c r="I664" s="2053"/>
      <c r="J664" s="2053"/>
      <c r="K664" s="2053"/>
      <c r="L664" s="2053"/>
      <c r="M664" s="2053"/>
      <c r="N664" s="2053"/>
      <c r="O664" s="2053"/>
      <c r="P664" s="2053"/>
      <c r="Q664" s="2053"/>
      <c r="R664" s="2053"/>
      <c r="T664" s="35"/>
      <c r="U664" s="12" t="s">
        <v>17</v>
      </c>
      <c r="Z664" s="1868" t="s">
        <v>2660</v>
      </c>
      <c r="AA664" s="1869"/>
      <c r="AB664" s="1869"/>
      <c r="AC664" s="1869"/>
      <c r="AD664" s="1869"/>
      <c r="AE664" s="1869"/>
      <c r="AF664" s="1869"/>
      <c r="AG664" s="1869"/>
      <c r="AH664" s="1869"/>
      <c r="AI664" s="1869"/>
      <c r="AJ664" s="1869"/>
      <c r="AK664" s="186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90" t="s">
        <v>2651</v>
      </c>
      <c r="H665" s="2075"/>
      <c r="I665" s="2075"/>
      <c r="J665" s="2075"/>
      <c r="K665" s="2075"/>
      <c r="L665" s="2075"/>
      <c r="O665" s="137" t="s">
        <v>212</v>
      </c>
      <c r="P665" s="2041"/>
      <c r="Q665" s="2041"/>
      <c r="R665" s="2041"/>
      <c r="T665" s="35"/>
      <c r="U665" s="12" t="s">
        <v>325</v>
      </c>
      <c r="Z665" s="2075" t="s">
        <v>2659</v>
      </c>
      <c r="AA665" s="2075"/>
      <c r="AB665" s="2075"/>
      <c r="AC665" s="2075"/>
      <c r="AD665" s="2075"/>
      <c r="AE665" s="2075"/>
      <c r="AH665" s="137" t="s">
        <v>212</v>
      </c>
      <c r="AI665" s="2041"/>
      <c r="AJ665" s="2041"/>
      <c r="AK665" s="204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2650</v>
      </c>
      <c r="I666" s="2050"/>
      <c r="J666" s="2050"/>
      <c r="K666" s="2050"/>
      <c r="L666" s="2050"/>
      <c r="M666" s="2050"/>
      <c r="N666" s="2050"/>
      <c r="O666" s="2050"/>
      <c r="P666" s="2050"/>
      <c r="Q666" s="2050"/>
      <c r="R666" s="2050"/>
      <c r="T666" s="35"/>
      <c r="U666" s="12" t="s">
        <v>18</v>
      </c>
      <c r="AA666" s="2051" t="s">
        <v>2626</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9" t="s">
        <v>578</v>
      </c>
      <c r="O667" s="2049"/>
      <c r="T667" s="35"/>
      <c r="U667" s="12" t="s">
        <v>20</v>
      </c>
      <c r="AG667" s="2049" t="s">
        <v>578</v>
      </c>
      <c r="AH667" s="204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52" t="str">
        <f>C641</f>
        <v>Downtown Railyard Venture, LLC Loan</v>
      </c>
      <c r="H669" s="2052"/>
      <c r="I669" s="2052"/>
      <c r="J669" s="2052"/>
      <c r="K669" s="2052"/>
      <c r="L669" s="2052"/>
      <c r="M669" s="2052"/>
      <c r="N669" s="2052"/>
      <c r="O669" s="2052"/>
      <c r="P669" s="2052"/>
      <c r="Q669" s="2052"/>
      <c r="R669" s="2052"/>
      <c r="T669" s="87" t="s">
        <v>619</v>
      </c>
      <c r="U669" s="12" t="s">
        <v>496</v>
      </c>
      <c r="Z669" s="2052" t="str">
        <f>C642</f>
        <v>Sponsor Loan - SMUD</v>
      </c>
      <c r="AA669" s="2052"/>
      <c r="AB669" s="2052"/>
      <c r="AC669" s="2052"/>
      <c r="AD669" s="2052"/>
      <c r="AE669" s="2052"/>
      <c r="AF669" s="2052"/>
      <c r="AG669" s="2052"/>
      <c r="AH669" s="2052"/>
      <c r="AI669" s="2052"/>
      <c r="AJ669" s="2052"/>
      <c r="AK669" s="205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0" t="s">
        <v>2599</v>
      </c>
      <c r="H670" s="2050"/>
      <c r="I670" s="2050"/>
      <c r="J670" s="2050"/>
      <c r="K670" s="2050"/>
      <c r="L670" s="2050"/>
      <c r="M670" s="2050"/>
      <c r="N670" s="2050"/>
      <c r="O670" s="2050"/>
      <c r="P670" s="2050"/>
      <c r="Q670" s="2050"/>
      <c r="R670" s="2050"/>
      <c r="T670" s="35"/>
      <c r="U670" s="12" t="s">
        <v>90</v>
      </c>
      <c r="Z670" s="2050" t="s">
        <v>2678</v>
      </c>
      <c r="AA670" s="2050"/>
      <c r="AB670" s="2050"/>
      <c r="AC670" s="2050"/>
      <c r="AD670" s="2050"/>
      <c r="AE670" s="2050"/>
      <c r="AF670" s="2050"/>
      <c r="AG670" s="2050"/>
      <c r="AH670" s="2050"/>
      <c r="AI670" s="2050"/>
      <c r="AJ670" s="2050"/>
      <c r="AK670" s="2050"/>
      <c r="AZ670" s="58"/>
      <c r="BA670" s="446">
        <f t="shared" ref="BA670:BA694" si="42">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3" t="s">
        <v>2675</v>
      </c>
      <c r="H671" s="2053"/>
      <c r="I671" s="2053"/>
      <c r="J671" s="2053"/>
      <c r="K671" s="2053"/>
      <c r="L671" s="2053"/>
      <c r="M671" s="2053"/>
      <c r="N671" s="2053"/>
      <c r="O671" s="2053"/>
      <c r="P671" s="2053"/>
      <c r="Q671" s="2053"/>
      <c r="R671" s="2053"/>
      <c r="T671" s="35"/>
      <c r="U671" s="12" t="s">
        <v>615</v>
      </c>
      <c r="Z671" s="2050" t="s">
        <v>71</v>
      </c>
      <c r="AA671" s="2050"/>
      <c r="AB671" s="2050"/>
      <c r="AC671" s="2050"/>
      <c r="AD671" s="2050"/>
      <c r="AE671" s="2050"/>
      <c r="AF671" s="2050"/>
      <c r="AG671" s="2050"/>
      <c r="AH671" s="2050"/>
      <c r="AI671" s="2050"/>
      <c r="AJ671" s="2050"/>
      <c r="AK671" s="2050"/>
      <c r="AZ671" s="58"/>
      <c r="BA671" s="446">
        <f t="shared" si="42"/>
        <v>2040</v>
      </c>
      <c r="BB671" s="58"/>
      <c r="BC671" s="58"/>
      <c r="BD671" s="58"/>
      <c r="BE671" s="58"/>
      <c r="BF671" s="382"/>
      <c r="BG671" s="456">
        <f t="shared" ref="BG671:BG695" si="43">G728</f>
        <v>27</v>
      </c>
      <c r="BH671" s="460">
        <f>BG671/$BG$696</f>
        <v>0.18120805369127516</v>
      </c>
      <c r="BI671" s="461">
        <f t="shared" ref="BI671:BI695" si="44">IF(BH671=0," ",BH671*AH728)</f>
        <v>7.2483221476510068E-2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t="s">
        <v>2592</v>
      </c>
      <c r="H672" s="2053"/>
      <c r="I672" s="2053"/>
      <c r="J672" s="2053"/>
      <c r="K672" s="2053"/>
      <c r="L672" s="2053"/>
      <c r="M672" s="2053"/>
      <c r="N672" s="2053"/>
      <c r="O672" s="2053"/>
      <c r="P672" s="2053"/>
      <c r="Q672" s="2053"/>
      <c r="R672" s="2053"/>
      <c r="T672" s="35"/>
      <c r="U672" s="12" t="s">
        <v>17</v>
      </c>
      <c r="Z672" s="2050" t="s">
        <v>2676</v>
      </c>
      <c r="AA672" s="2050"/>
      <c r="AB672" s="2050"/>
      <c r="AC672" s="2050"/>
      <c r="AD672" s="2050"/>
      <c r="AE672" s="2050"/>
      <c r="AF672" s="2050"/>
      <c r="AG672" s="2050"/>
      <c r="AH672" s="2050"/>
      <c r="AI672" s="2050"/>
      <c r="AJ672" s="2050"/>
      <c r="AK672" s="2050"/>
      <c r="AZ672" s="58"/>
      <c r="BA672" s="446">
        <f t="shared" si="42"/>
        <v>1700</v>
      </c>
      <c r="BB672" s="58"/>
      <c r="BC672" s="58"/>
      <c r="BD672" s="58"/>
      <c r="BE672" s="58"/>
      <c r="BF672" s="382"/>
      <c r="BG672" s="457">
        <f t="shared" si="43"/>
        <v>3</v>
      </c>
      <c r="BH672" s="460">
        <f t="shared" ref="BH672:BH695" si="45">BG672/$BG$696</f>
        <v>2.0134228187919462E-2</v>
      </c>
      <c r="BI672" s="461">
        <f t="shared" si="44"/>
        <v>8.0536912751677844E-3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90" t="s">
        <v>2680</v>
      </c>
      <c r="H673" s="2075"/>
      <c r="I673" s="2075"/>
      <c r="J673" s="2075"/>
      <c r="K673" s="2075"/>
      <c r="L673" s="2075"/>
      <c r="O673" s="137" t="s">
        <v>212</v>
      </c>
      <c r="P673" s="2041"/>
      <c r="Q673" s="2041"/>
      <c r="R673" s="2041"/>
      <c r="T673" s="35"/>
      <c r="U673" s="12" t="s">
        <v>325</v>
      </c>
      <c r="Z673" s="2190" t="s">
        <v>2677</v>
      </c>
      <c r="AA673" s="2075"/>
      <c r="AB673" s="2075"/>
      <c r="AC673" s="2075"/>
      <c r="AD673" s="2075"/>
      <c r="AE673" s="2075"/>
      <c r="AH673" s="137" t="s">
        <v>212</v>
      </c>
      <c r="AI673" s="2041"/>
      <c r="AJ673" s="2041"/>
      <c r="AK673" s="2041"/>
      <c r="AZ673" s="58"/>
      <c r="BA673" s="446">
        <f t="shared" si="42"/>
        <v>2040</v>
      </c>
      <c r="BB673" s="58"/>
      <c r="BC673" s="58"/>
      <c r="BD673" s="58"/>
      <c r="BE673" s="58"/>
      <c r="BF673" s="382"/>
      <c r="BG673" s="457">
        <f t="shared" si="43"/>
        <v>81</v>
      </c>
      <c r="BH673" s="460">
        <f t="shared" si="45"/>
        <v>0.5436241610738255</v>
      </c>
      <c r="BI673" s="461">
        <f t="shared" si="44"/>
        <v>0.27181208053691275</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1" t="s">
        <v>2650</v>
      </c>
      <c r="I674" s="2050"/>
      <c r="J674" s="2050"/>
      <c r="K674" s="2050"/>
      <c r="L674" s="2050"/>
      <c r="M674" s="2050"/>
      <c r="N674" s="2050"/>
      <c r="O674" s="2050"/>
      <c r="P674" s="2050"/>
      <c r="Q674" s="2050"/>
      <c r="R674" s="2050"/>
      <c r="T674" s="35"/>
      <c r="U674" s="12" t="s">
        <v>18</v>
      </c>
      <c r="AA674" s="2051" t="s">
        <v>2679</v>
      </c>
      <c r="AB674" s="2050"/>
      <c r="AC674" s="2050"/>
      <c r="AD674" s="2050"/>
      <c r="AE674" s="2050"/>
      <c r="AF674" s="2050"/>
      <c r="AG674" s="2050"/>
      <c r="AH674" s="2050"/>
      <c r="AI674" s="2050"/>
      <c r="AJ674" s="2050"/>
      <c r="AK674" s="2050"/>
      <c r="AZ674" s="58"/>
      <c r="BA674" s="446">
        <f t="shared" si="42"/>
        <v>1700</v>
      </c>
      <c r="BB674" s="58"/>
      <c r="BC674" s="58"/>
      <c r="BD674" s="58"/>
      <c r="BE674" s="58"/>
      <c r="BF674" s="382"/>
      <c r="BG674" s="457">
        <f t="shared" si="43"/>
        <v>8</v>
      </c>
      <c r="BH674" s="460">
        <f t="shared" si="45"/>
        <v>5.3691275167785234E-2</v>
      </c>
      <c r="BI674" s="461">
        <f t="shared" si="44"/>
        <v>2.6845637583892617E-2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9" t="s">
        <v>578</v>
      </c>
      <c r="O675" s="2049"/>
      <c r="T675" s="35"/>
      <c r="U675" s="12" t="s">
        <v>20</v>
      </c>
      <c r="AG675" s="2049" t="s">
        <v>578</v>
      </c>
      <c r="AH675" s="2049"/>
      <c r="AZ675" s="58"/>
      <c r="BA675" s="446">
        <f t="shared" si="42"/>
        <v>2040</v>
      </c>
      <c r="BB675" s="58"/>
      <c r="BC675" s="58"/>
      <c r="BD675" s="58"/>
      <c r="BE675" s="58"/>
      <c r="BF675" s="382"/>
      <c r="BG675" s="457">
        <f t="shared" si="43"/>
        <v>27</v>
      </c>
      <c r="BH675" s="460">
        <f t="shared" si="45"/>
        <v>0.18120805369127516</v>
      </c>
      <c r="BI675" s="461">
        <f t="shared" si="44"/>
        <v>0.10872483221476509</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2"/>
        <v>N/A</v>
      </c>
      <c r="BB676" s="58"/>
      <c r="BC676" s="58"/>
      <c r="BD676" s="58"/>
      <c r="BE676" s="58"/>
      <c r="BF676" s="382"/>
      <c r="BG676" s="457">
        <f t="shared" si="43"/>
        <v>3</v>
      </c>
      <c r="BH676" s="460">
        <f t="shared" si="45"/>
        <v>2.0134228187919462E-2</v>
      </c>
      <c r="BI676" s="461">
        <f t="shared" si="44"/>
        <v>1.2080536912751677E-2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52">
        <f>C643</f>
        <v>0</v>
      </c>
      <c r="H677" s="2052"/>
      <c r="I677" s="2052"/>
      <c r="J677" s="2052"/>
      <c r="K677" s="2052"/>
      <c r="L677" s="2052"/>
      <c r="M677" s="2052"/>
      <c r="N677" s="2052"/>
      <c r="O677" s="2052"/>
      <c r="P677" s="2052"/>
      <c r="Q677" s="2052"/>
      <c r="R677" s="2052"/>
      <c r="T677" s="87" t="s">
        <v>488</v>
      </c>
      <c r="U677" s="12" t="s">
        <v>496</v>
      </c>
      <c r="Z677" s="2052" t="str">
        <f>C644</f>
        <v>Donated Land</v>
      </c>
      <c r="AA677" s="2052"/>
      <c r="AB677" s="2052"/>
      <c r="AC677" s="2052"/>
      <c r="AD677" s="2052"/>
      <c r="AE677" s="2052"/>
      <c r="AF677" s="2052"/>
      <c r="AG677" s="2052"/>
      <c r="AH677" s="2052"/>
      <c r="AI677" s="2052"/>
      <c r="AJ677" s="2052"/>
      <c r="AK677" s="2052"/>
      <c r="AZ677" s="58"/>
      <c r="BA677" s="446" t="str">
        <f t="shared" si="42"/>
        <v>N/A</v>
      </c>
      <c r="BB677" s="58"/>
      <c r="BC677" s="58"/>
      <c r="BD677" s="58"/>
      <c r="BE677" s="58"/>
      <c r="BF677" s="382"/>
      <c r="BG677" s="457">
        <f t="shared" si="43"/>
        <v>0</v>
      </c>
      <c r="BH677" s="460">
        <f t="shared" si="45"/>
        <v>0</v>
      </c>
      <c r="BI677" s="461" t="str">
        <f t="shared" si="44"/>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c r="H678" s="2050"/>
      <c r="I678" s="2050"/>
      <c r="J678" s="2050"/>
      <c r="K678" s="2050"/>
      <c r="L678" s="2050"/>
      <c r="M678" s="2050"/>
      <c r="N678" s="2050"/>
      <c r="O678" s="2050"/>
      <c r="P678" s="2050"/>
      <c r="Q678" s="2050"/>
      <c r="R678" s="2050"/>
      <c r="T678" s="35"/>
      <c r="U678" s="12" t="s">
        <v>90</v>
      </c>
      <c r="Z678" s="2050" t="s">
        <v>2530</v>
      </c>
      <c r="AA678" s="2050"/>
      <c r="AB678" s="2050"/>
      <c r="AC678" s="2050"/>
      <c r="AD678" s="2050"/>
      <c r="AE678" s="2050"/>
      <c r="AF678" s="2050"/>
      <c r="AG678" s="2050"/>
      <c r="AH678" s="2050"/>
      <c r="AI678" s="2050"/>
      <c r="AJ678" s="2050"/>
      <c r="AK678" s="2050"/>
      <c r="AZ678" s="58"/>
      <c r="BA678" s="446" t="str">
        <f t="shared" si="42"/>
        <v>N/A</v>
      </c>
      <c r="BB678" s="58"/>
      <c r="BC678" s="58"/>
      <c r="BD678" s="58"/>
      <c r="BE678" s="58"/>
      <c r="BF678" s="382"/>
      <c r="BG678" s="457">
        <f t="shared" si="43"/>
        <v>0</v>
      </c>
      <c r="BH678" s="460">
        <f t="shared" si="45"/>
        <v>0</v>
      </c>
      <c r="BI678" s="461" t="str">
        <f t="shared" si="44"/>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0"/>
      <c r="H679" s="2050"/>
      <c r="I679" s="2050"/>
      <c r="J679" s="2050"/>
      <c r="K679" s="2050"/>
      <c r="L679" s="2050"/>
      <c r="M679" s="2050"/>
      <c r="N679" s="2050"/>
      <c r="O679" s="2050"/>
      <c r="P679" s="2050"/>
      <c r="Q679" s="2050"/>
      <c r="R679" s="2050"/>
      <c r="T679" s="35"/>
      <c r="U679" s="12" t="s">
        <v>615</v>
      </c>
      <c r="Z679" s="2050" t="s">
        <v>71</v>
      </c>
      <c r="AA679" s="2050"/>
      <c r="AB679" s="2050"/>
      <c r="AC679" s="2050"/>
      <c r="AD679" s="2050"/>
      <c r="AE679" s="2050"/>
      <c r="AF679" s="2050"/>
      <c r="AG679" s="2050"/>
      <c r="AH679" s="2050"/>
      <c r="AI679" s="2050"/>
      <c r="AJ679" s="2050"/>
      <c r="AK679" s="2050"/>
      <c r="AZ679" s="58"/>
      <c r="BA679" s="446" t="str">
        <f t="shared" si="42"/>
        <v>N/A</v>
      </c>
      <c r="BB679" s="58"/>
      <c r="BC679" s="58"/>
      <c r="BD679" s="58"/>
      <c r="BE679" s="58"/>
      <c r="BF679" s="382"/>
      <c r="BG679" s="457">
        <f t="shared" si="43"/>
        <v>0</v>
      </c>
      <c r="BH679" s="460">
        <f t="shared" si="45"/>
        <v>0</v>
      </c>
      <c r="BI679" s="461" t="str">
        <f t="shared" si="44"/>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c r="H680" s="2050"/>
      <c r="I680" s="2050"/>
      <c r="J680" s="2050"/>
      <c r="K680" s="2050"/>
      <c r="L680" s="2050"/>
      <c r="M680" s="2050"/>
      <c r="N680" s="2050"/>
      <c r="O680" s="2050"/>
      <c r="P680" s="2050"/>
      <c r="Q680" s="2050"/>
      <c r="R680" s="2050"/>
      <c r="T680" s="35"/>
      <c r="U680" s="12" t="s">
        <v>17</v>
      </c>
      <c r="Z680" s="2050" t="s">
        <v>2640</v>
      </c>
      <c r="AA680" s="2050"/>
      <c r="AB680" s="2050"/>
      <c r="AC680" s="2050"/>
      <c r="AD680" s="2050"/>
      <c r="AE680" s="2050"/>
      <c r="AF680" s="2050"/>
      <c r="AG680" s="2050"/>
      <c r="AH680" s="2050"/>
      <c r="AI680" s="2050"/>
      <c r="AJ680" s="2050"/>
      <c r="AK680" s="2050"/>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90"/>
      <c r="H681" s="2075"/>
      <c r="I681" s="2075"/>
      <c r="J681" s="2075"/>
      <c r="K681" s="2075"/>
      <c r="L681" s="2075"/>
      <c r="O681" s="137" t="s">
        <v>212</v>
      </c>
      <c r="P681" s="2041"/>
      <c r="Q681" s="2041"/>
      <c r="R681" s="2041"/>
      <c r="T681" s="35"/>
      <c r="U681" s="12" t="s">
        <v>325</v>
      </c>
      <c r="Z681" s="2190" t="s">
        <v>2652</v>
      </c>
      <c r="AA681" s="2075"/>
      <c r="AB681" s="2075"/>
      <c r="AC681" s="2075"/>
      <c r="AD681" s="2075"/>
      <c r="AE681" s="2075"/>
      <c r="AH681" s="137" t="s">
        <v>212</v>
      </c>
      <c r="AI681" s="2041"/>
      <c r="AJ681" s="2041"/>
      <c r="AK681" s="2041"/>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1"/>
      <c r="I682" s="2050"/>
      <c r="J682" s="2050"/>
      <c r="K682" s="2050"/>
      <c r="L682" s="2050"/>
      <c r="M682" s="2050"/>
      <c r="N682" s="2050"/>
      <c r="O682" s="2050"/>
      <c r="P682" s="2050"/>
      <c r="Q682" s="2050"/>
      <c r="R682" s="2050"/>
      <c r="T682" s="35"/>
      <c r="U682" s="12" t="s">
        <v>18</v>
      </c>
      <c r="AA682" s="2050" t="s">
        <v>2683</v>
      </c>
      <c r="AB682" s="2050"/>
      <c r="AC682" s="2050"/>
      <c r="AD682" s="2050"/>
      <c r="AE682" s="2050"/>
      <c r="AF682" s="2050"/>
      <c r="AG682" s="2050"/>
      <c r="AH682" s="2050"/>
      <c r="AI682" s="2050"/>
      <c r="AJ682" s="2050"/>
      <c r="AK682" s="2050"/>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9"/>
      <c r="O683" s="2049"/>
      <c r="T683" s="35"/>
      <c r="U683" s="12" t="s">
        <v>20</v>
      </c>
      <c r="AG683" s="2049" t="s">
        <v>578</v>
      </c>
      <c r="AH683" s="2049"/>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52" t="str">
        <f>C645</f>
        <v>GP Equity</v>
      </c>
      <c r="H685" s="2052"/>
      <c r="I685" s="2052"/>
      <c r="J685" s="2052"/>
      <c r="K685" s="2052"/>
      <c r="L685" s="2052"/>
      <c r="M685" s="2052"/>
      <c r="N685" s="2052"/>
      <c r="O685" s="2052"/>
      <c r="P685" s="2052"/>
      <c r="Q685" s="2052"/>
      <c r="R685" s="2052"/>
      <c r="T685" s="87" t="s">
        <v>681</v>
      </c>
      <c r="U685" s="12" t="s">
        <v>496</v>
      </c>
      <c r="Z685" s="2052">
        <f>C646</f>
        <v>0</v>
      </c>
      <c r="AA685" s="2052"/>
      <c r="AB685" s="2052"/>
      <c r="AC685" s="2052"/>
      <c r="AD685" s="2052"/>
      <c r="AE685" s="2052"/>
      <c r="AF685" s="2052"/>
      <c r="AG685" s="2052"/>
      <c r="AH685" s="2052"/>
      <c r="AI685" s="2052"/>
      <c r="AJ685" s="2052"/>
      <c r="AK685" s="2052"/>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t="s">
        <v>2530</v>
      </c>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0" t="s">
        <v>71</v>
      </c>
      <c r="H687" s="2050"/>
      <c r="I687" s="2050"/>
      <c r="J687" s="2050"/>
      <c r="K687" s="2050"/>
      <c r="L687" s="2050"/>
      <c r="M687" s="2050"/>
      <c r="N687" s="2050"/>
      <c r="O687" s="2050"/>
      <c r="P687" s="2050"/>
      <c r="Q687" s="2050"/>
      <c r="R687" s="2050"/>
      <c r="T687" s="35"/>
      <c r="U687" s="12" t="s">
        <v>615</v>
      </c>
      <c r="Z687" s="2053"/>
      <c r="AA687" s="2053"/>
      <c r="AB687" s="2053"/>
      <c r="AC687" s="2053"/>
      <c r="AD687" s="2053"/>
      <c r="AE687" s="2053"/>
      <c r="AF687" s="2053"/>
      <c r="AG687" s="2053"/>
      <c r="AH687" s="2053"/>
      <c r="AI687" s="2053"/>
      <c r="AJ687" s="2053"/>
      <c r="AK687" s="2053"/>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t="s">
        <v>2640</v>
      </c>
      <c r="H688" s="2050"/>
      <c r="I688" s="2050"/>
      <c r="J688" s="2050"/>
      <c r="K688" s="2050"/>
      <c r="L688" s="2050"/>
      <c r="M688" s="2050"/>
      <c r="N688" s="2050"/>
      <c r="O688" s="2050"/>
      <c r="P688" s="2050"/>
      <c r="Q688" s="2050"/>
      <c r="R688" s="2050"/>
      <c r="T688" s="35"/>
      <c r="U688" s="12" t="s">
        <v>17</v>
      </c>
      <c r="Z688" s="2053"/>
      <c r="AA688" s="2053"/>
      <c r="AB688" s="2053"/>
      <c r="AC688" s="2053"/>
      <c r="AD688" s="2053"/>
      <c r="AE688" s="2053"/>
      <c r="AF688" s="2053"/>
      <c r="AG688" s="2053"/>
      <c r="AH688" s="2053"/>
      <c r="AI688" s="2053"/>
      <c r="AJ688" s="2053"/>
      <c r="AK688" s="2053"/>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90" t="s">
        <v>2652</v>
      </c>
      <c r="H689" s="2075"/>
      <c r="I689" s="2075"/>
      <c r="J689" s="2075"/>
      <c r="K689" s="2075"/>
      <c r="L689" s="2075"/>
      <c r="O689" s="137" t="s">
        <v>212</v>
      </c>
      <c r="P689" s="2041"/>
      <c r="Q689" s="2041"/>
      <c r="R689" s="2041"/>
      <c r="T689" s="35"/>
      <c r="U689" s="12" t="s">
        <v>325</v>
      </c>
      <c r="Z689" s="2075"/>
      <c r="AA689" s="2075"/>
      <c r="AB689" s="2075"/>
      <c r="AC689" s="2075"/>
      <c r="AD689" s="2075"/>
      <c r="AE689" s="2075"/>
      <c r="AH689" s="137" t="s">
        <v>212</v>
      </c>
      <c r="AI689" s="2041"/>
      <c r="AJ689" s="2041"/>
      <c r="AK689" s="2041"/>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t="s">
        <v>2653</v>
      </c>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9" t="s">
        <v>578</v>
      </c>
      <c r="O691" s="2049"/>
      <c r="T691" s="35"/>
      <c r="U691" s="12" t="s">
        <v>20</v>
      </c>
      <c r="AG691" s="2049" t="s">
        <v>706</v>
      </c>
      <c r="AH691" s="2049"/>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52">
        <f>C647</f>
        <v>0</v>
      </c>
      <c r="H693" s="2052"/>
      <c r="I693" s="2052"/>
      <c r="J693" s="2052"/>
      <c r="K693" s="2052"/>
      <c r="L693" s="2052"/>
      <c r="M693" s="2052"/>
      <c r="N693" s="2052"/>
      <c r="O693" s="2052"/>
      <c r="P693" s="2052"/>
      <c r="Q693" s="2052"/>
      <c r="R693" s="2052"/>
      <c r="T693" s="87" t="s">
        <v>373</v>
      </c>
      <c r="U693" s="12" t="s">
        <v>496</v>
      </c>
      <c r="Z693" s="2052">
        <f>C648</f>
        <v>0</v>
      </c>
      <c r="AA693" s="2052"/>
      <c r="AB693" s="2052"/>
      <c r="AC693" s="2052"/>
      <c r="AD693" s="2052"/>
      <c r="AE693" s="2052"/>
      <c r="AF693" s="2052"/>
      <c r="AG693" s="2052"/>
      <c r="AH693" s="2052"/>
      <c r="AI693" s="2052"/>
      <c r="AJ693" s="2052"/>
      <c r="AK693" s="2052"/>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0"/>
      <c r="H695" s="2050"/>
      <c r="I695" s="2050"/>
      <c r="J695" s="2050"/>
      <c r="K695" s="2050"/>
      <c r="L695" s="2050"/>
      <c r="M695" s="2050"/>
      <c r="N695" s="2050"/>
      <c r="O695" s="2050"/>
      <c r="P695" s="2050"/>
      <c r="Q695" s="2050"/>
      <c r="R695" s="2050"/>
      <c r="U695" s="12" t="s">
        <v>615</v>
      </c>
      <c r="Z695" s="2053"/>
      <c r="AA695" s="2053"/>
      <c r="AB695" s="2053"/>
      <c r="AC695" s="2053"/>
      <c r="AD695" s="2053"/>
      <c r="AE695" s="2053"/>
      <c r="AF695" s="2053"/>
      <c r="AG695" s="2053"/>
      <c r="AH695" s="2053"/>
      <c r="AI695" s="2053"/>
      <c r="AJ695" s="2053"/>
      <c r="AK695" s="2053"/>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053"/>
      <c r="AA696" s="2053"/>
      <c r="AB696" s="2053"/>
      <c r="AC696" s="2053"/>
      <c r="AD696" s="2053"/>
      <c r="AE696" s="2053"/>
      <c r="AF696" s="2053"/>
      <c r="AG696" s="2053"/>
      <c r="AH696" s="2053"/>
      <c r="AI696" s="2053"/>
      <c r="AJ696" s="2053"/>
      <c r="AK696" s="2053"/>
      <c r="AZ696" s="58"/>
      <c r="BA696" s="58"/>
      <c r="BB696" s="58"/>
      <c r="BC696" s="58"/>
      <c r="BD696" s="58"/>
      <c r="BF696" s="453" t="s">
        <v>968</v>
      </c>
      <c r="BG696" s="462">
        <f>SUM(BG671:BG695)</f>
        <v>149</v>
      </c>
      <c r="BH696" s="463">
        <f>SUM(BH671:BH695)</f>
        <v>0.99999999999999989</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75"/>
      <c r="H697" s="2075"/>
      <c r="I697" s="2075"/>
      <c r="J697" s="2075"/>
      <c r="K697" s="2075"/>
      <c r="L697" s="2075"/>
      <c r="O697" s="137" t="s">
        <v>212</v>
      </c>
      <c r="P697" s="2041"/>
      <c r="Q697" s="2041"/>
      <c r="R697" s="2041"/>
      <c r="U697" s="12" t="s">
        <v>325</v>
      </c>
      <c r="Z697" s="2075"/>
      <c r="AA697" s="2075"/>
      <c r="AB697" s="2075"/>
      <c r="AC697" s="2075"/>
      <c r="AD697" s="2075"/>
      <c r="AE697" s="2075"/>
      <c r="AH697" s="137" t="s">
        <v>212</v>
      </c>
      <c r="AI697" s="2041"/>
      <c r="AJ697" s="2041"/>
      <c r="AK697" s="204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9" t="s">
        <v>706</v>
      </c>
      <c r="O699" s="2049"/>
      <c r="U699" s="12" t="s">
        <v>20</v>
      </c>
      <c r="AG699" s="2049" t="s">
        <v>706</v>
      </c>
      <c r="AH699" s="204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578</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27</v>
      </c>
      <c r="BH703" s="460">
        <f>BG703/$BG$728</f>
        <v>0.18120805369127516</v>
      </c>
      <c r="BI703" s="461">
        <f t="shared" ref="BI703:BI727" si="47">IF(BH703=0," ",BH703*AM728)</f>
        <v>7.2483221476510068E-2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706</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3</v>
      </c>
      <c r="BH704" s="460">
        <f t="shared" ref="BH704:BH727" si="48">BG704/$BG$728</f>
        <v>2.0134228187919462E-2</v>
      </c>
      <c r="BI704" s="461">
        <f t="shared" si="47"/>
        <v>8.0536912751677844E-3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44448</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81</v>
      </c>
      <c r="BH705" s="460">
        <f t="shared" si="48"/>
        <v>0.5436241610738255</v>
      </c>
      <c r="BI705" s="461">
        <f t="shared" si="47"/>
        <v>0.27181208053691275</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3">
        <v>44538</v>
      </c>
      <c r="AF706" s="2403"/>
      <c r="AG706" s="2403"/>
      <c r="AH706" s="2403"/>
      <c r="AI706" s="240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8</v>
      </c>
      <c r="BH706" s="460">
        <f t="shared" si="48"/>
        <v>5.3691275167785234E-2</v>
      </c>
      <c r="BI706" s="461">
        <f t="shared" si="47"/>
        <v>2.6845637583892617E-2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27</v>
      </c>
      <c r="BH707" s="460">
        <f t="shared" si="48"/>
        <v>0.18120805369127516</v>
      </c>
      <c r="BI707" s="461">
        <f t="shared" si="47"/>
        <v>0.10872483221476509</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44713</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3</v>
      </c>
      <c r="BH708" s="460">
        <f t="shared" si="48"/>
        <v>2.0134228187919462E-2</v>
      </c>
      <c r="BI708" s="461">
        <f t="shared" si="47"/>
        <v>1.2080536912751677E-2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0</v>
      </c>
      <c r="BH709" s="460">
        <f t="shared" si="48"/>
        <v>0</v>
      </c>
      <c r="BI709" s="461" t="str">
        <f t="shared" si="47"/>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52" t="str">
        <f>H334</f>
        <v>Housing Authority of the City of Sacramento</v>
      </c>
      <c r="X710" s="2052"/>
      <c r="Y710" s="2052"/>
      <c r="Z710" s="2052"/>
      <c r="AA710" s="2052"/>
      <c r="AB710" s="2052"/>
      <c r="AC710" s="2052"/>
      <c r="AD710" s="2052"/>
      <c r="AE710" s="2052"/>
      <c r="AF710" s="2052"/>
      <c r="AG710" s="2052"/>
      <c r="AH710" s="2052"/>
      <c r="AI710" s="2052"/>
      <c r="AJ710" s="2052"/>
      <c r="AK710" s="20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0</v>
      </c>
      <c r="BH711" s="460">
        <f t="shared" si="48"/>
        <v>0</v>
      </c>
      <c r="BI711" s="461" t="str">
        <f t="shared" si="47"/>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706</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1" t="s">
        <v>626</v>
      </c>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1" t="s">
        <v>626</v>
      </c>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90" t="s">
        <v>626</v>
      </c>
      <c r="K715" s="2075"/>
      <c r="L715" s="2075"/>
      <c r="M715" s="2075"/>
      <c r="N715" s="2075"/>
      <c r="O715" s="2075"/>
      <c r="P715" s="7" t="s">
        <v>212</v>
      </c>
      <c r="Q715" s="7"/>
      <c r="R715" s="2174" t="s">
        <v>626</v>
      </c>
      <c r="S715" s="2041"/>
      <c r="T715" s="204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0" t="s">
        <v>316</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343</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3" t="s">
        <v>100</v>
      </c>
      <c r="B719" s="1883"/>
      <c r="C719" s="1883"/>
      <c r="D719" s="1883"/>
      <c r="E719" s="1883"/>
      <c r="F719" s="1883"/>
      <c r="G719" s="1883"/>
      <c r="H719" s="1883"/>
      <c r="I719" s="1883"/>
      <c r="J719" s="1883"/>
      <c r="K719" s="1883"/>
      <c r="L719" s="1883"/>
      <c r="M719" s="1883"/>
      <c r="N719" s="1883"/>
      <c r="O719" s="1883"/>
      <c r="P719" s="1883"/>
      <c r="Q719" s="1883"/>
      <c r="R719" s="1883"/>
      <c r="S719" s="1883"/>
      <c r="T719" s="1883"/>
      <c r="U719" s="1883"/>
      <c r="V719" s="1883"/>
      <c r="W719" s="1883"/>
      <c r="X719" s="1883"/>
      <c r="Y719" s="1883"/>
      <c r="Z719" s="1883"/>
      <c r="AA719" s="1883"/>
      <c r="AB719" s="1883"/>
      <c r="AC719" s="1883"/>
      <c r="AD719" s="1883"/>
      <c r="AE719" s="1883"/>
      <c r="AF719" s="1883"/>
      <c r="AG719" s="1883"/>
      <c r="AH719" s="1883"/>
      <c r="AI719" s="1883"/>
      <c r="AJ719" s="1883"/>
      <c r="AK719" s="1883"/>
      <c r="AL719" s="1883"/>
      <c r="AM719" s="1883"/>
      <c r="AN719" s="1883"/>
      <c r="AO719" s="1883"/>
      <c r="AP719" s="1571"/>
      <c r="AQ719" s="1571"/>
      <c r="AR719" s="1571"/>
      <c r="AS719" s="1571"/>
      <c r="AT719" s="1571"/>
      <c r="AU719" s="1571"/>
      <c r="AV719" s="1571"/>
      <c r="AW719" s="1571"/>
      <c r="AX719" s="1571"/>
      <c r="AY719" s="1571"/>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83"/>
      <c r="B720" s="1883"/>
      <c r="C720" s="1883"/>
      <c r="D720" s="1883"/>
      <c r="E720" s="1883"/>
      <c r="F720" s="1883"/>
      <c r="G720" s="1883"/>
      <c r="H720" s="1883"/>
      <c r="I720" s="1883"/>
      <c r="J720" s="1883"/>
      <c r="K720" s="1883"/>
      <c r="L720" s="1883"/>
      <c r="M720" s="1883"/>
      <c r="N720" s="1883"/>
      <c r="O720" s="1883"/>
      <c r="P720" s="1883"/>
      <c r="Q720" s="1883"/>
      <c r="R720" s="1883"/>
      <c r="S720" s="1883"/>
      <c r="T720" s="1883"/>
      <c r="U720" s="1883"/>
      <c r="V720" s="1883"/>
      <c r="W720" s="1883"/>
      <c r="X720" s="1883"/>
      <c r="Y720" s="1883"/>
      <c r="Z720" s="1883"/>
      <c r="AA720" s="1883"/>
      <c r="AB720" s="1883"/>
      <c r="AC720" s="1883"/>
      <c r="AD720" s="1883"/>
      <c r="AE720" s="1883"/>
      <c r="AF720" s="1883"/>
      <c r="AG720" s="1883"/>
      <c r="AH720" s="1883"/>
      <c r="AI720" s="1883"/>
      <c r="AJ720" s="1883"/>
      <c r="AK720" s="1883"/>
      <c r="AL720" s="1883"/>
      <c r="AM720" s="1883"/>
      <c r="AN720" s="1883"/>
      <c r="AO720" s="1883"/>
      <c r="AP720" s="1571"/>
      <c r="AQ720" s="1571"/>
      <c r="AR720" s="1571"/>
      <c r="AS720" s="1571"/>
      <c r="AT720" s="1571"/>
      <c r="AU720" s="1571"/>
      <c r="AV720" s="1571"/>
      <c r="AW720" s="1571"/>
      <c r="AX720" s="1571"/>
      <c r="AY720" s="1571"/>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83"/>
      <c r="B721" s="1883"/>
      <c r="C721" s="1883"/>
      <c r="D721" s="1883"/>
      <c r="E721" s="1883"/>
      <c r="F721" s="1883"/>
      <c r="G721" s="1883"/>
      <c r="H721" s="1883"/>
      <c r="I721" s="1883"/>
      <c r="J721" s="1883"/>
      <c r="K721" s="1883"/>
      <c r="L721" s="1883"/>
      <c r="M721" s="1883"/>
      <c r="N721" s="1883"/>
      <c r="O721" s="1883"/>
      <c r="P721" s="1883"/>
      <c r="Q721" s="1883"/>
      <c r="R721" s="1883"/>
      <c r="S721" s="1883"/>
      <c r="T721" s="1883"/>
      <c r="U721" s="1883"/>
      <c r="V721" s="1883"/>
      <c r="W721" s="1883"/>
      <c r="X721" s="1883"/>
      <c r="Y721" s="1883"/>
      <c r="Z721" s="1883"/>
      <c r="AA721" s="1883"/>
      <c r="AB721" s="1883"/>
      <c r="AC721" s="1883"/>
      <c r="AD721" s="1883"/>
      <c r="AE721" s="1883"/>
      <c r="AF721" s="1883"/>
      <c r="AG721" s="1883"/>
      <c r="AH721" s="1883"/>
      <c r="AI721" s="1883"/>
      <c r="AJ721" s="1883"/>
      <c r="AK721" s="1883"/>
      <c r="AL721" s="1883"/>
      <c r="AM721" s="1883"/>
      <c r="AN721" s="1883"/>
      <c r="AO721" s="1883"/>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5" t="s">
        <v>407</v>
      </c>
      <c r="C724" s="2126"/>
      <c r="D724" s="2126"/>
      <c r="E724" s="2126"/>
      <c r="F724" s="2127"/>
      <c r="G724" s="2125" t="s">
        <v>291</v>
      </c>
      <c r="H724" s="2126"/>
      <c r="I724" s="2126"/>
      <c r="J724" s="2127"/>
      <c r="K724" s="2283" t="s">
        <v>2154</v>
      </c>
      <c r="L724" s="2284"/>
      <c r="M724" s="2284"/>
      <c r="N724" s="2285"/>
      <c r="O724" s="2125" t="s">
        <v>478</v>
      </c>
      <c r="P724" s="2126"/>
      <c r="Q724" s="2126"/>
      <c r="R724" s="2126"/>
      <c r="S724" s="2127"/>
      <c r="T724" s="2125" t="s">
        <v>292</v>
      </c>
      <c r="U724" s="2126"/>
      <c r="V724" s="2126"/>
      <c r="W724" s="2126"/>
      <c r="X724" s="2127"/>
      <c r="Y724" s="2125" t="s">
        <v>293</v>
      </c>
      <c r="Z724" s="2126"/>
      <c r="AA724" s="2126"/>
      <c r="AB724" s="2127"/>
      <c r="AC724" s="2125" t="s">
        <v>294</v>
      </c>
      <c r="AD724" s="2126"/>
      <c r="AE724" s="2126"/>
      <c r="AF724" s="2126"/>
      <c r="AG724" s="2127"/>
      <c r="AH724" s="2125" t="s">
        <v>408</v>
      </c>
      <c r="AI724" s="2126"/>
      <c r="AJ724" s="2126"/>
      <c r="AK724" s="2126"/>
      <c r="AL724" s="2127"/>
      <c r="AM724" s="2125" t="s">
        <v>682</v>
      </c>
      <c r="AN724" s="2126"/>
      <c r="AO724" s="2127"/>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8"/>
      <c r="C725" s="2129"/>
      <c r="D725" s="2129"/>
      <c r="E725" s="2129"/>
      <c r="F725" s="2130"/>
      <c r="G725" s="2128"/>
      <c r="H725" s="2129"/>
      <c r="I725" s="2129"/>
      <c r="J725" s="2130"/>
      <c r="K725" s="2286"/>
      <c r="L725" s="2287"/>
      <c r="M725" s="2287"/>
      <c r="N725" s="2288"/>
      <c r="O725" s="2128"/>
      <c r="P725" s="2129"/>
      <c r="Q725" s="2129"/>
      <c r="R725" s="2129"/>
      <c r="S725" s="2130"/>
      <c r="T725" s="2128"/>
      <c r="U725" s="2129"/>
      <c r="V725" s="2129"/>
      <c r="W725" s="2129"/>
      <c r="X725" s="2130"/>
      <c r="Y725" s="2128"/>
      <c r="Z725" s="2129"/>
      <c r="AA725" s="2129"/>
      <c r="AB725" s="2130"/>
      <c r="AC725" s="2128"/>
      <c r="AD725" s="2129"/>
      <c r="AE725" s="2129"/>
      <c r="AF725" s="2129"/>
      <c r="AG725" s="2130"/>
      <c r="AH725" s="2128"/>
      <c r="AI725" s="2129"/>
      <c r="AJ725" s="2129"/>
      <c r="AK725" s="2129"/>
      <c r="AL725" s="2130"/>
      <c r="AM725" s="2128"/>
      <c r="AN725" s="2129"/>
      <c r="AO725" s="2130"/>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8"/>
      <c r="C726" s="2129"/>
      <c r="D726" s="2129"/>
      <c r="E726" s="2129"/>
      <c r="F726" s="2130"/>
      <c r="G726" s="2128"/>
      <c r="H726" s="2129"/>
      <c r="I726" s="2129"/>
      <c r="J726" s="2130"/>
      <c r="K726" s="2286"/>
      <c r="L726" s="2287"/>
      <c r="M726" s="2287"/>
      <c r="N726" s="2288"/>
      <c r="O726" s="2128"/>
      <c r="P726" s="2129"/>
      <c r="Q726" s="2129"/>
      <c r="R726" s="2129"/>
      <c r="S726" s="2130"/>
      <c r="T726" s="2128"/>
      <c r="U726" s="2129"/>
      <c r="V726" s="2129"/>
      <c r="W726" s="2129"/>
      <c r="X726" s="2130"/>
      <c r="Y726" s="2128"/>
      <c r="Z726" s="2129"/>
      <c r="AA726" s="2129"/>
      <c r="AB726" s="2130"/>
      <c r="AC726" s="2128"/>
      <c r="AD726" s="2129"/>
      <c r="AE726" s="2129"/>
      <c r="AF726" s="2129"/>
      <c r="AG726" s="2130"/>
      <c r="AH726" s="2128"/>
      <c r="AI726" s="2129"/>
      <c r="AJ726" s="2129"/>
      <c r="AK726" s="2129"/>
      <c r="AL726" s="2130"/>
      <c r="AM726" s="2128"/>
      <c r="AN726" s="2129"/>
      <c r="AO726" s="2130"/>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31"/>
      <c r="C727" s="2132"/>
      <c r="D727" s="2132"/>
      <c r="E727" s="2132"/>
      <c r="F727" s="2133"/>
      <c r="G727" s="2131"/>
      <c r="H727" s="2132"/>
      <c r="I727" s="2132"/>
      <c r="J727" s="2133"/>
      <c r="K727" s="2286"/>
      <c r="L727" s="2287"/>
      <c r="M727" s="2287"/>
      <c r="N727" s="2288"/>
      <c r="O727" s="2131"/>
      <c r="P727" s="2132"/>
      <c r="Q727" s="2132"/>
      <c r="R727" s="2132"/>
      <c r="S727" s="2133"/>
      <c r="T727" s="2131"/>
      <c r="U727" s="2132"/>
      <c r="V727" s="2132"/>
      <c r="W727" s="2132"/>
      <c r="X727" s="2133"/>
      <c r="Y727" s="2131"/>
      <c r="Z727" s="2132"/>
      <c r="AA727" s="2132"/>
      <c r="AB727" s="2133"/>
      <c r="AC727" s="2131"/>
      <c r="AD727" s="2132"/>
      <c r="AE727" s="2132"/>
      <c r="AF727" s="2132"/>
      <c r="AG727" s="2133"/>
      <c r="AH727" s="2131"/>
      <c r="AI727" s="2132"/>
      <c r="AJ727" s="2132"/>
      <c r="AK727" s="2132"/>
      <c r="AL727" s="2133"/>
      <c r="AM727" s="2131"/>
      <c r="AN727" s="2132"/>
      <c r="AO727" s="2133"/>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57" t="s">
        <v>334</v>
      </c>
      <c r="C728" s="2058"/>
      <c r="D728" s="2058"/>
      <c r="E728" s="2058"/>
      <c r="F728" s="2059"/>
      <c r="G728" s="2296">
        <v>27</v>
      </c>
      <c r="H728" s="2297"/>
      <c r="I728" s="2297"/>
      <c r="J728" s="2298"/>
      <c r="K728" s="2087">
        <v>580</v>
      </c>
      <c r="L728" s="2088"/>
      <c r="M728" s="2088"/>
      <c r="N728" s="2089"/>
      <c r="O728" s="2078">
        <v>616</v>
      </c>
      <c r="P728" s="2079"/>
      <c r="Q728" s="2079"/>
      <c r="R728" s="2079"/>
      <c r="S728" s="2080"/>
      <c r="T728" s="2155">
        <f t="shared" ref="T728:T752" si="49">G728*O728</f>
        <v>16632</v>
      </c>
      <c r="U728" s="2156"/>
      <c r="V728" s="2156"/>
      <c r="W728" s="2156"/>
      <c r="X728" s="2157"/>
      <c r="Y728" s="2078">
        <v>64</v>
      </c>
      <c r="Z728" s="2079"/>
      <c r="AA728" s="2079"/>
      <c r="AB728" s="2080"/>
      <c r="AC728" s="2155">
        <f t="shared" ref="AC728:AC752" si="50">O728+Y728</f>
        <v>680</v>
      </c>
      <c r="AD728" s="2156"/>
      <c r="AE728" s="2156"/>
      <c r="AF728" s="2156"/>
      <c r="AG728" s="2157"/>
      <c r="AH728" s="2280">
        <v>0.4</v>
      </c>
      <c r="AI728" s="2281"/>
      <c r="AJ728" s="2281"/>
      <c r="AK728" s="2281"/>
      <c r="AL728" s="2282"/>
      <c r="AM728" s="2370">
        <f t="shared" ref="AM728:AM752" si="51">IF($AH728&gt;0,($AC728/$BA670), " ")</f>
        <v>0.4</v>
      </c>
      <c r="AN728" s="2371"/>
      <c r="AO728" s="2372"/>
      <c r="AP728" s="239"/>
      <c r="AQ728" s="239"/>
      <c r="AR728" s="239"/>
      <c r="AS728" s="239"/>
      <c r="AT728" s="239"/>
      <c r="AU728" s="239"/>
      <c r="AV728" s="239"/>
      <c r="AW728" s="239"/>
      <c r="AX728" s="239"/>
      <c r="AY728" s="239"/>
      <c r="AZ728" s="58"/>
      <c r="BA728" s="58"/>
      <c r="BB728" s="58"/>
      <c r="BC728" s="58"/>
      <c r="BD728" s="58"/>
      <c r="BE728" s="58"/>
      <c r="BF728" s="58"/>
      <c r="BG728" s="1420">
        <f>SUM(BG703:BG727)</f>
        <v>149</v>
      </c>
      <c r="BH728" s="463">
        <f>SUM(BH703:BH727)</f>
        <v>0.99999999999999989</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7" t="s">
        <v>168</v>
      </c>
      <c r="C729" s="2058"/>
      <c r="D729" s="2058"/>
      <c r="E729" s="2058"/>
      <c r="F729" s="2059"/>
      <c r="G729" s="2296">
        <v>3</v>
      </c>
      <c r="H729" s="2297"/>
      <c r="I729" s="2297"/>
      <c r="J729" s="2298"/>
      <c r="K729" s="2087">
        <v>755</v>
      </c>
      <c r="L729" s="2088"/>
      <c r="M729" s="2088"/>
      <c r="N729" s="2089"/>
      <c r="O729" s="2078">
        <v>736</v>
      </c>
      <c r="P729" s="2079"/>
      <c r="Q729" s="2079"/>
      <c r="R729" s="2079"/>
      <c r="S729" s="2080"/>
      <c r="T729" s="2155">
        <f t="shared" si="49"/>
        <v>2208</v>
      </c>
      <c r="U729" s="2156"/>
      <c r="V729" s="2156"/>
      <c r="W729" s="2156"/>
      <c r="X729" s="2157"/>
      <c r="Y729" s="2078">
        <v>80</v>
      </c>
      <c r="Z729" s="2079"/>
      <c r="AA729" s="2079"/>
      <c r="AB729" s="2080"/>
      <c r="AC729" s="2155">
        <f t="shared" si="50"/>
        <v>816</v>
      </c>
      <c r="AD729" s="2156"/>
      <c r="AE729" s="2156"/>
      <c r="AF729" s="2156"/>
      <c r="AG729" s="2157"/>
      <c r="AH729" s="2280">
        <v>0.4</v>
      </c>
      <c r="AI729" s="2281"/>
      <c r="AJ729" s="2281"/>
      <c r="AK729" s="2281"/>
      <c r="AL729" s="2282"/>
      <c r="AM729" s="2370">
        <f t="shared" si="51"/>
        <v>0.4</v>
      </c>
      <c r="AN729" s="2371"/>
      <c r="AO729" s="237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7" t="s">
        <v>334</v>
      </c>
      <c r="C730" s="2058"/>
      <c r="D730" s="2058"/>
      <c r="E730" s="2058"/>
      <c r="F730" s="2059"/>
      <c r="G730" s="2296">
        <v>81</v>
      </c>
      <c r="H730" s="2297"/>
      <c r="I730" s="2297"/>
      <c r="J730" s="2298"/>
      <c r="K730" s="2087">
        <v>580</v>
      </c>
      <c r="L730" s="2088"/>
      <c r="M730" s="2088"/>
      <c r="N730" s="2089"/>
      <c r="O730" s="2078">
        <v>786</v>
      </c>
      <c r="P730" s="2079"/>
      <c r="Q730" s="2079"/>
      <c r="R730" s="2079"/>
      <c r="S730" s="2080"/>
      <c r="T730" s="2155">
        <f t="shared" si="49"/>
        <v>63666</v>
      </c>
      <c r="U730" s="2156"/>
      <c r="V730" s="2156"/>
      <c r="W730" s="2156"/>
      <c r="X730" s="2157"/>
      <c r="Y730" s="2078">
        <v>64</v>
      </c>
      <c r="Z730" s="2079"/>
      <c r="AA730" s="2079"/>
      <c r="AB730" s="2080"/>
      <c r="AC730" s="2155">
        <f t="shared" si="50"/>
        <v>850</v>
      </c>
      <c r="AD730" s="2156"/>
      <c r="AE730" s="2156"/>
      <c r="AF730" s="2156"/>
      <c r="AG730" s="2157"/>
      <c r="AH730" s="2280">
        <v>0.5</v>
      </c>
      <c r="AI730" s="2281"/>
      <c r="AJ730" s="2281"/>
      <c r="AK730" s="2281"/>
      <c r="AL730" s="2282"/>
      <c r="AM730" s="2370">
        <f t="shared" si="51"/>
        <v>0.5</v>
      </c>
      <c r="AN730" s="2371"/>
      <c r="AO730" s="237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7" t="s">
        <v>168</v>
      </c>
      <c r="C731" s="2058"/>
      <c r="D731" s="2058"/>
      <c r="E731" s="2058"/>
      <c r="F731" s="2059"/>
      <c r="G731" s="2296">
        <v>8</v>
      </c>
      <c r="H731" s="2297"/>
      <c r="I731" s="2297"/>
      <c r="J731" s="2298"/>
      <c r="K731" s="2087">
        <v>755</v>
      </c>
      <c r="L731" s="2088"/>
      <c r="M731" s="2088"/>
      <c r="N731" s="2089"/>
      <c r="O731" s="2078">
        <v>940</v>
      </c>
      <c r="P731" s="2079"/>
      <c r="Q731" s="2079"/>
      <c r="R731" s="2079"/>
      <c r="S731" s="2080"/>
      <c r="T731" s="2155">
        <f t="shared" si="49"/>
        <v>7520</v>
      </c>
      <c r="U731" s="2156"/>
      <c r="V731" s="2156"/>
      <c r="W731" s="2156"/>
      <c r="X731" s="2157"/>
      <c r="Y731" s="2078">
        <v>80</v>
      </c>
      <c r="Z731" s="2079"/>
      <c r="AA731" s="2079"/>
      <c r="AB731" s="2080"/>
      <c r="AC731" s="2155">
        <f t="shared" si="50"/>
        <v>1020</v>
      </c>
      <c r="AD731" s="2156"/>
      <c r="AE731" s="2156"/>
      <c r="AF731" s="2156"/>
      <c r="AG731" s="2157"/>
      <c r="AH731" s="2280">
        <v>0.5</v>
      </c>
      <c r="AI731" s="2281"/>
      <c r="AJ731" s="2281"/>
      <c r="AK731" s="2281"/>
      <c r="AL731" s="2282"/>
      <c r="AM731" s="2370">
        <f t="shared" si="51"/>
        <v>0.5</v>
      </c>
      <c r="AN731" s="2371"/>
      <c r="AO731" s="237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7" t="s">
        <v>334</v>
      </c>
      <c r="C732" s="2058"/>
      <c r="D732" s="2058"/>
      <c r="E732" s="2058"/>
      <c r="F732" s="2059"/>
      <c r="G732" s="2296">
        <v>27</v>
      </c>
      <c r="H732" s="2297"/>
      <c r="I732" s="2297"/>
      <c r="J732" s="2298"/>
      <c r="K732" s="2087">
        <v>580</v>
      </c>
      <c r="L732" s="2088"/>
      <c r="M732" s="2088"/>
      <c r="N732" s="2089"/>
      <c r="O732" s="2078">
        <v>956</v>
      </c>
      <c r="P732" s="2079"/>
      <c r="Q732" s="2079"/>
      <c r="R732" s="2079"/>
      <c r="S732" s="2080"/>
      <c r="T732" s="2155">
        <f t="shared" si="49"/>
        <v>25812</v>
      </c>
      <c r="U732" s="2156"/>
      <c r="V732" s="2156"/>
      <c r="W732" s="2156"/>
      <c r="X732" s="2157"/>
      <c r="Y732" s="2078">
        <v>64</v>
      </c>
      <c r="Z732" s="2079"/>
      <c r="AA732" s="2079"/>
      <c r="AB732" s="2080"/>
      <c r="AC732" s="2155">
        <f t="shared" si="50"/>
        <v>1020</v>
      </c>
      <c r="AD732" s="2156"/>
      <c r="AE732" s="2156"/>
      <c r="AF732" s="2156"/>
      <c r="AG732" s="2157"/>
      <c r="AH732" s="2280">
        <v>0.6</v>
      </c>
      <c r="AI732" s="2281"/>
      <c r="AJ732" s="2281"/>
      <c r="AK732" s="2281"/>
      <c r="AL732" s="2282"/>
      <c r="AM732" s="2370">
        <f t="shared" si="51"/>
        <v>0.6</v>
      </c>
      <c r="AN732" s="2371"/>
      <c r="AO732" s="237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7" t="s">
        <v>168</v>
      </c>
      <c r="C733" s="2058"/>
      <c r="D733" s="2058"/>
      <c r="E733" s="2058"/>
      <c r="F733" s="2059"/>
      <c r="G733" s="2296">
        <v>3</v>
      </c>
      <c r="H733" s="2297"/>
      <c r="I733" s="2297"/>
      <c r="J733" s="2298"/>
      <c r="K733" s="2087">
        <v>755</v>
      </c>
      <c r="L733" s="2088"/>
      <c r="M733" s="2088"/>
      <c r="N733" s="2089"/>
      <c r="O733" s="2078">
        <v>1144</v>
      </c>
      <c r="P733" s="2079"/>
      <c r="Q733" s="2079"/>
      <c r="R733" s="2079"/>
      <c r="S733" s="2080"/>
      <c r="T733" s="2155">
        <f t="shared" si="49"/>
        <v>3432</v>
      </c>
      <c r="U733" s="2156"/>
      <c r="V733" s="2156"/>
      <c r="W733" s="2156"/>
      <c r="X733" s="2157"/>
      <c r="Y733" s="2078">
        <v>80</v>
      </c>
      <c r="Z733" s="2079"/>
      <c r="AA733" s="2079"/>
      <c r="AB733" s="2080"/>
      <c r="AC733" s="2155">
        <f t="shared" si="50"/>
        <v>1224</v>
      </c>
      <c r="AD733" s="2156"/>
      <c r="AE733" s="2156"/>
      <c r="AF733" s="2156"/>
      <c r="AG733" s="2157"/>
      <c r="AH733" s="2280">
        <v>0.6</v>
      </c>
      <c r="AI733" s="2281"/>
      <c r="AJ733" s="2281"/>
      <c r="AK733" s="2281"/>
      <c r="AL733" s="2282"/>
      <c r="AM733" s="2370">
        <f t="shared" si="51"/>
        <v>0.6</v>
      </c>
      <c r="AN733" s="2371"/>
      <c r="AO733" s="237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7"/>
      <c r="C734" s="2058"/>
      <c r="D734" s="2058"/>
      <c r="E734" s="2058"/>
      <c r="F734" s="2059"/>
      <c r="G734" s="2296"/>
      <c r="H734" s="2297"/>
      <c r="I734" s="2297"/>
      <c r="J734" s="2298"/>
      <c r="K734" s="2087"/>
      <c r="L734" s="2088"/>
      <c r="M734" s="2088"/>
      <c r="N734" s="2089"/>
      <c r="O734" s="2078"/>
      <c r="P734" s="2079"/>
      <c r="Q734" s="2079"/>
      <c r="R734" s="2079"/>
      <c r="S734" s="2080"/>
      <c r="T734" s="2155">
        <f t="shared" si="49"/>
        <v>0</v>
      </c>
      <c r="U734" s="2156"/>
      <c r="V734" s="2156"/>
      <c r="W734" s="2156"/>
      <c r="X734" s="2157"/>
      <c r="Y734" s="2078"/>
      <c r="Z734" s="2079"/>
      <c r="AA734" s="2079"/>
      <c r="AB734" s="2080"/>
      <c r="AC734" s="2155">
        <f t="shared" si="50"/>
        <v>0</v>
      </c>
      <c r="AD734" s="2156"/>
      <c r="AE734" s="2156"/>
      <c r="AF734" s="2156"/>
      <c r="AG734" s="2157"/>
      <c r="AH734" s="2280"/>
      <c r="AI734" s="2281"/>
      <c r="AJ734" s="2281"/>
      <c r="AK734" s="2281"/>
      <c r="AL734" s="2282"/>
      <c r="AM734" s="2370" t="str">
        <f t="shared" si="51"/>
        <v xml:space="preserve"> </v>
      </c>
      <c r="AN734" s="2371"/>
      <c r="AO734" s="237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7"/>
      <c r="C735" s="2058"/>
      <c r="D735" s="2058"/>
      <c r="E735" s="2058"/>
      <c r="F735" s="2059"/>
      <c r="G735" s="2296"/>
      <c r="H735" s="2297"/>
      <c r="I735" s="2297"/>
      <c r="J735" s="2298"/>
      <c r="K735" s="2087"/>
      <c r="L735" s="2088"/>
      <c r="M735" s="2088"/>
      <c r="N735" s="2089"/>
      <c r="O735" s="2078"/>
      <c r="P735" s="2079"/>
      <c r="Q735" s="2079"/>
      <c r="R735" s="2079"/>
      <c r="S735" s="2080"/>
      <c r="T735" s="2155">
        <f t="shared" si="49"/>
        <v>0</v>
      </c>
      <c r="U735" s="2156"/>
      <c r="V735" s="2156"/>
      <c r="W735" s="2156"/>
      <c r="X735" s="2157"/>
      <c r="Y735" s="2078"/>
      <c r="Z735" s="2079"/>
      <c r="AA735" s="2079"/>
      <c r="AB735" s="2080"/>
      <c r="AC735" s="2155">
        <f t="shared" si="50"/>
        <v>0</v>
      </c>
      <c r="AD735" s="2156"/>
      <c r="AE735" s="2156"/>
      <c r="AF735" s="2156"/>
      <c r="AG735" s="2157"/>
      <c r="AH735" s="2280"/>
      <c r="AI735" s="2281"/>
      <c r="AJ735" s="2281"/>
      <c r="AK735" s="2281"/>
      <c r="AL735" s="2282"/>
      <c r="AM735" s="2370" t="str">
        <f t="shared" si="51"/>
        <v xml:space="preserve"> </v>
      </c>
      <c r="AN735" s="2371"/>
      <c r="AO735" s="237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7"/>
      <c r="C736" s="2058"/>
      <c r="D736" s="2058"/>
      <c r="E736" s="2058"/>
      <c r="F736" s="2059"/>
      <c r="G736" s="2296"/>
      <c r="H736" s="2297"/>
      <c r="I736" s="2297"/>
      <c r="J736" s="2298"/>
      <c r="K736" s="2087"/>
      <c r="L736" s="2088"/>
      <c r="M736" s="2088"/>
      <c r="N736" s="2089"/>
      <c r="O736" s="2078"/>
      <c r="P736" s="2079"/>
      <c r="Q736" s="2079"/>
      <c r="R736" s="2079"/>
      <c r="S736" s="2080"/>
      <c r="T736" s="2155">
        <f t="shared" si="49"/>
        <v>0</v>
      </c>
      <c r="U736" s="2156"/>
      <c r="V736" s="2156"/>
      <c r="W736" s="2156"/>
      <c r="X736" s="2157"/>
      <c r="Y736" s="2078"/>
      <c r="Z736" s="2079"/>
      <c r="AA736" s="2079"/>
      <c r="AB736" s="2080"/>
      <c r="AC736" s="2155">
        <f t="shared" si="50"/>
        <v>0</v>
      </c>
      <c r="AD736" s="2156"/>
      <c r="AE736" s="2156"/>
      <c r="AF736" s="2156"/>
      <c r="AG736" s="2157"/>
      <c r="AH736" s="2280"/>
      <c r="AI736" s="2281"/>
      <c r="AJ736" s="2281"/>
      <c r="AK736" s="2281"/>
      <c r="AL736" s="2282"/>
      <c r="AM736" s="2370" t="str">
        <f t="shared" si="51"/>
        <v xml:space="preserve"> </v>
      </c>
      <c r="AN736" s="2371"/>
      <c r="AO736" s="237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7"/>
      <c r="C737" s="2058"/>
      <c r="D737" s="2058"/>
      <c r="E737" s="2058"/>
      <c r="F737" s="2059"/>
      <c r="G737" s="2296"/>
      <c r="H737" s="2297"/>
      <c r="I737" s="2297"/>
      <c r="J737" s="2298"/>
      <c r="K737" s="2087"/>
      <c r="L737" s="2088"/>
      <c r="M737" s="2088"/>
      <c r="N737" s="2089"/>
      <c r="O737" s="2078"/>
      <c r="P737" s="2079"/>
      <c r="Q737" s="2079"/>
      <c r="R737" s="2079"/>
      <c r="S737" s="2080"/>
      <c r="T737" s="2155">
        <f t="shared" si="49"/>
        <v>0</v>
      </c>
      <c r="U737" s="2156"/>
      <c r="V737" s="2156"/>
      <c r="W737" s="2156"/>
      <c r="X737" s="2157"/>
      <c r="Y737" s="2078"/>
      <c r="Z737" s="2079"/>
      <c r="AA737" s="2079"/>
      <c r="AB737" s="2080"/>
      <c r="AC737" s="2155">
        <f t="shared" si="50"/>
        <v>0</v>
      </c>
      <c r="AD737" s="2156"/>
      <c r="AE737" s="2156"/>
      <c r="AF737" s="2156"/>
      <c r="AG737" s="2157"/>
      <c r="AH737" s="2280"/>
      <c r="AI737" s="2281"/>
      <c r="AJ737" s="2281"/>
      <c r="AK737" s="2281"/>
      <c r="AL737" s="2282"/>
      <c r="AM737" s="2370" t="str">
        <f t="shared" si="51"/>
        <v xml:space="preserve"> </v>
      </c>
      <c r="AN737" s="2371"/>
      <c r="AO737" s="237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7"/>
      <c r="C738" s="2058"/>
      <c r="D738" s="2058"/>
      <c r="E738" s="2058"/>
      <c r="F738" s="2059"/>
      <c r="G738" s="2296"/>
      <c r="H738" s="2297"/>
      <c r="I738" s="2297"/>
      <c r="J738" s="2298"/>
      <c r="K738" s="2087"/>
      <c r="L738" s="2088"/>
      <c r="M738" s="2088"/>
      <c r="N738" s="2089"/>
      <c r="O738" s="2078"/>
      <c r="P738" s="2079"/>
      <c r="Q738" s="2079"/>
      <c r="R738" s="2079"/>
      <c r="S738" s="2080"/>
      <c r="T738" s="2155">
        <f t="shared" si="49"/>
        <v>0</v>
      </c>
      <c r="U738" s="2156"/>
      <c r="V738" s="2156"/>
      <c r="W738" s="2156"/>
      <c r="X738" s="2157"/>
      <c r="Y738" s="2078"/>
      <c r="Z738" s="2079"/>
      <c r="AA738" s="2079"/>
      <c r="AB738" s="2080"/>
      <c r="AC738" s="2155">
        <f t="shared" si="50"/>
        <v>0</v>
      </c>
      <c r="AD738" s="2156"/>
      <c r="AE738" s="2156"/>
      <c r="AF738" s="2156"/>
      <c r="AG738" s="2157"/>
      <c r="AH738" s="2280"/>
      <c r="AI738" s="2281"/>
      <c r="AJ738" s="2281"/>
      <c r="AK738" s="2281"/>
      <c r="AL738" s="2282"/>
      <c r="AM738" s="2370" t="str">
        <f t="shared" si="51"/>
        <v xml:space="preserve"> </v>
      </c>
      <c r="AN738" s="2371"/>
      <c r="AO738" s="237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7"/>
      <c r="C739" s="2058"/>
      <c r="D739" s="2058"/>
      <c r="E739" s="2058"/>
      <c r="F739" s="2059"/>
      <c r="G739" s="2296"/>
      <c r="H739" s="2297"/>
      <c r="I739" s="2297"/>
      <c r="J739" s="2298"/>
      <c r="K739" s="2087"/>
      <c r="L739" s="2088"/>
      <c r="M739" s="2088"/>
      <c r="N739" s="2089"/>
      <c r="O739" s="2078"/>
      <c r="P739" s="2079"/>
      <c r="Q739" s="2079"/>
      <c r="R739" s="2079"/>
      <c r="S739" s="2080"/>
      <c r="T739" s="2155">
        <f t="shared" si="49"/>
        <v>0</v>
      </c>
      <c r="U739" s="2156"/>
      <c r="V739" s="2156"/>
      <c r="W739" s="2156"/>
      <c r="X739" s="2157"/>
      <c r="Y739" s="2078">
        <v>0</v>
      </c>
      <c r="Z739" s="2079"/>
      <c r="AA739" s="2079"/>
      <c r="AB739" s="2080"/>
      <c r="AC739" s="2155">
        <f t="shared" si="50"/>
        <v>0</v>
      </c>
      <c r="AD739" s="2156"/>
      <c r="AE739" s="2156"/>
      <c r="AF739" s="2156"/>
      <c r="AG739" s="2157"/>
      <c r="AH739" s="2280">
        <v>0</v>
      </c>
      <c r="AI739" s="2281"/>
      <c r="AJ739" s="2281"/>
      <c r="AK739" s="2281"/>
      <c r="AL739" s="2282"/>
      <c r="AM739" s="2370" t="str">
        <f t="shared" si="51"/>
        <v xml:space="preserve"> </v>
      </c>
      <c r="AN739" s="2371"/>
      <c r="AO739" s="237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7"/>
      <c r="C740" s="2058"/>
      <c r="D740" s="2058"/>
      <c r="E740" s="2058"/>
      <c r="F740" s="2059"/>
      <c r="G740" s="2296"/>
      <c r="H740" s="2297"/>
      <c r="I740" s="2297"/>
      <c r="J740" s="2298"/>
      <c r="K740" s="2087"/>
      <c r="L740" s="2088"/>
      <c r="M740" s="2088"/>
      <c r="N740" s="2089"/>
      <c r="O740" s="2078"/>
      <c r="P740" s="2079"/>
      <c r="Q740" s="2079"/>
      <c r="R740" s="2079"/>
      <c r="S740" s="2080"/>
      <c r="T740" s="2155">
        <f t="shared" si="49"/>
        <v>0</v>
      </c>
      <c r="U740" s="2156"/>
      <c r="V740" s="2156"/>
      <c r="W740" s="2156"/>
      <c r="X740" s="2157"/>
      <c r="Y740" s="2078">
        <v>0</v>
      </c>
      <c r="Z740" s="2079"/>
      <c r="AA740" s="2079"/>
      <c r="AB740" s="2080"/>
      <c r="AC740" s="2155">
        <f t="shared" si="50"/>
        <v>0</v>
      </c>
      <c r="AD740" s="2156"/>
      <c r="AE740" s="2156"/>
      <c r="AF740" s="2156"/>
      <c r="AG740" s="2157"/>
      <c r="AH740" s="2280">
        <v>0</v>
      </c>
      <c r="AI740" s="2281"/>
      <c r="AJ740" s="2281"/>
      <c r="AK740" s="2281"/>
      <c r="AL740" s="2282"/>
      <c r="AM740" s="2370" t="str">
        <f t="shared" si="51"/>
        <v xml:space="preserve"> </v>
      </c>
      <c r="AN740" s="2371"/>
      <c r="AO740" s="237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7"/>
      <c r="C741" s="2058"/>
      <c r="D741" s="2058"/>
      <c r="E741" s="2058"/>
      <c r="F741" s="2059"/>
      <c r="G741" s="2296"/>
      <c r="H741" s="2297"/>
      <c r="I741" s="2297"/>
      <c r="J741" s="2298"/>
      <c r="K741" s="2087"/>
      <c r="L741" s="2088"/>
      <c r="M741" s="2088"/>
      <c r="N741" s="2089"/>
      <c r="O741" s="2078"/>
      <c r="P741" s="2079"/>
      <c r="Q741" s="2079"/>
      <c r="R741" s="2079"/>
      <c r="S741" s="2080"/>
      <c r="T741" s="2155">
        <f t="shared" si="49"/>
        <v>0</v>
      </c>
      <c r="U741" s="2156"/>
      <c r="V741" s="2156"/>
      <c r="W741" s="2156"/>
      <c r="X741" s="2157"/>
      <c r="Y741" s="2078">
        <v>0</v>
      </c>
      <c r="Z741" s="2079"/>
      <c r="AA741" s="2079"/>
      <c r="AB741" s="2080"/>
      <c r="AC741" s="2155">
        <f t="shared" si="50"/>
        <v>0</v>
      </c>
      <c r="AD741" s="2156"/>
      <c r="AE741" s="2156"/>
      <c r="AF741" s="2156"/>
      <c r="AG741" s="2157"/>
      <c r="AH741" s="2280">
        <v>0</v>
      </c>
      <c r="AI741" s="2281"/>
      <c r="AJ741" s="2281"/>
      <c r="AK741" s="2281"/>
      <c r="AL741" s="2282"/>
      <c r="AM741" s="2370" t="str">
        <f t="shared" si="51"/>
        <v xml:space="preserve"> </v>
      </c>
      <c r="AN741" s="2371"/>
      <c r="AO741" s="237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7"/>
      <c r="C742" s="2058"/>
      <c r="D742" s="2058"/>
      <c r="E742" s="2058"/>
      <c r="F742" s="2059"/>
      <c r="G742" s="2296"/>
      <c r="H742" s="2297"/>
      <c r="I742" s="2297"/>
      <c r="J742" s="2298"/>
      <c r="K742" s="2087"/>
      <c r="L742" s="2088"/>
      <c r="M742" s="2088"/>
      <c r="N742" s="2089"/>
      <c r="O742" s="2078"/>
      <c r="P742" s="2079"/>
      <c r="Q742" s="2079"/>
      <c r="R742" s="2079"/>
      <c r="S742" s="2080"/>
      <c r="T742" s="2155">
        <f t="shared" si="49"/>
        <v>0</v>
      </c>
      <c r="U742" s="2156"/>
      <c r="V742" s="2156"/>
      <c r="W742" s="2156"/>
      <c r="X742" s="2157"/>
      <c r="Y742" s="2078">
        <v>0</v>
      </c>
      <c r="Z742" s="2079"/>
      <c r="AA742" s="2079"/>
      <c r="AB742" s="2080"/>
      <c r="AC742" s="2155">
        <f t="shared" si="50"/>
        <v>0</v>
      </c>
      <c r="AD742" s="2156"/>
      <c r="AE742" s="2156"/>
      <c r="AF742" s="2156"/>
      <c r="AG742" s="2157"/>
      <c r="AH742" s="2280">
        <v>0</v>
      </c>
      <c r="AI742" s="2281"/>
      <c r="AJ742" s="2281"/>
      <c r="AK742" s="2281"/>
      <c r="AL742" s="2282"/>
      <c r="AM742" s="2370" t="str">
        <f t="shared" si="51"/>
        <v xml:space="preserve"> </v>
      </c>
      <c r="AN742" s="2371"/>
      <c r="AO742" s="237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7"/>
      <c r="C743" s="2058"/>
      <c r="D743" s="2058"/>
      <c r="E743" s="2058"/>
      <c r="F743" s="2059"/>
      <c r="G743" s="2296"/>
      <c r="H743" s="2297"/>
      <c r="I743" s="2297"/>
      <c r="J743" s="2298"/>
      <c r="K743" s="2087"/>
      <c r="L743" s="2088"/>
      <c r="M743" s="2088"/>
      <c r="N743" s="2089"/>
      <c r="O743" s="2078"/>
      <c r="P743" s="2079"/>
      <c r="Q743" s="2079"/>
      <c r="R743" s="2079"/>
      <c r="S743" s="2080"/>
      <c r="T743" s="2155">
        <f t="shared" si="49"/>
        <v>0</v>
      </c>
      <c r="U743" s="2156"/>
      <c r="V743" s="2156"/>
      <c r="W743" s="2156"/>
      <c r="X743" s="2157"/>
      <c r="Y743" s="2078">
        <v>0</v>
      </c>
      <c r="Z743" s="2079"/>
      <c r="AA743" s="2079"/>
      <c r="AB743" s="2080"/>
      <c r="AC743" s="2155">
        <f t="shared" si="50"/>
        <v>0</v>
      </c>
      <c r="AD743" s="2156"/>
      <c r="AE743" s="2156"/>
      <c r="AF743" s="2156"/>
      <c r="AG743" s="2157"/>
      <c r="AH743" s="2280">
        <v>0</v>
      </c>
      <c r="AI743" s="2281"/>
      <c r="AJ743" s="2281"/>
      <c r="AK743" s="2281"/>
      <c r="AL743" s="2282"/>
      <c r="AM743" s="2370" t="str">
        <f t="shared" si="51"/>
        <v xml:space="preserve"> </v>
      </c>
      <c r="AN743" s="2371"/>
      <c r="AO743" s="237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7"/>
      <c r="C744" s="2058"/>
      <c r="D744" s="2058"/>
      <c r="E744" s="2058"/>
      <c r="F744" s="2059"/>
      <c r="G744" s="2296"/>
      <c r="H744" s="2297"/>
      <c r="I744" s="2297"/>
      <c r="J744" s="2298"/>
      <c r="K744" s="2087"/>
      <c r="L744" s="2088"/>
      <c r="M744" s="2088"/>
      <c r="N744" s="2089"/>
      <c r="O744" s="2078"/>
      <c r="P744" s="2079"/>
      <c r="Q744" s="2079"/>
      <c r="R744" s="2079"/>
      <c r="S744" s="2080"/>
      <c r="T744" s="2155">
        <f t="shared" si="49"/>
        <v>0</v>
      </c>
      <c r="U744" s="2156"/>
      <c r="V744" s="2156"/>
      <c r="W744" s="2156"/>
      <c r="X744" s="2157"/>
      <c r="Y744" s="2078">
        <v>0</v>
      </c>
      <c r="Z744" s="2079"/>
      <c r="AA744" s="2079"/>
      <c r="AB744" s="2080"/>
      <c r="AC744" s="2155">
        <f t="shared" si="50"/>
        <v>0</v>
      </c>
      <c r="AD744" s="2156"/>
      <c r="AE744" s="2156"/>
      <c r="AF744" s="2156"/>
      <c r="AG744" s="2157"/>
      <c r="AH744" s="2280">
        <v>0</v>
      </c>
      <c r="AI744" s="2281"/>
      <c r="AJ744" s="2281"/>
      <c r="AK744" s="2281"/>
      <c r="AL744" s="2282"/>
      <c r="AM744" s="2370" t="str">
        <f t="shared" si="51"/>
        <v xml:space="preserve"> </v>
      </c>
      <c r="AN744" s="2371"/>
      <c r="AO744" s="237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7"/>
      <c r="C745" s="2058"/>
      <c r="D745" s="2058"/>
      <c r="E745" s="2058"/>
      <c r="F745" s="2059"/>
      <c r="G745" s="2296"/>
      <c r="H745" s="2297"/>
      <c r="I745" s="2297"/>
      <c r="J745" s="2298"/>
      <c r="K745" s="2087"/>
      <c r="L745" s="2088"/>
      <c r="M745" s="2088"/>
      <c r="N745" s="2089"/>
      <c r="O745" s="2078"/>
      <c r="P745" s="2079"/>
      <c r="Q745" s="2079"/>
      <c r="R745" s="2079"/>
      <c r="S745" s="2080"/>
      <c r="T745" s="2155">
        <f t="shared" si="49"/>
        <v>0</v>
      </c>
      <c r="U745" s="2156"/>
      <c r="V745" s="2156"/>
      <c r="W745" s="2156"/>
      <c r="X745" s="2157"/>
      <c r="Y745" s="2078">
        <v>0</v>
      </c>
      <c r="Z745" s="2079"/>
      <c r="AA745" s="2079"/>
      <c r="AB745" s="2080"/>
      <c r="AC745" s="2155">
        <f t="shared" si="50"/>
        <v>0</v>
      </c>
      <c r="AD745" s="2156"/>
      <c r="AE745" s="2156"/>
      <c r="AF745" s="2156"/>
      <c r="AG745" s="2157"/>
      <c r="AH745" s="2280">
        <v>0</v>
      </c>
      <c r="AI745" s="2281"/>
      <c r="AJ745" s="2281"/>
      <c r="AK745" s="2281"/>
      <c r="AL745" s="2282"/>
      <c r="AM745" s="2370" t="str">
        <f t="shared" si="51"/>
        <v xml:space="preserve"> </v>
      </c>
      <c r="AN745" s="2371"/>
      <c r="AO745" s="237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7"/>
      <c r="C746" s="2058"/>
      <c r="D746" s="2058"/>
      <c r="E746" s="2058"/>
      <c r="F746" s="2059"/>
      <c r="G746" s="2296"/>
      <c r="H746" s="2297"/>
      <c r="I746" s="2297"/>
      <c r="J746" s="2298"/>
      <c r="K746" s="2087"/>
      <c r="L746" s="2088"/>
      <c r="M746" s="2088"/>
      <c r="N746" s="2089"/>
      <c r="O746" s="2078"/>
      <c r="P746" s="2079"/>
      <c r="Q746" s="2079"/>
      <c r="R746" s="2079"/>
      <c r="S746" s="2080"/>
      <c r="T746" s="2155">
        <f t="shared" si="49"/>
        <v>0</v>
      </c>
      <c r="U746" s="2156"/>
      <c r="V746" s="2156"/>
      <c r="W746" s="2156"/>
      <c r="X746" s="2157"/>
      <c r="Y746" s="2078">
        <v>0</v>
      </c>
      <c r="Z746" s="2079"/>
      <c r="AA746" s="2079"/>
      <c r="AB746" s="2080"/>
      <c r="AC746" s="2155">
        <f t="shared" si="50"/>
        <v>0</v>
      </c>
      <c r="AD746" s="2156"/>
      <c r="AE746" s="2156"/>
      <c r="AF746" s="2156"/>
      <c r="AG746" s="2157"/>
      <c r="AH746" s="2280">
        <v>0</v>
      </c>
      <c r="AI746" s="2281"/>
      <c r="AJ746" s="2281"/>
      <c r="AK746" s="2281"/>
      <c r="AL746" s="2282"/>
      <c r="AM746" s="2370" t="str">
        <f t="shared" si="51"/>
        <v xml:space="preserve"> </v>
      </c>
      <c r="AN746" s="2371"/>
      <c r="AO746" s="237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7"/>
      <c r="C747" s="2058"/>
      <c r="D747" s="2058"/>
      <c r="E747" s="2058"/>
      <c r="F747" s="2059"/>
      <c r="G747" s="2296"/>
      <c r="H747" s="2297"/>
      <c r="I747" s="2297"/>
      <c r="J747" s="2298"/>
      <c r="K747" s="2087"/>
      <c r="L747" s="2088"/>
      <c r="M747" s="2088"/>
      <c r="N747" s="2089"/>
      <c r="O747" s="2078"/>
      <c r="P747" s="2079"/>
      <c r="Q747" s="2079"/>
      <c r="R747" s="2079"/>
      <c r="S747" s="2080"/>
      <c r="T747" s="2155">
        <f t="shared" si="49"/>
        <v>0</v>
      </c>
      <c r="U747" s="2156"/>
      <c r="V747" s="2156"/>
      <c r="W747" s="2156"/>
      <c r="X747" s="2157"/>
      <c r="Y747" s="2078">
        <v>0</v>
      </c>
      <c r="Z747" s="2079"/>
      <c r="AA747" s="2079"/>
      <c r="AB747" s="2080"/>
      <c r="AC747" s="2155">
        <f t="shared" si="50"/>
        <v>0</v>
      </c>
      <c r="AD747" s="2156"/>
      <c r="AE747" s="2156"/>
      <c r="AF747" s="2156"/>
      <c r="AG747" s="2157"/>
      <c r="AH747" s="2280">
        <v>0</v>
      </c>
      <c r="AI747" s="2281"/>
      <c r="AJ747" s="2281"/>
      <c r="AK747" s="2281"/>
      <c r="AL747" s="2282"/>
      <c r="AM747" s="2370" t="str">
        <f t="shared" si="51"/>
        <v xml:space="preserve"> </v>
      </c>
      <c r="AN747" s="2371"/>
      <c r="AO747" s="237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7"/>
      <c r="C748" s="2058"/>
      <c r="D748" s="2058"/>
      <c r="E748" s="2058"/>
      <c r="F748" s="2059"/>
      <c r="G748" s="2296"/>
      <c r="H748" s="2297"/>
      <c r="I748" s="2297"/>
      <c r="J748" s="2298"/>
      <c r="K748" s="2087"/>
      <c r="L748" s="2088"/>
      <c r="M748" s="2088"/>
      <c r="N748" s="2089"/>
      <c r="O748" s="2078"/>
      <c r="P748" s="2079"/>
      <c r="Q748" s="2079"/>
      <c r="R748" s="2079"/>
      <c r="S748" s="2080"/>
      <c r="T748" s="2155">
        <f t="shared" si="49"/>
        <v>0</v>
      </c>
      <c r="U748" s="2156"/>
      <c r="V748" s="2156"/>
      <c r="W748" s="2156"/>
      <c r="X748" s="2157"/>
      <c r="Y748" s="2078">
        <v>0</v>
      </c>
      <c r="Z748" s="2079"/>
      <c r="AA748" s="2079"/>
      <c r="AB748" s="2080"/>
      <c r="AC748" s="2155">
        <f t="shared" si="50"/>
        <v>0</v>
      </c>
      <c r="AD748" s="2156"/>
      <c r="AE748" s="2156"/>
      <c r="AF748" s="2156"/>
      <c r="AG748" s="2157"/>
      <c r="AH748" s="2280">
        <v>0</v>
      </c>
      <c r="AI748" s="2281"/>
      <c r="AJ748" s="2281"/>
      <c r="AK748" s="2281"/>
      <c r="AL748" s="2282"/>
      <c r="AM748" s="2370" t="str">
        <f t="shared" si="51"/>
        <v xml:space="preserve"> </v>
      </c>
      <c r="AN748" s="2371"/>
      <c r="AO748" s="237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7"/>
      <c r="C749" s="2058"/>
      <c r="D749" s="2058"/>
      <c r="E749" s="2058"/>
      <c r="F749" s="2059"/>
      <c r="G749" s="2296"/>
      <c r="H749" s="2297"/>
      <c r="I749" s="2297"/>
      <c r="J749" s="2298"/>
      <c r="K749" s="2087"/>
      <c r="L749" s="2088"/>
      <c r="M749" s="2088"/>
      <c r="N749" s="2089"/>
      <c r="O749" s="2078"/>
      <c r="P749" s="2079"/>
      <c r="Q749" s="2079"/>
      <c r="R749" s="2079"/>
      <c r="S749" s="2080"/>
      <c r="T749" s="2155">
        <f t="shared" si="49"/>
        <v>0</v>
      </c>
      <c r="U749" s="2156"/>
      <c r="V749" s="2156"/>
      <c r="W749" s="2156"/>
      <c r="X749" s="2157"/>
      <c r="Y749" s="2078">
        <v>0</v>
      </c>
      <c r="Z749" s="2079"/>
      <c r="AA749" s="2079"/>
      <c r="AB749" s="2080"/>
      <c r="AC749" s="2155">
        <f t="shared" si="50"/>
        <v>0</v>
      </c>
      <c r="AD749" s="2156"/>
      <c r="AE749" s="2156"/>
      <c r="AF749" s="2156"/>
      <c r="AG749" s="2157"/>
      <c r="AH749" s="2280">
        <v>0</v>
      </c>
      <c r="AI749" s="2281"/>
      <c r="AJ749" s="2281"/>
      <c r="AK749" s="2281"/>
      <c r="AL749" s="2282"/>
      <c r="AM749" s="2370" t="str">
        <f t="shared" si="51"/>
        <v xml:space="preserve"> </v>
      </c>
      <c r="AN749" s="2371"/>
      <c r="AO749" s="237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7"/>
      <c r="C750" s="2058"/>
      <c r="D750" s="2058"/>
      <c r="E750" s="2058"/>
      <c r="F750" s="2059"/>
      <c r="G750" s="2296"/>
      <c r="H750" s="2297"/>
      <c r="I750" s="2297"/>
      <c r="J750" s="2298"/>
      <c r="K750" s="2087"/>
      <c r="L750" s="2088"/>
      <c r="M750" s="2088"/>
      <c r="N750" s="2089"/>
      <c r="O750" s="2078"/>
      <c r="P750" s="2079"/>
      <c r="Q750" s="2079"/>
      <c r="R750" s="2079"/>
      <c r="S750" s="2080"/>
      <c r="T750" s="2155">
        <f t="shared" si="49"/>
        <v>0</v>
      </c>
      <c r="U750" s="2156"/>
      <c r="V750" s="2156"/>
      <c r="W750" s="2156"/>
      <c r="X750" s="2157"/>
      <c r="Y750" s="2078">
        <v>0</v>
      </c>
      <c r="Z750" s="2079"/>
      <c r="AA750" s="2079"/>
      <c r="AB750" s="2080"/>
      <c r="AC750" s="2155">
        <f t="shared" si="50"/>
        <v>0</v>
      </c>
      <c r="AD750" s="2156"/>
      <c r="AE750" s="2156"/>
      <c r="AF750" s="2156"/>
      <c r="AG750" s="2157"/>
      <c r="AH750" s="2280">
        <v>0</v>
      </c>
      <c r="AI750" s="2281"/>
      <c r="AJ750" s="2281"/>
      <c r="AK750" s="2281"/>
      <c r="AL750" s="2282"/>
      <c r="AM750" s="2370" t="str">
        <f t="shared" si="51"/>
        <v xml:space="preserve"> </v>
      </c>
      <c r="AN750" s="2371"/>
      <c r="AO750" s="237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7"/>
      <c r="C751" s="2058"/>
      <c r="D751" s="2058"/>
      <c r="E751" s="2058"/>
      <c r="F751" s="2059"/>
      <c r="G751" s="2296"/>
      <c r="H751" s="2297"/>
      <c r="I751" s="2297"/>
      <c r="J751" s="2298"/>
      <c r="K751" s="2087"/>
      <c r="L751" s="2088"/>
      <c r="M751" s="2088"/>
      <c r="N751" s="2089"/>
      <c r="O751" s="2078"/>
      <c r="P751" s="2079"/>
      <c r="Q751" s="2079"/>
      <c r="R751" s="2079"/>
      <c r="S751" s="2080"/>
      <c r="T751" s="2155">
        <f t="shared" si="49"/>
        <v>0</v>
      </c>
      <c r="U751" s="2156"/>
      <c r="V751" s="2156"/>
      <c r="W751" s="2156"/>
      <c r="X751" s="2157"/>
      <c r="Y751" s="2078">
        <v>0</v>
      </c>
      <c r="Z751" s="2079"/>
      <c r="AA751" s="2079"/>
      <c r="AB751" s="2080"/>
      <c r="AC751" s="2155">
        <f t="shared" si="50"/>
        <v>0</v>
      </c>
      <c r="AD751" s="2156"/>
      <c r="AE751" s="2156"/>
      <c r="AF751" s="2156"/>
      <c r="AG751" s="2157"/>
      <c r="AH751" s="2280">
        <v>0</v>
      </c>
      <c r="AI751" s="2281"/>
      <c r="AJ751" s="2281"/>
      <c r="AK751" s="2281"/>
      <c r="AL751" s="2282"/>
      <c r="AM751" s="2370" t="str">
        <f t="shared" si="51"/>
        <v xml:space="preserve"> </v>
      </c>
      <c r="AN751" s="2371"/>
      <c r="AO751" s="237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7"/>
      <c r="C752" s="2058"/>
      <c r="D752" s="2058"/>
      <c r="E752" s="2058"/>
      <c r="F752" s="2059"/>
      <c r="G752" s="2296"/>
      <c r="H752" s="2297"/>
      <c r="I752" s="2297"/>
      <c r="J752" s="2298"/>
      <c r="K752" s="2087"/>
      <c r="L752" s="2088"/>
      <c r="M752" s="2088"/>
      <c r="N752" s="2089"/>
      <c r="O752" s="2078"/>
      <c r="P752" s="2079"/>
      <c r="Q752" s="2079"/>
      <c r="R752" s="2079"/>
      <c r="S752" s="2080"/>
      <c r="T752" s="2155">
        <f t="shared" si="49"/>
        <v>0</v>
      </c>
      <c r="U752" s="2156"/>
      <c r="V752" s="2156"/>
      <c r="W752" s="2156"/>
      <c r="X752" s="2157"/>
      <c r="Y752" s="2078">
        <v>0</v>
      </c>
      <c r="Z752" s="2079"/>
      <c r="AA752" s="2079"/>
      <c r="AB752" s="2080"/>
      <c r="AC752" s="2155">
        <f t="shared" si="50"/>
        <v>0</v>
      </c>
      <c r="AD752" s="2156"/>
      <c r="AE752" s="2156"/>
      <c r="AF752" s="2156"/>
      <c r="AG752" s="2157"/>
      <c r="AH752" s="2280">
        <v>0</v>
      </c>
      <c r="AI752" s="2281"/>
      <c r="AJ752" s="2281"/>
      <c r="AK752" s="2281"/>
      <c r="AL752" s="2282"/>
      <c r="AM752" s="2370" t="str">
        <f t="shared" si="51"/>
        <v xml:space="preserve"> </v>
      </c>
      <c r="AN752" s="2371"/>
      <c r="AO752" s="237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1" t="s">
        <v>130</v>
      </c>
      <c r="C753" s="2192"/>
      <c r="D753" s="2192"/>
      <c r="E753" s="2192"/>
      <c r="F753" s="2194"/>
      <c r="G753" s="2271">
        <f>SUM(G728:J752)</f>
        <v>149</v>
      </c>
      <c r="H753" s="2272"/>
      <c r="I753" s="2272"/>
      <c r="J753" s="2273"/>
      <c r="O753" s="1584" t="s">
        <v>129</v>
      </c>
      <c r="P753" s="1585"/>
      <c r="Q753" s="1585"/>
      <c r="R753" s="1585"/>
      <c r="S753" s="1586"/>
      <c r="T753" s="2155">
        <f>SUM(T728:X752)</f>
        <v>119270</v>
      </c>
      <c r="U753" s="2156"/>
      <c r="V753" s="2156"/>
      <c r="W753" s="2156"/>
      <c r="X753" s="2157"/>
      <c r="AC753" s="1588" t="s">
        <v>969</v>
      </c>
      <c r="AD753" s="1587"/>
      <c r="AE753" s="1587"/>
      <c r="AF753" s="1587"/>
      <c r="AG753" s="1589"/>
      <c r="AH753" s="2373">
        <f>BI696</f>
        <v>0.5</v>
      </c>
      <c r="AI753" s="2374"/>
      <c r="AJ753" s="2374"/>
      <c r="AK753" s="2374"/>
      <c r="AL753" s="2375"/>
      <c r="AM753" s="2373">
        <f>BI728</f>
        <v>0.5</v>
      </c>
      <c r="AN753" s="2374"/>
      <c r="AO753" s="2375"/>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7" t="s">
        <v>626</v>
      </c>
      <c r="AG755" s="2437"/>
      <c r="AH755" s="243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5" t="s">
        <v>407</v>
      </c>
      <c r="K768" s="2126"/>
      <c r="L768" s="2126"/>
      <c r="M768" s="2126"/>
      <c r="N768" s="2127"/>
      <c r="O768" s="2302" t="s">
        <v>291</v>
      </c>
      <c r="P768" s="2302"/>
      <c r="Q768" s="2302"/>
      <c r="R768" s="2302"/>
      <c r="S768" s="2302"/>
      <c r="T768" s="2283" t="s">
        <v>2154</v>
      </c>
      <c r="U768" s="2284"/>
      <c r="V768" s="2284"/>
      <c r="W768" s="2285"/>
      <c r="X768" s="2125" t="s">
        <v>478</v>
      </c>
      <c r="Y768" s="2126"/>
      <c r="Z768" s="2126"/>
      <c r="AA768" s="2126"/>
      <c r="AB768" s="2127"/>
      <c r="AC768" s="2125" t="s">
        <v>292</v>
      </c>
      <c r="AD768" s="2126"/>
      <c r="AE768" s="2126"/>
      <c r="AF768" s="2126"/>
      <c r="AG768" s="2127"/>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8"/>
      <c r="K769" s="2129"/>
      <c r="L769" s="2129"/>
      <c r="M769" s="2129"/>
      <c r="N769" s="2130"/>
      <c r="O769" s="2302"/>
      <c r="P769" s="2302"/>
      <c r="Q769" s="2302"/>
      <c r="R769" s="2302"/>
      <c r="S769" s="2302"/>
      <c r="T769" s="2286"/>
      <c r="U769" s="2287"/>
      <c r="V769" s="2287"/>
      <c r="W769" s="2288"/>
      <c r="X769" s="2128"/>
      <c r="Y769" s="2129"/>
      <c r="Z769" s="2129"/>
      <c r="AA769" s="2129"/>
      <c r="AB769" s="2130"/>
      <c r="AC769" s="2128"/>
      <c r="AD769" s="2129"/>
      <c r="AE769" s="2129"/>
      <c r="AF769" s="2129"/>
      <c r="AG769" s="2130"/>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8"/>
      <c r="K770" s="2129"/>
      <c r="L770" s="2129"/>
      <c r="M770" s="2129"/>
      <c r="N770" s="2130"/>
      <c r="O770" s="2302"/>
      <c r="P770" s="2302"/>
      <c r="Q770" s="2302"/>
      <c r="R770" s="2302"/>
      <c r="S770" s="2302"/>
      <c r="T770" s="2286"/>
      <c r="U770" s="2287"/>
      <c r="V770" s="2287"/>
      <c r="W770" s="2288"/>
      <c r="X770" s="2128"/>
      <c r="Y770" s="2129"/>
      <c r="Z770" s="2129"/>
      <c r="AA770" s="2129"/>
      <c r="AB770" s="2130"/>
      <c r="AC770" s="2128"/>
      <c r="AD770" s="2129"/>
      <c r="AE770" s="2129"/>
      <c r="AF770" s="2129"/>
      <c r="AG770" s="2130"/>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1"/>
      <c r="K771" s="2132"/>
      <c r="L771" s="2132"/>
      <c r="M771" s="2132"/>
      <c r="N771" s="2133"/>
      <c r="O771" s="2302"/>
      <c r="P771" s="2302"/>
      <c r="Q771" s="2302"/>
      <c r="R771" s="2302"/>
      <c r="S771" s="2302"/>
      <c r="T771" s="2289"/>
      <c r="U771" s="2290"/>
      <c r="V771" s="2290"/>
      <c r="W771" s="2291"/>
      <c r="X771" s="2131"/>
      <c r="Y771" s="2132"/>
      <c r="Z771" s="2132"/>
      <c r="AA771" s="2132"/>
      <c r="AB771" s="2133"/>
      <c r="AC771" s="2131"/>
      <c r="AD771" s="2132"/>
      <c r="AE771" s="2132"/>
      <c r="AF771" s="2132"/>
      <c r="AG771" s="2133"/>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7" t="s">
        <v>168</v>
      </c>
      <c r="K772" s="2058"/>
      <c r="L772" s="2058"/>
      <c r="M772" s="2058"/>
      <c r="N772" s="2059"/>
      <c r="O772" s="2094">
        <v>1</v>
      </c>
      <c r="P772" s="2094"/>
      <c r="Q772" s="2094"/>
      <c r="R772" s="2094"/>
      <c r="S772" s="2094"/>
      <c r="T772" s="2087">
        <v>755</v>
      </c>
      <c r="U772" s="2088"/>
      <c r="V772" s="2088"/>
      <c r="W772" s="2089"/>
      <c r="X772" s="2078">
        <v>0</v>
      </c>
      <c r="Y772" s="2079"/>
      <c r="Z772" s="2079"/>
      <c r="AA772" s="2079"/>
      <c r="AB772" s="2080"/>
      <c r="AC772" s="2155">
        <f>X772*O772</f>
        <v>0</v>
      </c>
      <c r="AD772" s="2156"/>
      <c r="AE772" s="2156"/>
      <c r="AF772" s="2156"/>
      <c r="AG772" s="2157"/>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7"/>
      <c r="K773" s="2058"/>
      <c r="L773" s="2058"/>
      <c r="M773" s="2058"/>
      <c r="N773" s="2059"/>
      <c r="O773" s="2094"/>
      <c r="P773" s="2094"/>
      <c r="Q773" s="2094"/>
      <c r="R773" s="2094"/>
      <c r="S773" s="2094"/>
      <c r="T773" s="2087"/>
      <c r="U773" s="2088"/>
      <c r="V773" s="2088"/>
      <c r="W773" s="2089"/>
      <c r="X773" s="2078"/>
      <c r="Y773" s="2079"/>
      <c r="Z773" s="2079"/>
      <c r="AA773" s="2079"/>
      <c r="AB773" s="2080"/>
      <c r="AC773" s="2155">
        <f>X773*O773</f>
        <v>0</v>
      </c>
      <c r="AD773" s="2156"/>
      <c r="AE773" s="2156"/>
      <c r="AF773" s="2156"/>
      <c r="AG773" s="2157"/>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7"/>
      <c r="K774" s="2058"/>
      <c r="L774" s="2058"/>
      <c r="M774" s="2058"/>
      <c r="N774" s="2059"/>
      <c r="O774" s="2094"/>
      <c r="P774" s="2094"/>
      <c r="Q774" s="2094"/>
      <c r="R774" s="2094"/>
      <c r="S774" s="2094"/>
      <c r="T774" s="2087"/>
      <c r="U774" s="2088"/>
      <c r="V774" s="2088"/>
      <c r="W774" s="2089"/>
      <c r="X774" s="2078"/>
      <c r="Y774" s="2079"/>
      <c r="Z774" s="2079"/>
      <c r="AA774" s="2079"/>
      <c r="AB774" s="2080"/>
      <c r="AC774" s="2155">
        <f>X774*O774</f>
        <v>0</v>
      </c>
      <c r="AD774" s="2156"/>
      <c r="AE774" s="2156"/>
      <c r="AF774" s="2156"/>
      <c r="AG774" s="2157"/>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7"/>
      <c r="K775" s="2058"/>
      <c r="L775" s="2058"/>
      <c r="M775" s="2058"/>
      <c r="N775" s="2059"/>
      <c r="O775" s="2094"/>
      <c r="P775" s="2094"/>
      <c r="Q775" s="2094"/>
      <c r="R775" s="2094"/>
      <c r="S775" s="2094"/>
      <c r="T775" s="2087"/>
      <c r="U775" s="2088"/>
      <c r="V775" s="2088"/>
      <c r="W775" s="2089"/>
      <c r="X775" s="2078"/>
      <c r="Y775" s="2079"/>
      <c r="Z775" s="2079"/>
      <c r="AA775" s="2079"/>
      <c r="AB775" s="2080"/>
      <c r="AC775" s="2155">
        <f>X775*O775</f>
        <v>0</v>
      </c>
      <c r="AD775" s="2156"/>
      <c r="AE775" s="2156"/>
      <c r="AF775" s="2156"/>
      <c r="AG775" s="2157"/>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304">
        <f>SUM(O772:S775)</f>
        <v>1</v>
      </c>
      <c r="P776" s="2305"/>
      <c r="Q776" s="2305"/>
      <c r="R776" s="2305"/>
      <c r="S776" s="2306"/>
      <c r="X776" s="2390" t="s">
        <v>129</v>
      </c>
      <c r="Y776" s="2391"/>
      <c r="Z776" s="2391"/>
      <c r="AA776" s="2391"/>
      <c r="AB776" s="2392"/>
      <c r="AC776" s="2155">
        <f>SUM(AC772:AG775)</f>
        <v>0</v>
      </c>
      <c r="AD776" s="2156"/>
      <c r="AE776" s="2156"/>
      <c r="AF776" s="2156"/>
      <c r="AG776" s="2157"/>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4" t="s">
        <v>706</v>
      </c>
      <c r="K778" s="207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5" t="s">
        <v>407</v>
      </c>
      <c r="K782" s="2126"/>
      <c r="L782" s="2126"/>
      <c r="M782" s="2126"/>
      <c r="N782" s="2127"/>
      <c r="O782" s="2302" t="s">
        <v>291</v>
      </c>
      <c r="P782" s="2302"/>
      <c r="Q782" s="2302"/>
      <c r="R782" s="2302"/>
      <c r="S782" s="2302"/>
      <c r="T782" s="2283" t="s">
        <v>2154</v>
      </c>
      <c r="U782" s="2284"/>
      <c r="V782" s="2284"/>
      <c r="W782" s="2285"/>
      <c r="X782" s="2125" t="s">
        <v>478</v>
      </c>
      <c r="Y782" s="2126"/>
      <c r="Z782" s="2126"/>
      <c r="AA782" s="2126"/>
      <c r="AB782" s="2127"/>
      <c r="AC782" s="2125" t="s">
        <v>292</v>
      </c>
      <c r="AD782" s="2126"/>
      <c r="AE782" s="2126"/>
      <c r="AF782" s="2126"/>
      <c r="AG782" s="2127"/>
      <c r="AH782" s="2279" t="s">
        <v>2394</v>
      </c>
      <c r="AI782" s="2126"/>
      <c r="AJ782" s="2126"/>
      <c r="AK782" s="2126"/>
      <c r="AL782" s="21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8"/>
      <c r="K783" s="2129"/>
      <c r="L783" s="2129"/>
      <c r="M783" s="2129"/>
      <c r="N783" s="2130"/>
      <c r="O783" s="2302"/>
      <c r="P783" s="2302"/>
      <c r="Q783" s="2302"/>
      <c r="R783" s="2302"/>
      <c r="S783" s="2302"/>
      <c r="T783" s="2286"/>
      <c r="U783" s="2287"/>
      <c r="V783" s="2287"/>
      <c r="W783" s="2288"/>
      <c r="X783" s="2128"/>
      <c r="Y783" s="2129"/>
      <c r="Z783" s="2129"/>
      <c r="AA783" s="2129"/>
      <c r="AB783" s="2130"/>
      <c r="AC783" s="2128"/>
      <c r="AD783" s="2129"/>
      <c r="AE783" s="2129"/>
      <c r="AF783" s="2129"/>
      <c r="AG783" s="2130"/>
      <c r="AH783" s="2128"/>
      <c r="AI783" s="2129"/>
      <c r="AJ783" s="2129"/>
      <c r="AK783" s="2129"/>
      <c r="AL783" s="21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8"/>
      <c r="K784" s="2129"/>
      <c r="L784" s="2129"/>
      <c r="M784" s="2129"/>
      <c r="N784" s="2130"/>
      <c r="O784" s="2302"/>
      <c r="P784" s="2302"/>
      <c r="Q784" s="2302"/>
      <c r="R784" s="2302"/>
      <c r="S784" s="2302"/>
      <c r="T784" s="2286"/>
      <c r="U784" s="2287"/>
      <c r="V784" s="2287"/>
      <c r="W784" s="2288"/>
      <c r="X784" s="2128"/>
      <c r="Y784" s="2129"/>
      <c r="Z784" s="2129"/>
      <c r="AA784" s="2129"/>
      <c r="AB784" s="2130"/>
      <c r="AC784" s="2128"/>
      <c r="AD784" s="2129"/>
      <c r="AE784" s="2129"/>
      <c r="AF784" s="2129"/>
      <c r="AG784" s="2130"/>
      <c r="AH784" s="2128"/>
      <c r="AI784" s="2129"/>
      <c r="AJ784" s="2129"/>
      <c r="AK784" s="2129"/>
      <c r="AL784" s="21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1"/>
      <c r="K785" s="2132"/>
      <c r="L785" s="2132"/>
      <c r="M785" s="2132"/>
      <c r="N785" s="2133"/>
      <c r="O785" s="2302"/>
      <c r="P785" s="2302"/>
      <c r="Q785" s="2302"/>
      <c r="R785" s="2302"/>
      <c r="S785" s="2302"/>
      <c r="T785" s="2289"/>
      <c r="U785" s="2290"/>
      <c r="V785" s="2290"/>
      <c r="W785" s="2291"/>
      <c r="X785" s="2131"/>
      <c r="Y785" s="2132"/>
      <c r="Z785" s="2132"/>
      <c r="AA785" s="2132"/>
      <c r="AB785" s="2133"/>
      <c r="AC785" s="2131"/>
      <c r="AD785" s="2132"/>
      <c r="AE785" s="2132"/>
      <c r="AF785" s="2132"/>
      <c r="AG785" s="2133"/>
      <c r="AH785" s="2131"/>
      <c r="AI785" s="2132"/>
      <c r="AJ785" s="2132"/>
      <c r="AK785" s="2132"/>
      <c r="AL785" s="21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7"/>
      <c r="K786" s="2058"/>
      <c r="L786" s="2058"/>
      <c r="M786" s="2058"/>
      <c r="N786" s="2059"/>
      <c r="O786" s="2094"/>
      <c r="P786" s="2094"/>
      <c r="Q786" s="2094"/>
      <c r="R786" s="2094"/>
      <c r="S786" s="2094"/>
      <c r="T786" s="2087"/>
      <c r="U786" s="2088"/>
      <c r="V786" s="2088"/>
      <c r="W786" s="2089"/>
      <c r="X786" s="2078"/>
      <c r="Y786" s="2079"/>
      <c r="Z786" s="2079"/>
      <c r="AA786" s="2079"/>
      <c r="AB786" s="2080"/>
      <c r="AC786" s="2155">
        <f t="shared" ref="AC786:AC795" si="52">X786*O786</f>
        <v>0</v>
      </c>
      <c r="AD786" s="2156"/>
      <c r="AE786" s="2156"/>
      <c r="AF786" s="2156"/>
      <c r="AG786" s="2157"/>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7"/>
      <c r="K787" s="2058"/>
      <c r="L787" s="2058"/>
      <c r="M787" s="2058"/>
      <c r="N787" s="2059"/>
      <c r="O787" s="2094"/>
      <c r="P787" s="2094"/>
      <c r="Q787" s="2094"/>
      <c r="R787" s="2094"/>
      <c r="S787" s="2094"/>
      <c r="T787" s="2087"/>
      <c r="U787" s="2088"/>
      <c r="V787" s="2088"/>
      <c r="W787" s="2089"/>
      <c r="X787" s="2078"/>
      <c r="Y787" s="2079"/>
      <c r="Z787" s="2079"/>
      <c r="AA787" s="2079"/>
      <c r="AB787" s="2080"/>
      <c r="AC787" s="2155">
        <f t="shared" si="52"/>
        <v>0</v>
      </c>
      <c r="AD787" s="2156"/>
      <c r="AE787" s="2156"/>
      <c r="AF787" s="2156"/>
      <c r="AG787" s="2157"/>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7"/>
      <c r="K788" s="2058"/>
      <c r="L788" s="2058"/>
      <c r="M788" s="2058"/>
      <c r="N788" s="2059"/>
      <c r="O788" s="2094"/>
      <c r="P788" s="2094"/>
      <c r="Q788" s="2094"/>
      <c r="R788" s="2094"/>
      <c r="S788" s="2094"/>
      <c r="T788" s="2087"/>
      <c r="U788" s="2088"/>
      <c r="V788" s="2088"/>
      <c r="W788" s="2089"/>
      <c r="X788" s="2078"/>
      <c r="Y788" s="2079"/>
      <c r="Z788" s="2079"/>
      <c r="AA788" s="2079"/>
      <c r="AB788" s="2080"/>
      <c r="AC788" s="2155">
        <f t="shared" si="52"/>
        <v>0</v>
      </c>
      <c r="AD788" s="2156"/>
      <c r="AE788" s="2156"/>
      <c r="AF788" s="2156"/>
      <c r="AG788" s="2157"/>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7"/>
      <c r="K789" s="2058"/>
      <c r="L789" s="2058"/>
      <c r="M789" s="2058"/>
      <c r="N789" s="2059"/>
      <c r="O789" s="2094"/>
      <c r="P789" s="2094"/>
      <c r="Q789" s="2094"/>
      <c r="R789" s="2094"/>
      <c r="S789" s="2094"/>
      <c r="T789" s="2087"/>
      <c r="U789" s="2088"/>
      <c r="V789" s="2088"/>
      <c r="W789" s="2089"/>
      <c r="X789" s="2078"/>
      <c r="Y789" s="2079"/>
      <c r="Z789" s="2079"/>
      <c r="AA789" s="2079"/>
      <c r="AB789" s="2080"/>
      <c r="AC789" s="2155">
        <f t="shared" si="52"/>
        <v>0</v>
      </c>
      <c r="AD789" s="2156"/>
      <c r="AE789" s="2156"/>
      <c r="AF789" s="2156"/>
      <c r="AG789" s="2157"/>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7"/>
      <c r="K790" s="2058"/>
      <c r="L790" s="2058"/>
      <c r="M790" s="2058"/>
      <c r="N790" s="2059"/>
      <c r="O790" s="2094"/>
      <c r="P790" s="2094"/>
      <c r="Q790" s="2094"/>
      <c r="R790" s="2094"/>
      <c r="S790" s="2094"/>
      <c r="T790" s="2087"/>
      <c r="U790" s="2088"/>
      <c r="V790" s="2088"/>
      <c r="W790" s="2089"/>
      <c r="X790" s="2078"/>
      <c r="Y790" s="2079"/>
      <c r="Z790" s="2079"/>
      <c r="AA790" s="2079"/>
      <c r="AB790" s="2080"/>
      <c r="AC790" s="2155">
        <f t="shared" si="52"/>
        <v>0</v>
      </c>
      <c r="AD790" s="2156"/>
      <c r="AE790" s="2156"/>
      <c r="AF790" s="2156"/>
      <c r="AG790" s="2157"/>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7"/>
      <c r="K791" s="2058"/>
      <c r="L791" s="2058"/>
      <c r="M791" s="2058"/>
      <c r="N791" s="2059"/>
      <c r="O791" s="2094"/>
      <c r="P791" s="2094"/>
      <c r="Q791" s="2094"/>
      <c r="R791" s="2094"/>
      <c r="S791" s="2094"/>
      <c r="T791" s="2087"/>
      <c r="U791" s="2088"/>
      <c r="V791" s="2088"/>
      <c r="W791" s="2089"/>
      <c r="X791" s="2078"/>
      <c r="Y791" s="2079"/>
      <c r="Z791" s="2079"/>
      <c r="AA791" s="2079"/>
      <c r="AB791" s="2080"/>
      <c r="AC791" s="2155">
        <f t="shared" si="52"/>
        <v>0</v>
      </c>
      <c r="AD791" s="2156"/>
      <c r="AE791" s="2156"/>
      <c r="AF791" s="2156"/>
      <c r="AG791" s="2157"/>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7"/>
      <c r="K792" s="2058"/>
      <c r="L792" s="2058"/>
      <c r="M792" s="2058"/>
      <c r="N792" s="2059"/>
      <c r="O792" s="2094"/>
      <c r="P792" s="2094"/>
      <c r="Q792" s="2094"/>
      <c r="R792" s="2094"/>
      <c r="S792" s="2094"/>
      <c r="T792" s="2087"/>
      <c r="U792" s="2088"/>
      <c r="V792" s="2088"/>
      <c r="W792" s="2089"/>
      <c r="X792" s="2078"/>
      <c r="Y792" s="2079"/>
      <c r="Z792" s="2079"/>
      <c r="AA792" s="2079"/>
      <c r="AB792" s="2080"/>
      <c r="AC792" s="2155">
        <f t="shared" si="52"/>
        <v>0</v>
      </c>
      <c r="AD792" s="2156"/>
      <c r="AE792" s="2156"/>
      <c r="AF792" s="2156"/>
      <c r="AG792" s="2157"/>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7"/>
      <c r="K793" s="2058"/>
      <c r="L793" s="2058"/>
      <c r="M793" s="2058"/>
      <c r="N793" s="2059"/>
      <c r="O793" s="2094"/>
      <c r="P793" s="2094"/>
      <c r="Q793" s="2094"/>
      <c r="R793" s="2094"/>
      <c r="S793" s="2094"/>
      <c r="T793" s="2087"/>
      <c r="U793" s="2088"/>
      <c r="V793" s="2088"/>
      <c r="W793" s="2089"/>
      <c r="X793" s="2078"/>
      <c r="Y793" s="2079"/>
      <c r="Z793" s="2079"/>
      <c r="AA793" s="2079"/>
      <c r="AB793" s="2080"/>
      <c r="AC793" s="2155">
        <f t="shared" si="52"/>
        <v>0</v>
      </c>
      <c r="AD793" s="2156"/>
      <c r="AE793" s="2156"/>
      <c r="AF793" s="2156"/>
      <c r="AG793" s="2157"/>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7"/>
      <c r="K794" s="2058"/>
      <c r="L794" s="2058"/>
      <c r="M794" s="2058"/>
      <c r="N794" s="2059"/>
      <c r="O794" s="2094"/>
      <c r="P794" s="2094"/>
      <c r="Q794" s="2094"/>
      <c r="R794" s="2094"/>
      <c r="S794" s="2094"/>
      <c r="T794" s="2087"/>
      <c r="U794" s="2088"/>
      <c r="V794" s="2088"/>
      <c r="W794" s="2089"/>
      <c r="X794" s="2078"/>
      <c r="Y794" s="2079"/>
      <c r="Z794" s="2079"/>
      <c r="AA794" s="2079"/>
      <c r="AB794" s="2080"/>
      <c r="AC794" s="2155">
        <f t="shared" si="52"/>
        <v>0</v>
      </c>
      <c r="AD794" s="2156"/>
      <c r="AE794" s="2156"/>
      <c r="AF794" s="2156"/>
      <c r="AG794" s="2157"/>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7"/>
      <c r="K795" s="2058"/>
      <c r="L795" s="2058"/>
      <c r="M795" s="2058"/>
      <c r="N795" s="2059"/>
      <c r="O795" s="2094"/>
      <c r="P795" s="2094"/>
      <c r="Q795" s="2094"/>
      <c r="R795" s="2094"/>
      <c r="S795" s="2094"/>
      <c r="T795" s="2087"/>
      <c r="U795" s="2088"/>
      <c r="V795" s="2088"/>
      <c r="W795" s="2089"/>
      <c r="X795" s="2078"/>
      <c r="Y795" s="2079"/>
      <c r="Z795" s="2079"/>
      <c r="AA795" s="2079"/>
      <c r="AB795" s="2080"/>
      <c r="AC795" s="2155">
        <f t="shared" si="52"/>
        <v>0</v>
      </c>
      <c r="AD795" s="2156"/>
      <c r="AE795" s="2156"/>
      <c r="AF795" s="2156"/>
      <c r="AG795" s="2157"/>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303">
        <f>SUM(O786:S795)</f>
        <v>0</v>
      </c>
      <c r="P796" s="2303"/>
      <c r="Q796" s="2303"/>
      <c r="R796" s="2303"/>
      <c r="S796" s="2303"/>
      <c r="X796" s="1601" t="s">
        <v>129</v>
      </c>
      <c r="Y796" s="1602"/>
      <c r="Z796" s="1602"/>
      <c r="AA796" s="1602"/>
      <c r="AB796" s="1603"/>
      <c r="AC796" s="2155">
        <f>SUM(AC786:AG795)</f>
        <v>0</v>
      </c>
      <c r="AD796" s="2156"/>
      <c r="AE796" s="2156"/>
      <c r="AF796" s="2156"/>
      <c r="AG796" s="215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8">
        <f>T753+AC776+AC796</f>
        <v>119270</v>
      </c>
      <c r="Z798" s="2148"/>
      <c r="AA798" s="2148"/>
      <c r="AB798" s="2148"/>
      <c r="AC798" s="214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8">
        <f>(T753+AC776+AC796)*12</f>
        <v>1431240</v>
      </c>
      <c r="Z799" s="2148"/>
      <c r="AA799" s="2148"/>
      <c r="AB799" s="2148"/>
      <c r="AC799" s="2148"/>
      <c r="AZ799" s="58"/>
      <c r="BA799" s="51" t="s">
        <v>667</v>
      </c>
      <c r="BB799" s="51"/>
      <c r="BC799" s="51"/>
      <c r="BD799" s="51"/>
      <c r="BE799" s="51"/>
      <c r="BF799" s="51"/>
      <c r="BG799" s="51"/>
      <c r="BH799" s="51"/>
      <c r="BI799" s="51"/>
      <c r="BJ799" s="51"/>
      <c r="BK799" s="51"/>
      <c r="BL799" s="51"/>
      <c r="BM799" s="51"/>
      <c r="BN799" s="2368" t="s">
        <v>502</v>
      </c>
      <c r="BO799" s="2369"/>
      <c r="BP799" s="58"/>
      <c r="BQ799" s="58"/>
      <c r="BR799" s="58"/>
      <c r="BS799" s="51" t="s">
        <v>669</v>
      </c>
      <c r="BT799" s="51"/>
      <c r="BU799" s="51"/>
      <c r="BV799" s="51"/>
      <c r="BW799" s="51"/>
      <c r="BX799" s="51"/>
      <c r="BY799" s="51"/>
      <c r="BZ799" s="51"/>
      <c r="CA799" s="51"/>
      <c r="CB799" s="2365" t="str">
        <f>T189</f>
        <v>Sacramento</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5">
        <v>0</v>
      </c>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8" t="s">
        <v>626</v>
      </c>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9" t="s">
        <v>626</v>
      </c>
      <c r="AA806" s="2341"/>
      <c r="AB806" s="2341"/>
      <c r="AC806" s="2341"/>
      <c r="AD806" s="2341"/>
      <c r="AE806" s="234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9">
        <f>'Subsidy Contract Calculation'!I30</f>
        <v>0</v>
      </c>
      <c r="AA807" s="2150"/>
      <c r="AB807" s="2150"/>
      <c r="AC807" s="2150"/>
      <c r="AD807" s="2150"/>
      <c r="AE807" s="215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3">
        <v>13000</v>
      </c>
      <c r="AA811" s="2044"/>
      <c r="AB811" s="2044"/>
      <c r="AC811" s="2044"/>
      <c r="AD811" s="2044"/>
      <c r="AE811" s="204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3"/>
      <c r="AA812" s="2044"/>
      <c r="AB812" s="2044"/>
      <c r="AC812" s="2044"/>
      <c r="AD812" s="2044"/>
      <c r="AE812" s="204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3"/>
      <c r="AA813" s="2044"/>
      <c r="AB813" s="2044"/>
      <c r="AC813" s="2044"/>
      <c r="AD813" s="2044"/>
      <c r="AE813" s="204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7" t="s">
        <v>343</v>
      </c>
      <c r="Q814" s="2308"/>
      <c r="R814" s="2308"/>
      <c r="S814" s="2308"/>
      <c r="T814" s="2308"/>
      <c r="U814" s="2308"/>
      <c r="V814" s="2308"/>
      <c r="W814" s="2308"/>
      <c r="X814" s="2308"/>
      <c r="Y814" s="2309"/>
      <c r="Z814" s="2043"/>
      <c r="AA814" s="2044"/>
      <c r="AB814" s="2044"/>
      <c r="AC814" s="2044"/>
      <c r="AD814" s="2044"/>
      <c r="AE814" s="204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9">
        <f>SUM(Z811:AE814)</f>
        <v>13000</v>
      </c>
      <c r="AA815" s="2150"/>
      <c r="AB815" s="2150"/>
      <c r="AC815" s="2150"/>
      <c r="AD815" s="2150"/>
      <c r="AE815" s="215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9">
        <f>Z815+Y799+Z807</f>
        <v>1444240</v>
      </c>
      <c r="AA816" s="2150"/>
      <c r="AB816" s="2150"/>
      <c r="AC816" s="2150"/>
      <c r="AD816" s="2150"/>
      <c r="AE816" s="215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2" t="s">
        <v>131</v>
      </c>
      <c r="N821" s="2292"/>
      <c r="O821" s="2292"/>
      <c r="P821" s="2293"/>
      <c r="Q821" s="2299" t="s">
        <v>298</v>
      </c>
      <c r="R821" s="2299"/>
      <c r="S821" s="2299"/>
      <c r="T821" s="2299"/>
      <c r="U821" s="2299" t="s">
        <v>299</v>
      </c>
      <c r="V821" s="2299"/>
      <c r="W821" s="2299"/>
      <c r="X821" s="2299"/>
      <c r="Y821" s="2299" t="s">
        <v>300</v>
      </c>
      <c r="Z821" s="2299"/>
      <c r="AA821" s="2299"/>
      <c r="AB821" s="2299"/>
      <c r="AC821" s="2299" t="s">
        <v>371</v>
      </c>
      <c r="AD821" s="2299"/>
      <c r="AE821" s="2299"/>
      <c r="AF821" s="2299"/>
      <c r="AG821" s="2436" t="s">
        <v>344</v>
      </c>
      <c r="AH821" s="2436"/>
      <c r="AI821" s="2436"/>
      <c r="AJ821" s="24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4"/>
      <c r="N822" s="2294"/>
      <c r="O822" s="2294"/>
      <c r="P822" s="2295"/>
      <c r="Q822" s="2299"/>
      <c r="R822" s="2299"/>
      <c r="S822" s="2299"/>
      <c r="T822" s="2299"/>
      <c r="U822" s="2299"/>
      <c r="V822" s="2299"/>
      <c r="W822" s="2299"/>
      <c r="X822" s="2299"/>
      <c r="Y822" s="2299"/>
      <c r="Z822" s="2299"/>
      <c r="AA822" s="2299"/>
      <c r="AB822" s="2299"/>
      <c r="AC822" s="2299"/>
      <c r="AD822" s="2299"/>
      <c r="AE822" s="2299"/>
      <c r="AF822" s="2299"/>
      <c r="AG822" s="2436"/>
      <c r="AH822" s="2436"/>
      <c r="AI822" s="2436"/>
      <c r="AJ822" s="24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2" t="s">
        <v>43</v>
      </c>
      <c r="D823" s="2363"/>
      <c r="E823" s="2363"/>
      <c r="F823" s="2363"/>
      <c r="G823" s="2363"/>
      <c r="H823" s="2363"/>
      <c r="I823" s="80"/>
      <c r="J823" s="80"/>
      <c r="K823" s="80"/>
      <c r="L823" s="81"/>
      <c r="M823" s="2274"/>
      <c r="N823" s="2274"/>
      <c r="O823" s="2274"/>
      <c r="P823" s="2274"/>
      <c r="Q823" s="2274">
        <v>9</v>
      </c>
      <c r="R823" s="2274"/>
      <c r="S823" s="2274"/>
      <c r="T823" s="2274"/>
      <c r="U823" s="2274">
        <v>12</v>
      </c>
      <c r="V823" s="2274"/>
      <c r="W823" s="2274"/>
      <c r="X823" s="2274"/>
      <c r="Y823" s="2274"/>
      <c r="Z823" s="2274"/>
      <c r="AA823" s="2274"/>
      <c r="AB823" s="2274"/>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3" t="s">
        <v>44</v>
      </c>
      <c r="D824" s="2081"/>
      <c r="E824" s="2081"/>
      <c r="F824" s="2081"/>
      <c r="G824" s="2081"/>
      <c r="H824" s="2081"/>
      <c r="I824" s="77"/>
      <c r="J824" s="77"/>
      <c r="K824" s="77"/>
      <c r="L824" s="78"/>
      <c r="M824" s="2274"/>
      <c r="N824" s="2274"/>
      <c r="O824" s="2274"/>
      <c r="P824" s="2274"/>
      <c r="Q824" s="2274"/>
      <c r="R824" s="2274"/>
      <c r="S824" s="2274"/>
      <c r="T824" s="2274"/>
      <c r="U824" s="2274"/>
      <c r="V824" s="2274"/>
      <c r="W824" s="2274"/>
      <c r="X824" s="2274"/>
      <c r="Y824" s="2274"/>
      <c r="Z824" s="2274"/>
      <c r="AA824" s="2274"/>
      <c r="AB824" s="2274"/>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3" t="s">
        <v>45</v>
      </c>
      <c r="D825" s="2081"/>
      <c r="E825" s="2081"/>
      <c r="F825" s="2081"/>
      <c r="G825" s="2081"/>
      <c r="H825" s="2081"/>
      <c r="I825" s="96"/>
      <c r="J825" s="96"/>
      <c r="K825" s="96"/>
      <c r="L825" s="97"/>
      <c r="M825" s="2274"/>
      <c r="N825" s="2274"/>
      <c r="O825" s="2274"/>
      <c r="P825" s="2274"/>
      <c r="Q825" s="2274">
        <v>5</v>
      </c>
      <c r="R825" s="2274"/>
      <c r="S825" s="2274"/>
      <c r="T825" s="2274"/>
      <c r="U825" s="2274">
        <v>7</v>
      </c>
      <c r="V825" s="2274"/>
      <c r="W825" s="2274"/>
      <c r="X825" s="2274"/>
      <c r="Y825" s="2274"/>
      <c r="Z825" s="2274"/>
      <c r="AA825" s="2274"/>
      <c r="AB825" s="2274"/>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3" t="s">
        <v>820</v>
      </c>
      <c r="D826" s="2081"/>
      <c r="E826" s="2081"/>
      <c r="F826" s="2081"/>
      <c r="G826" s="2081"/>
      <c r="H826" s="2081"/>
      <c r="I826" s="96"/>
      <c r="J826" s="96"/>
      <c r="K826" s="96"/>
      <c r="L826" s="97"/>
      <c r="M826" s="2274"/>
      <c r="N826" s="2274"/>
      <c r="O826" s="2274"/>
      <c r="P826" s="2274"/>
      <c r="Q826" s="2274"/>
      <c r="R826" s="2274"/>
      <c r="S826" s="2274"/>
      <c r="T826" s="2274"/>
      <c r="U826" s="2274"/>
      <c r="V826" s="2274"/>
      <c r="W826" s="2274"/>
      <c r="X826" s="2274"/>
      <c r="Y826" s="2274"/>
      <c r="Z826" s="2274"/>
      <c r="AA826" s="2274"/>
      <c r="AB826" s="2274"/>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3" t="s">
        <v>492</v>
      </c>
      <c r="D827" s="2081"/>
      <c r="E827" s="2081"/>
      <c r="F827" s="2081"/>
      <c r="G827" s="2081"/>
      <c r="H827" s="2081"/>
      <c r="I827" s="96"/>
      <c r="J827" s="96"/>
      <c r="K827" s="96"/>
      <c r="L827" s="97"/>
      <c r="M827" s="2274"/>
      <c r="N827" s="2274"/>
      <c r="O827" s="2274"/>
      <c r="P827" s="2274"/>
      <c r="Q827" s="2274">
        <f>19+21</f>
        <v>40</v>
      </c>
      <c r="R827" s="2274"/>
      <c r="S827" s="2274"/>
      <c r="T827" s="2274"/>
      <c r="U827" s="2274">
        <f>27+21</f>
        <v>48</v>
      </c>
      <c r="V827" s="2274"/>
      <c r="W827" s="2274"/>
      <c r="X827" s="2274"/>
      <c r="Y827" s="2274"/>
      <c r="Z827" s="2274"/>
      <c r="AA827" s="2274"/>
      <c r="AB827" s="2274"/>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1" t="s">
        <v>841</v>
      </c>
      <c r="D828" s="2081"/>
      <c r="E828" s="2081"/>
      <c r="F828" s="2081"/>
      <c r="G828" s="2081"/>
      <c r="H828" s="2081"/>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93" t="s">
        <v>2655</v>
      </c>
      <c r="G829" s="2318"/>
      <c r="H829" s="2318"/>
      <c r="I829" s="2318"/>
      <c r="J829" s="2318"/>
      <c r="K829" s="2318"/>
      <c r="L829" s="2319"/>
      <c r="M829" s="2274"/>
      <c r="N829" s="2274"/>
      <c r="O829" s="2274"/>
      <c r="P829" s="2274"/>
      <c r="Q829" s="2274">
        <v>10</v>
      </c>
      <c r="R829" s="2274"/>
      <c r="S829" s="2274"/>
      <c r="T829" s="2274"/>
      <c r="U829" s="2274">
        <v>13</v>
      </c>
      <c r="V829" s="2274"/>
      <c r="W829" s="2274"/>
      <c r="X829" s="2274"/>
      <c r="Y829" s="2274"/>
      <c r="Z829" s="2274"/>
      <c r="AA829" s="2274"/>
      <c r="AB829" s="2274"/>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10">
        <f>SUM(M823:P829)</f>
        <v>0</v>
      </c>
      <c r="N830" s="2310"/>
      <c r="O830" s="2310"/>
      <c r="P830" s="2310"/>
      <c r="Q830" s="2310">
        <f>SUM(Q823:T829)</f>
        <v>64</v>
      </c>
      <c r="R830" s="2310"/>
      <c r="S830" s="2310"/>
      <c r="T830" s="2310"/>
      <c r="U830" s="2310">
        <f>SUM(U823:X829)</f>
        <v>80</v>
      </c>
      <c r="V830" s="2310"/>
      <c r="W830" s="2310"/>
      <c r="X830" s="2310"/>
      <c r="Y830" s="2310">
        <f>SUM(Y823:AB829)</f>
        <v>0</v>
      </c>
      <c r="Z830" s="2310"/>
      <c r="AA830" s="2310"/>
      <c r="AB830" s="2310"/>
      <c r="AC830" s="2310">
        <f>SUM(AC823:AF829)</f>
        <v>0</v>
      </c>
      <c r="AD830" s="2310"/>
      <c r="AE830" s="2310"/>
      <c r="AF830" s="2310"/>
      <c r="AG830" s="2310">
        <f>SUM(AG823:AJ829)</f>
        <v>0</v>
      </c>
      <c r="AH830" s="2310"/>
      <c r="AI830" s="2310"/>
      <c r="AJ830" s="231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2610</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7">
        <v>600</v>
      </c>
      <c r="X840" s="2147"/>
      <c r="Y840" s="2147"/>
      <c r="Z840" s="2147"/>
      <c r="AA840" s="2147"/>
      <c r="AB840" s="2147"/>
      <c r="AC840" s="21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7">
        <v>1200</v>
      </c>
      <c r="X841" s="2147"/>
      <c r="Y841" s="2147"/>
      <c r="Z841" s="2147"/>
      <c r="AA841" s="2147"/>
      <c r="AB841" s="2147"/>
      <c r="AC841" s="21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7">
        <v>26525</v>
      </c>
      <c r="X842" s="2147"/>
      <c r="Y842" s="2147"/>
      <c r="Z842" s="2147"/>
      <c r="AA842" s="2147"/>
      <c r="AB842" s="2147"/>
      <c r="AC842" s="21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7">
        <v>15150</v>
      </c>
      <c r="X843" s="2147"/>
      <c r="Y843" s="2147"/>
      <c r="Z843" s="2147"/>
      <c r="AA843" s="2147"/>
      <c r="AB843" s="2147"/>
      <c r="AC843" s="21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93" t="s">
        <v>2631</v>
      </c>
      <c r="N844" s="2318"/>
      <c r="O844" s="2318"/>
      <c r="P844" s="2318"/>
      <c r="Q844" s="2318"/>
      <c r="R844" s="2318"/>
      <c r="S844" s="2318"/>
      <c r="T844" s="2318"/>
      <c r="U844" s="2318"/>
      <c r="V844" s="2319"/>
      <c r="W844" s="2147">
        <v>72820</v>
      </c>
      <c r="X844" s="2147"/>
      <c r="Y844" s="2147"/>
      <c r="Z844" s="2147"/>
      <c r="AA844" s="2147"/>
      <c r="AB844" s="2147"/>
      <c r="AC844" s="21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2">
        <f>ROUNDDOWN(BC932*2,2)</f>
        <v>0</v>
      </c>
      <c r="BJ844" s="2402"/>
      <c r="BK844" s="2402"/>
      <c r="BL844" s="240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9">
        <f>SUM(W840:AC844)</f>
        <v>116295</v>
      </c>
      <c r="X845" s="2150"/>
      <c r="Y845" s="2150"/>
      <c r="Z845" s="2150"/>
      <c r="AA845" s="2150"/>
      <c r="AB845" s="2150"/>
      <c r="AC845" s="215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43">
        <v>102600</v>
      </c>
      <c r="X847" s="2044"/>
      <c r="Y847" s="2044"/>
      <c r="Z847" s="2044"/>
      <c r="AA847" s="2044"/>
      <c r="AB847" s="2044"/>
      <c r="AC847" s="204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1"/>
      <c r="X849" s="2301"/>
      <c r="Y849" s="2301"/>
      <c r="Z849" s="2301"/>
      <c r="AA849" s="2301"/>
      <c r="AB849" s="2301"/>
      <c r="AC849" s="230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1">
        <v>34500</v>
      </c>
      <c r="X850" s="2301"/>
      <c r="Y850" s="2301"/>
      <c r="Z850" s="2301"/>
      <c r="AA850" s="2301"/>
      <c r="AB850" s="2301"/>
      <c r="AC850" s="23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1">
        <v>19000</v>
      </c>
      <c r="X851" s="2301"/>
      <c r="Y851" s="2301"/>
      <c r="Z851" s="2301"/>
      <c r="AA851" s="2301"/>
      <c r="AB851" s="2301"/>
      <c r="AC851" s="23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1">
        <v>122100</v>
      </c>
      <c r="X852" s="2301"/>
      <c r="Y852" s="2301"/>
      <c r="Z852" s="2301"/>
      <c r="AA852" s="2301"/>
      <c r="AB852" s="2301"/>
      <c r="AC852" s="23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0">
        <f>SUM(W849:AC852)</f>
        <v>175600</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7.5000000000000011E-2</v>
      </c>
      <c r="BA854" s="232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52">
        <v>88000</v>
      </c>
      <c r="X855" s="2153"/>
      <c r="Y855" s="2153"/>
      <c r="Z855" s="2153"/>
      <c r="AA855" s="2153"/>
      <c r="AB855" s="2153"/>
      <c r="AC855" s="215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24">
        <v>1</v>
      </c>
      <c r="U856" s="2196"/>
      <c r="V856" s="2325"/>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52">
        <v>84000</v>
      </c>
      <c r="X857" s="2153"/>
      <c r="Y857" s="2153"/>
      <c r="Z857" s="2153"/>
      <c r="AA857" s="2153"/>
      <c r="AB857" s="2153"/>
      <c r="AC857" s="215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24">
        <v>1</v>
      </c>
      <c r="U858" s="2196"/>
      <c r="V858" s="2325"/>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93" t="s">
        <v>2632</v>
      </c>
      <c r="N859" s="2318"/>
      <c r="O859" s="2318"/>
      <c r="P859" s="2318"/>
      <c r="Q859" s="2318"/>
      <c r="R859" s="2318"/>
      <c r="S859" s="2318"/>
      <c r="T859" s="2318"/>
      <c r="U859" s="2318"/>
      <c r="V859" s="2319"/>
      <c r="W859" s="2152">
        <f>63112+55200</f>
        <v>118312</v>
      </c>
      <c r="X859" s="2153"/>
      <c r="Y859" s="2153"/>
      <c r="Z859" s="2153"/>
      <c r="AA859" s="2153"/>
      <c r="AB859" s="2153"/>
      <c r="AC859" s="215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0">
        <f>SUM(W855:AC859)</f>
        <v>290312</v>
      </c>
      <c r="X860" s="2511"/>
      <c r="Y860" s="2511"/>
      <c r="Z860" s="2511"/>
      <c r="AA860" s="2511"/>
      <c r="AB860" s="2511"/>
      <c r="AC860" s="251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2">
        <v>54000</v>
      </c>
      <c r="X861" s="2153"/>
      <c r="Y861" s="2153"/>
      <c r="Z861" s="2153"/>
      <c r="AA861" s="2153"/>
      <c r="AB861" s="2153"/>
      <c r="AC861" s="215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7"/>
      <c r="X863" s="2147"/>
      <c r="Y863" s="2147"/>
      <c r="Z863" s="2147"/>
      <c r="AA863" s="2147"/>
      <c r="AB863" s="2147"/>
      <c r="AC863" s="21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7">
        <v>68200</v>
      </c>
      <c r="X864" s="2147"/>
      <c r="Y864" s="2147"/>
      <c r="Z864" s="2147"/>
      <c r="AA864" s="2147"/>
      <c r="AB864" s="2147"/>
      <c r="AC864" s="21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7">
        <v>18000</v>
      </c>
      <c r="X865" s="2147"/>
      <c r="Y865" s="2147"/>
      <c r="Z865" s="2147"/>
      <c r="AA865" s="2147"/>
      <c r="AB865" s="2147"/>
      <c r="AC865" s="21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7">
        <v>5000</v>
      </c>
      <c r="X866" s="2147"/>
      <c r="Y866" s="2147"/>
      <c r="Z866" s="2147"/>
      <c r="AA866" s="2147"/>
      <c r="AB866" s="2147"/>
      <c r="AC866" s="21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7">
        <v>16500</v>
      </c>
      <c r="X867" s="2147"/>
      <c r="Y867" s="2147"/>
      <c r="Z867" s="2147"/>
      <c r="AA867" s="2147"/>
      <c r="AB867" s="2147"/>
      <c r="AC867" s="21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7"/>
      <c r="X868" s="2147"/>
      <c r="Y868" s="2147"/>
      <c r="Z868" s="2147"/>
      <c r="AA868" s="2147"/>
      <c r="AB868" s="2147"/>
      <c r="AC868" s="21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343</v>
      </c>
      <c r="N869" s="2318"/>
      <c r="O869" s="2318"/>
      <c r="P869" s="2318"/>
      <c r="Q869" s="2318"/>
      <c r="R869" s="2318"/>
      <c r="S869" s="2318"/>
      <c r="T869" s="2318"/>
      <c r="U869" s="2318"/>
      <c r="V869" s="2319"/>
      <c r="W869" s="2147"/>
      <c r="X869" s="2147"/>
      <c r="Y869" s="2147"/>
      <c r="Z869" s="2147"/>
      <c r="AA869" s="2147"/>
      <c r="AB869" s="2147"/>
      <c r="AC869" s="21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8">
        <f>SUM(W863:AC869)</f>
        <v>107700</v>
      </c>
      <c r="X870" s="2148"/>
      <c r="Y870" s="2148"/>
      <c r="Z870" s="2148"/>
      <c r="AA870" s="2148"/>
      <c r="AB870" s="2148"/>
      <c r="AC870" s="214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7" t="s">
        <v>343</v>
      </c>
      <c r="N872" s="2318"/>
      <c r="O872" s="2318"/>
      <c r="P872" s="2318"/>
      <c r="Q872" s="2318"/>
      <c r="R872" s="2318"/>
      <c r="S872" s="2318"/>
      <c r="T872" s="2318"/>
      <c r="U872" s="2318"/>
      <c r="V872" s="2319"/>
      <c r="W872" s="2043"/>
      <c r="X872" s="2044"/>
      <c r="Y872" s="2044"/>
      <c r="Z872" s="2044"/>
      <c r="AA872" s="2044"/>
      <c r="AB872" s="2044"/>
      <c r="AC872" s="204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7" t="s">
        <v>343</v>
      </c>
      <c r="N873" s="2318"/>
      <c r="O873" s="2318"/>
      <c r="P873" s="2318"/>
      <c r="Q873" s="2318"/>
      <c r="R873" s="2318"/>
      <c r="S873" s="2318"/>
      <c r="T873" s="2318"/>
      <c r="U873" s="2318"/>
      <c r="V873" s="2319"/>
      <c r="W873" s="2043"/>
      <c r="X873" s="2044"/>
      <c r="Y873" s="2044"/>
      <c r="Z873" s="2044"/>
      <c r="AA873" s="2044"/>
      <c r="AB873" s="2044"/>
      <c r="AC873" s="204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7" t="s">
        <v>343</v>
      </c>
      <c r="N874" s="2318"/>
      <c r="O874" s="2318"/>
      <c r="P874" s="2318"/>
      <c r="Q874" s="2318"/>
      <c r="R874" s="2318"/>
      <c r="S874" s="2318"/>
      <c r="T874" s="2318"/>
      <c r="U874" s="2318"/>
      <c r="V874" s="2319"/>
      <c r="W874" s="2043"/>
      <c r="X874" s="2044"/>
      <c r="Y874" s="2044"/>
      <c r="Z874" s="2044"/>
      <c r="AA874" s="2044"/>
      <c r="AB874" s="2044"/>
      <c r="AC874" s="204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7" t="s">
        <v>343</v>
      </c>
      <c r="N875" s="2318"/>
      <c r="O875" s="2318"/>
      <c r="P875" s="2318"/>
      <c r="Q875" s="2318"/>
      <c r="R875" s="2318"/>
      <c r="S875" s="2318"/>
      <c r="T875" s="2318"/>
      <c r="U875" s="2318"/>
      <c r="V875" s="2319"/>
      <c r="W875" s="2043"/>
      <c r="X875" s="2044"/>
      <c r="Y875" s="2044"/>
      <c r="Z875" s="2044"/>
      <c r="AA875" s="2044"/>
      <c r="AB875" s="2044"/>
      <c r="AC875" s="204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7" t="s">
        <v>343</v>
      </c>
      <c r="N876" s="2318"/>
      <c r="O876" s="2318"/>
      <c r="P876" s="2318"/>
      <c r="Q876" s="2318"/>
      <c r="R876" s="2318"/>
      <c r="S876" s="2318"/>
      <c r="T876" s="2318"/>
      <c r="U876" s="2318"/>
      <c r="V876" s="2319"/>
      <c r="W876" s="2043"/>
      <c r="X876" s="2044"/>
      <c r="Y876" s="2044"/>
      <c r="Z876" s="2044"/>
      <c r="AA876" s="2044"/>
      <c r="AB876" s="2044"/>
      <c r="AC876" s="204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9">
        <f>SUM(W872:AC876)</f>
        <v>0</v>
      </c>
      <c r="X877" s="2150"/>
      <c r="Y877" s="2150"/>
      <c r="Z877" s="2150"/>
      <c r="AA877" s="2150"/>
      <c r="AB877" s="2150"/>
      <c r="AC877" s="215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50">
        <f>W845+W853+W860+W861+W870+W877+W847</f>
        <v>846507</v>
      </c>
      <c r="AD881" s="2150"/>
      <c r="AE881" s="2150"/>
      <c r="AF881" s="2150"/>
      <c r="AG881" s="2150"/>
      <c r="AH881" s="215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2">
        <f>O796+O776+G753</f>
        <v>150</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148">
        <f>IF(ISERROR((ROUNDDOWN(AC881/AC882,0))),0,(ROUNDDOWN(AC881/AC882,0)))</f>
        <v>5643</v>
      </c>
      <c r="AD883" s="2148"/>
      <c r="AE883" s="2148"/>
      <c r="AF883" s="2148"/>
      <c r="AG883" s="2148"/>
      <c r="AH883" s="214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13">
        <f>'Sources and Uses Budget'!C75</f>
        <v>662770</v>
      </c>
      <c r="AD884" s="2514"/>
      <c r="AE884" s="2514"/>
      <c r="AF884" s="2514"/>
      <c r="AG884" s="2514"/>
      <c r="AH884" s="25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45"/>
      <c r="AD885" s="2147"/>
      <c r="AE885" s="2147"/>
      <c r="AF885" s="2147"/>
      <c r="AG885" s="2147"/>
      <c r="AH885" s="21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44">
        <v>39063</v>
      </c>
      <c r="AD886" s="2044"/>
      <c r="AE886" s="2044"/>
      <c r="AF886" s="2044"/>
      <c r="AG886" s="2044"/>
      <c r="AH886" s="204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44">
        <v>60000</v>
      </c>
      <c r="AD887" s="2044"/>
      <c r="AE887" s="2044"/>
      <c r="AF887" s="2044"/>
      <c r="AG887" s="2044"/>
      <c r="AH887" s="204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60"/>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44"/>
      <c r="AD889" s="2044"/>
      <c r="AE889" s="2044"/>
      <c r="AF889" s="2044"/>
      <c r="AG889" s="2044"/>
      <c r="AH889" s="204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44">
        <v>43000</v>
      </c>
      <c r="AD890" s="2044"/>
      <c r="AE890" s="2044"/>
      <c r="AF890" s="2044"/>
      <c r="AG890" s="2044"/>
      <c r="AH890" s="204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41" t="s">
        <v>1035</v>
      </c>
      <c r="D891" s="2142"/>
      <c r="E891" s="2142"/>
      <c r="F891" s="2142"/>
      <c r="G891" s="2142"/>
      <c r="H891" s="2142"/>
      <c r="I891" s="2142"/>
      <c r="J891" s="2142"/>
      <c r="K891" s="2142"/>
      <c r="L891" s="2142"/>
      <c r="M891" s="2142"/>
      <c r="N891" s="2142"/>
      <c r="O891" s="2142"/>
      <c r="P891" s="2142"/>
      <c r="Q891" s="2142"/>
      <c r="R891" s="2142"/>
      <c r="S891" s="2142"/>
      <c r="T891" s="2142"/>
      <c r="U891" s="2142"/>
      <c r="V891" s="2142"/>
      <c r="W891" s="2142"/>
      <c r="X891" s="2142"/>
      <c r="Y891" s="2142"/>
      <c r="Z891" s="2142"/>
      <c r="AA891" s="2142"/>
      <c r="AB891" s="2143"/>
      <c r="AC891" s="2147"/>
      <c r="AD891" s="2147"/>
      <c r="AE891" s="2147"/>
      <c r="AF891" s="2147"/>
      <c r="AG891" s="2147"/>
      <c r="AH891" s="21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1" t="s">
        <v>1035</v>
      </c>
      <c r="D892" s="2142"/>
      <c r="E892" s="2142"/>
      <c r="F892" s="2142"/>
      <c r="G892" s="2142"/>
      <c r="H892" s="2142"/>
      <c r="I892" s="2142"/>
      <c r="J892" s="2142"/>
      <c r="K892" s="2142"/>
      <c r="L892" s="2142"/>
      <c r="M892" s="2142"/>
      <c r="N892" s="2142"/>
      <c r="O892" s="2142"/>
      <c r="P892" s="2142"/>
      <c r="Q892" s="2142"/>
      <c r="R892" s="2142"/>
      <c r="S892" s="2142"/>
      <c r="T892" s="2142"/>
      <c r="U892" s="2142"/>
      <c r="V892" s="2142"/>
      <c r="W892" s="2142"/>
      <c r="X892" s="2142"/>
      <c r="Y892" s="2142"/>
      <c r="Z892" s="2142"/>
      <c r="AA892" s="2142"/>
      <c r="AB892" s="2143"/>
      <c r="AC892" s="2147"/>
      <c r="AD892" s="2147"/>
      <c r="AE892" s="2147"/>
      <c r="AF892" s="2147"/>
      <c r="AG892" s="2147"/>
      <c r="AH892" s="21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3">
        <v>0</v>
      </c>
      <c r="AA896" s="2044"/>
      <c r="AB896" s="2044"/>
      <c r="AC896" s="2044"/>
      <c r="AD896" s="2044"/>
      <c r="AE896" s="204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3">
        <v>0</v>
      </c>
      <c r="AA897" s="2044"/>
      <c r="AB897" s="2044"/>
      <c r="AC897" s="2044"/>
      <c r="AD897" s="2044"/>
      <c r="AE897" s="204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3">
        <v>0</v>
      </c>
      <c r="AA898" s="2044"/>
      <c r="AB898" s="2044"/>
      <c r="AC898" s="2044"/>
      <c r="AD898" s="2044"/>
      <c r="AE898" s="204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9">
        <f>Z896-(Z897+Z898)</f>
        <v>0</v>
      </c>
      <c r="AA899" s="2150"/>
      <c r="AB899" s="2150"/>
      <c r="AC899" s="2150"/>
      <c r="AD899" s="2150"/>
      <c r="AE899" s="2151"/>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5"/>
      <c r="BE901" s="2315"/>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6"/>
      <c r="BE902" s="2316"/>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2"/>
      <c r="BE903" s="2312"/>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2"/>
      <c r="BE904" s="2312"/>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2"/>
      <c r="BE905" s="2312"/>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5"/>
      <c r="BE906" s="2312"/>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5" t="s">
        <v>101</v>
      </c>
      <c r="B907" s="2095"/>
      <c r="C907" s="2095"/>
      <c r="D907" s="2095"/>
      <c r="E907" s="2095"/>
      <c r="F907" s="2095"/>
      <c r="G907" s="2095"/>
      <c r="H907" s="2095"/>
      <c r="I907" s="2095"/>
      <c r="J907" s="2095"/>
      <c r="K907" s="2095"/>
      <c r="L907" s="2095"/>
      <c r="M907" s="2095"/>
      <c r="N907" s="2095"/>
      <c r="O907" s="2095"/>
      <c r="P907" s="2095"/>
      <c r="Q907" s="2095"/>
      <c r="R907" s="2095"/>
      <c r="S907" s="2095"/>
      <c r="T907" s="2095"/>
      <c r="U907" s="2095"/>
      <c r="V907" s="2095"/>
      <c r="W907" s="2095"/>
      <c r="X907" s="2095"/>
      <c r="Y907" s="2095"/>
      <c r="Z907" s="2095"/>
      <c r="AA907" s="2095"/>
      <c r="AB907" s="2095"/>
      <c r="AC907" s="2095"/>
      <c r="AD907" s="2095"/>
      <c r="AE907" s="2095"/>
      <c r="AF907" s="2095"/>
      <c r="AG907" s="2095"/>
      <c r="AH907" s="2095"/>
      <c r="AI907" s="2095"/>
      <c r="AJ907" s="2095"/>
      <c r="AK907" s="2095"/>
      <c r="AL907" s="2095"/>
      <c r="AM907" s="144"/>
      <c r="AN907" s="144"/>
      <c r="AO907" s="144"/>
      <c r="AP907" s="144"/>
      <c r="AQ907" s="144"/>
      <c r="AR907" s="144"/>
      <c r="AS907" s="144"/>
      <c r="AT907" s="144"/>
      <c r="AU907" s="144"/>
      <c r="AV907" s="144"/>
      <c r="AW907" s="144"/>
      <c r="AX907" s="144"/>
      <c r="AY907" s="144"/>
      <c r="AZ907" s="61"/>
      <c r="BA907" s="25"/>
      <c r="BB907" s="127"/>
      <c r="BC907" s="1606"/>
      <c r="BD907" s="2314"/>
      <c r="BE907" s="2314"/>
      <c r="BF907" s="2314"/>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6"/>
      <c r="B908" s="2096"/>
      <c r="C908" s="2096"/>
      <c r="D908" s="2096"/>
      <c r="E908" s="2096"/>
      <c r="F908" s="2096"/>
      <c r="G908" s="2096"/>
      <c r="H908" s="2096"/>
      <c r="I908" s="2096"/>
      <c r="J908" s="2096"/>
      <c r="K908" s="2096"/>
      <c r="L908" s="2096"/>
      <c r="M908" s="2096"/>
      <c r="N908" s="2096"/>
      <c r="O908" s="2096"/>
      <c r="P908" s="2096"/>
      <c r="Q908" s="2096"/>
      <c r="R908" s="2096"/>
      <c r="S908" s="2096"/>
      <c r="T908" s="2096"/>
      <c r="U908" s="2096"/>
      <c r="V908" s="2096"/>
      <c r="W908" s="2096"/>
      <c r="X908" s="2096"/>
      <c r="Y908" s="2096"/>
      <c r="Z908" s="2096"/>
      <c r="AA908" s="2096"/>
      <c r="AB908" s="2096"/>
      <c r="AC908" s="2096"/>
      <c r="AD908" s="2096"/>
      <c r="AE908" s="2096"/>
      <c r="AF908" s="2096"/>
      <c r="AG908" s="2096"/>
      <c r="AH908" s="2096"/>
      <c r="AI908" s="2096"/>
      <c r="AJ908" s="2096"/>
      <c r="AK908" s="2096"/>
      <c r="AL908" s="2096"/>
      <c r="AM908" s="144"/>
      <c r="AN908" s="144"/>
      <c r="AO908" s="144"/>
      <c r="AP908" s="144"/>
      <c r="AQ908" s="144"/>
      <c r="AR908" s="144"/>
      <c r="AS908" s="144"/>
      <c r="AT908" s="144"/>
      <c r="AU908" s="144"/>
      <c r="AV908" s="144"/>
      <c r="AW908" s="144"/>
      <c r="AX908" s="144"/>
      <c r="AY908" s="144"/>
      <c r="AZ908" s="61"/>
      <c r="BA908" s="25"/>
      <c r="BB908" s="127"/>
      <c r="BC908" s="1606"/>
      <c r="BD908" s="2320"/>
      <c r="BE908" s="2320"/>
      <c r="BF908" s="232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2"/>
      <c r="BE909" s="2312"/>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5"/>
      <c r="BE910" s="2312"/>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6" t="s">
        <v>850</v>
      </c>
      <c r="G912" s="2507"/>
      <c r="H912" s="2507"/>
      <c r="I912" s="2507"/>
      <c r="J912" s="2507"/>
      <c r="K912" s="2507"/>
      <c r="L912" s="2507"/>
      <c r="M912" s="2507"/>
      <c r="N912" s="2507"/>
      <c r="O912" s="2507"/>
      <c r="P912" s="2507"/>
      <c r="Q912" s="2507"/>
      <c r="R912" s="2507"/>
      <c r="S912" s="2507"/>
      <c r="T912" s="2508"/>
      <c r="U912" s="2253" t="s">
        <v>32</v>
      </c>
      <c r="V912" s="2185"/>
      <c r="W912" s="2185"/>
      <c r="X912" s="2185"/>
      <c r="Y912" s="2185"/>
      <c r="Z912" s="2185"/>
      <c r="AA912" s="73"/>
      <c r="AB912" s="161"/>
      <c r="AC912" s="161"/>
      <c r="AD912" s="161"/>
      <c r="AE912" s="161"/>
      <c r="AF912" s="162"/>
      <c r="AZ912" s="61"/>
      <c r="BA912" s="1605"/>
      <c r="BB912" s="127"/>
      <c r="BC912" s="127"/>
      <c r="BD912" s="2315"/>
      <c r="BE912" s="2312"/>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4" t="s">
        <v>879</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43" t="s">
        <v>410</v>
      </c>
      <c r="AC914" s="2343"/>
      <c r="AD914" s="2343"/>
      <c r="AE914" s="2343"/>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3" t="s">
        <v>578</v>
      </c>
      <c r="V915" s="2070"/>
      <c r="W915" s="2070"/>
      <c r="X915" s="2070"/>
      <c r="Y915" s="2070"/>
      <c r="Z915" s="2071"/>
      <c r="AA915" s="2326">
        <f>AM564</f>
        <v>26638727</v>
      </c>
      <c r="AB915" s="2054"/>
      <c r="AC915" s="2054"/>
      <c r="AD915" s="2054"/>
      <c r="AE915" s="2054"/>
      <c r="AF915" s="232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3" t="s">
        <v>626</v>
      </c>
      <c r="V916" s="2070"/>
      <c r="W916" s="2070"/>
      <c r="X916" s="2070"/>
      <c r="Y916" s="2070"/>
      <c r="Z916" s="2071"/>
      <c r="AA916" s="2326"/>
      <c r="AB916" s="2054"/>
      <c r="AC916" s="2054"/>
      <c r="AD916" s="2054"/>
      <c r="AE916" s="2054"/>
      <c r="AF916" s="232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3" t="s">
        <v>626</v>
      </c>
      <c r="V917" s="2070"/>
      <c r="W917" s="2070"/>
      <c r="X917" s="2070"/>
      <c r="Y917" s="2070"/>
      <c r="Z917" s="2071"/>
      <c r="AA917" s="2326"/>
      <c r="AB917" s="2054"/>
      <c r="AC917" s="2054"/>
      <c r="AD917" s="2054"/>
      <c r="AE917" s="2054"/>
      <c r="AF917" s="232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3" t="s">
        <v>626</v>
      </c>
      <c r="V918" s="2070"/>
      <c r="W918" s="2070"/>
      <c r="X918" s="2070"/>
      <c r="Y918" s="2070"/>
      <c r="Z918" s="2071"/>
      <c r="AA918" s="2326"/>
      <c r="AB918" s="2054"/>
      <c r="AC918" s="2054"/>
      <c r="AD918" s="2054"/>
      <c r="AE918" s="2054"/>
      <c r="AF918" s="232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3" t="s">
        <v>626</v>
      </c>
      <c r="V919" s="2070"/>
      <c r="W919" s="2070"/>
      <c r="X919" s="2070"/>
      <c r="Y919" s="2070"/>
      <c r="Z919" s="2071"/>
      <c r="AA919" s="2326"/>
      <c r="AB919" s="2054"/>
      <c r="AC919" s="2054"/>
      <c r="AD919" s="2054"/>
      <c r="AE919" s="2054"/>
      <c r="AF919" s="232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3" t="s">
        <v>626</v>
      </c>
      <c r="V920" s="2070"/>
      <c r="W920" s="2070"/>
      <c r="X920" s="2070"/>
      <c r="Y920" s="2070"/>
      <c r="Z920" s="2071"/>
      <c r="AA920" s="2326"/>
      <c r="AB920" s="2054"/>
      <c r="AC920" s="2054"/>
      <c r="AD920" s="2054"/>
      <c r="AE920" s="2054"/>
      <c r="AF920" s="232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3" t="s">
        <v>626</v>
      </c>
      <c r="V921" s="2070"/>
      <c r="W921" s="2070"/>
      <c r="X921" s="2070"/>
      <c r="Y921" s="2070"/>
      <c r="Z921" s="2071"/>
      <c r="AA921" s="2326"/>
      <c r="AB921" s="2054"/>
      <c r="AC921" s="2054"/>
      <c r="AD921" s="2054"/>
      <c r="AE921" s="2054"/>
      <c r="AF921" s="232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3" t="s">
        <v>626</v>
      </c>
      <c r="V922" s="2070"/>
      <c r="W922" s="2070"/>
      <c r="X922" s="2070"/>
      <c r="Y922" s="2070"/>
      <c r="Z922" s="2071"/>
      <c r="AA922" s="2326"/>
      <c r="AB922" s="2054"/>
      <c r="AC922" s="2054"/>
      <c r="AD922" s="2054"/>
      <c r="AE922" s="2054"/>
      <c r="AF922" s="232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3" t="s">
        <v>626</v>
      </c>
      <c r="V923" s="2070"/>
      <c r="W923" s="2070"/>
      <c r="X923" s="2070"/>
      <c r="Y923" s="2070"/>
      <c r="Z923" s="2071"/>
      <c r="AA923" s="2326"/>
      <c r="AB923" s="2054"/>
      <c r="AC923" s="2054"/>
      <c r="AD923" s="2054"/>
      <c r="AE923" s="2054"/>
      <c r="AF923" s="232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3" t="s">
        <v>626</v>
      </c>
      <c r="V924" s="2070"/>
      <c r="W924" s="2070"/>
      <c r="X924" s="2070"/>
      <c r="Y924" s="2070"/>
      <c r="Z924" s="2071"/>
      <c r="AA924" s="2326"/>
      <c r="AB924" s="2054"/>
      <c r="AC924" s="2054"/>
      <c r="AD924" s="2054"/>
      <c r="AE924" s="2054"/>
      <c r="AF924" s="232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3" t="s">
        <v>626</v>
      </c>
      <c r="V925" s="2070"/>
      <c r="W925" s="2070"/>
      <c r="X925" s="2070"/>
      <c r="Y925" s="2070"/>
      <c r="Z925" s="2071"/>
      <c r="AA925" s="2326"/>
      <c r="AB925" s="2054"/>
      <c r="AC925" s="2054"/>
      <c r="AD925" s="2054"/>
      <c r="AE925" s="2054"/>
      <c r="AF925" s="232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3" t="s">
        <v>626</v>
      </c>
      <c r="V926" s="2070"/>
      <c r="W926" s="2070"/>
      <c r="X926" s="2070"/>
      <c r="Y926" s="2070"/>
      <c r="Z926" s="2071"/>
      <c r="AA926" s="2326"/>
      <c r="AB926" s="2054"/>
      <c r="AC926" s="2054"/>
      <c r="AD926" s="2054"/>
      <c r="AE926" s="2054"/>
      <c r="AF926" s="232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3" t="s">
        <v>626</v>
      </c>
      <c r="V927" s="2070"/>
      <c r="W927" s="2070"/>
      <c r="X927" s="2070"/>
      <c r="Y927" s="2070"/>
      <c r="Z927" s="2071"/>
      <c r="AA927" s="2326"/>
      <c r="AB927" s="2054"/>
      <c r="AC927" s="2054"/>
      <c r="AD927" s="2054"/>
      <c r="AE927" s="2054"/>
      <c r="AF927" s="232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3" t="s">
        <v>626</v>
      </c>
      <c r="V928" s="2070"/>
      <c r="W928" s="2070"/>
      <c r="X928" s="2070"/>
      <c r="Y928" s="2070"/>
      <c r="Z928" s="2071"/>
      <c r="AA928" s="2326"/>
      <c r="AB928" s="2054"/>
      <c r="AC928" s="2054"/>
      <c r="AD928" s="2054"/>
      <c r="AE928" s="2054"/>
      <c r="AF928" s="232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3" t="s">
        <v>626</v>
      </c>
      <c r="V929" s="2070"/>
      <c r="W929" s="2070"/>
      <c r="X929" s="2070"/>
      <c r="Y929" s="2070"/>
      <c r="Z929" s="2071"/>
      <c r="AA929" s="2326"/>
      <c r="AB929" s="2054"/>
      <c r="AC929" s="2054"/>
      <c r="AD929" s="2054"/>
      <c r="AE929" s="2054"/>
      <c r="AF929" s="232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3" t="s">
        <v>706</v>
      </c>
      <c r="Q930" s="2070"/>
      <c r="R930" s="2070"/>
      <c r="S930" s="2070"/>
      <c r="T930" s="2071"/>
      <c r="U930" s="2313" t="s">
        <v>626</v>
      </c>
      <c r="V930" s="2070"/>
      <c r="W930" s="2070"/>
      <c r="X930" s="2070"/>
      <c r="Y930" s="2070"/>
      <c r="Z930" s="2071"/>
      <c r="AA930" s="2326"/>
      <c r="AB930" s="2054"/>
      <c r="AC930" s="2054"/>
      <c r="AD930" s="2054"/>
      <c r="AE930" s="2054"/>
      <c r="AF930" s="232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3" t="s">
        <v>343</v>
      </c>
      <c r="J931" s="2504"/>
      <c r="K931" s="2504"/>
      <c r="L931" s="2504"/>
      <c r="M931" s="2504"/>
      <c r="N931" s="2504"/>
      <c r="O931" s="2504"/>
      <c r="P931" s="2504"/>
      <c r="Q931" s="2504"/>
      <c r="R931" s="2504"/>
      <c r="S931" s="2504"/>
      <c r="T931" s="2505"/>
      <c r="U931" s="2313" t="s">
        <v>626</v>
      </c>
      <c r="V931" s="2070"/>
      <c r="W931" s="2070"/>
      <c r="X931" s="2070"/>
      <c r="Y931" s="2070"/>
      <c r="Z931" s="2071"/>
      <c r="AA931" s="2326"/>
      <c r="AB931" s="2054"/>
      <c r="AC931" s="2054"/>
      <c r="AD931" s="2054"/>
      <c r="AE931" s="2054"/>
      <c r="AF931" s="232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7" t="str">
        <f>C638</f>
        <v>SHRA Loan</v>
      </c>
      <c r="J932" s="2308"/>
      <c r="K932" s="2308"/>
      <c r="L932" s="2308"/>
      <c r="M932" s="2308"/>
      <c r="N932" s="2308"/>
      <c r="O932" s="2308"/>
      <c r="P932" s="2308"/>
      <c r="Q932" s="2308"/>
      <c r="R932" s="2308"/>
      <c r="S932" s="2308"/>
      <c r="T932" s="2309"/>
      <c r="U932" s="2313" t="s">
        <v>578</v>
      </c>
      <c r="V932" s="2070"/>
      <c r="W932" s="2070"/>
      <c r="X932" s="2070"/>
      <c r="Y932" s="2070"/>
      <c r="Z932" s="2071"/>
      <c r="AA932" s="2326">
        <f>AO638</f>
        <v>3500000</v>
      </c>
      <c r="AB932" s="2054"/>
      <c r="AC932" s="2054"/>
      <c r="AD932" s="2054"/>
      <c r="AE932" s="2054"/>
      <c r="AF932" s="232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7" t="str">
        <f>C639</f>
        <v>Wong Center Inc. Loan</v>
      </c>
      <c r="J933" s="2308"/>
      <c r="K933" s="2308"/>
      <c r="L933" s="2308"/>
      <c r="M933" s="2308"/>
      <c r="N933" s="2308"/>
      <c r="O933" s="2308"/>
      <c r="P933" s="2308"/>
      <c r="Q933" s="2308"/>
      <c r="R933" s="2308"/>
      <c r="S933" s="2308"/>
      <c r="T933" s="2309"/>
      <c r="U933" s="2313" t="s">
        <v>578</v>
      </c>
      <c r="V933" s="2070"/>
      <c r="W933" s="2070"/>
      <c r="X933" s="2070"/>
      <c r="Y933" s="2070"/>
      <c r="Z933" s="2071"/>
      <c r="AA933" s="2326">
        <f>AO639</f>
        <v>12800000</v>
      </c>
      <c r="AB933" s="2054"/>
      <c r="AC933" s="2054"/>
      <c r="AD933" s="2054"/>
      <c r="AE933" s="2054"/>
      <c r="AF933" s="232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7" t="str">
        <f>C641</f>
        <v>Downtown Railyard Venture, LLC Loan</v>
      </c>
      <c r="J934" s="2308"/>
      <c r="K934" s="2308"/>
      <c r="L934" s="2308"/>
      <c r="M934" s="2308"/>
      <c r="N934" s="2308"/>
      <c r="O934" s="2308"/>
      <c r="P934" s="2308"/>
      <c r="Q934" s="2308"/>
      <c r="R934" s="2308"/>
      <c r="S934" s="2308"/>
      <c r="T934" s="2309"/>
      <c r="U934" s="2313" t="s">
        <v>578</v>
      </c>
      <c r="V934" s="2070"/>
      <c r="W934" s="2070"/>
      <c r="X934" s="2070"/>
      <c r="Y934" s="2070"/>
      <c r="Z934" s="2071"/>
      <c r="AA934" s="2326">
        <f>AO641</f>
        <v>2228000</v>
      </c>
      <c r="AB934" s="2054"/>
      <c r="AC934" s="2054"/>
      <c r="AD934" s="2054"/>
      <c r="AE934" s="2054"/>
      <c r="AF934" s="232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0" t="s">
        <v>626</v>
      </c>
      <c r="N939" s="2341"/>
      <c r="O939" s="2341"/>
      <c r="P939" s="2341"/>
      <c r="Q939" s="2341"/>
      <c r="R939" s="2341"/>
      <c r="S939" s="2342"/>
      <c r="U939" s="103" t="s">
        <v>11</v>
      </c>
      <c r="V939" s="77"/>
      <c r="W939" s="77"/>
      <c r="X939" s="77"/>
      <c r="Y939" s="77"/>
      <c r="Z939" s="77"/>
      <c r="AA939" s="77"/>
      <c r="AB939" s="77"/>
      <c r="AC939" s="77"/>
      <c r="AD939" s="78"/>
      <c r="AE939" s="2340" t="s">
        <v>626</v>
      </c>
      <c r="AF939" s="2341"/>
      <c r="AG939" s="2341"/>
      <c r="AH939" s="2341"/>
      <c r="AI939" s="2341"/>
      <c r="AJ939" s="2341"/>
      <c r="AK939" s="234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1" t="s">
        <v>316</v>
      </c>
      <c r="K941" s="2332"/>
      <c r="L941" s="2332"/>
      <c r="M941" s="2332"/>
      <c r="N941" s="2332"/>
      <c r="O941" s="2332"/>
      <c r="P941" s="2332"/>
      <c r="Q941" s="2332"/>
      <c r="R941" s="2332"/>
      <c r="S941" s="2333"/>
      <c r="U941" s="103" t="s">
        <v>945</v>
      </c>
      <c r="V941" s="77"/>
      <c r="W941" s="77"/>
      <c r="AB941" s="2331" t="s">
        <v>316</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2"/>
      <c r="N942" s="2359"/>
      <c r="O942" s="2359"/>
      <c r="P942" s="2359"/>
      <c r="Q942" s="2359"/>
      <c r="R942" s="2359"/>
      <c r="S942" s="2360"/>
      <c r="U942" s="103" t="s">
        <v>13</v>
      </c>
      <c r="V942" s="77"/>
      <c r="W942" s="77"/>
      <c r="X942" s="77"/>
      <c r="Y942" s="77"/>
      <c r="Z942" s="77"/>
      <c r="AA942" s="77"/>
      <c r="AB942" s="77"/>
      <c r="AC942" s="77"/>
      <c r="AD942" s="78"/>
      <c r="AE942" s="2358"/>
      <c r="AF942" s="2359"/>
      <c r="AG942" s="2359"/>
      <c r="AH942" s="2359"/>
      <c r="AI942" s="2359"/>
      <c r="AJ942" s="2359"/>
      <c r="AK942" s="23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6"/>
      <c r="N944" s="2054"/>
      <c r="O944" s="2054"/>
      <c r="P944" s="2054"/>
      <c r="Q944" s="2054"/>
      <c r="R944" s="2054"/>
      <c r="S944" s="2327"/>
      <c r="U944" s="103" t="s">
        <v>15</v>
      </c>
      <c r="V944" s="77"/>
      <c r="W944" s="77"/>
      <c r="X944" s="77"/>
      <c r="Y944" s="77"/>
      <c r="Z944" s="77"/>
      <c r="AA944" s="77"/>
      <c r="AB944" s="77"/>
      <c r="AC944" s="77"/>
      <c r="AD944" s="78"/>
      <c r="AE944" s="2326"/>
      <c r="AF944" s="2054"/>
      <c r="AG944" s="2054"/>
      <c r="AH944" s="2054"/>
      <c r="AI944" s="2054"/>
      <c r="AJ944" s="2054"/>
      <c r="AK944" s="232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6"/>
      <c r="N945" s="2054"/>
      <c r="O945" s="2054"/>
      <c r="P945" s="2054"/>
      <c r="Q945" s="2054"/>
      <c r="R945" s="2054"/>
      <c r="S945" s="2327"/>
      <c r="U945" s="103" t="s">
        <v>16</v>
      </c>
      <c r="V945" s="77"/>
      <c r="W945" s="77"/>
      <c r="X945" s="77"/>
      <c r="Y945" s="77"/>
      <c r="Z945" s="77"/>
      <c r="AA945" s="77"/>
      <c r="AB945" s="77"/>
      <c r="AC945" s="77"/>
      <c r="AD945" s="78"/>
      <c r="AE945" s="2326"/>
      <c r="AF945" s="2054"/>
      <c r="AG945" s="2054"/>
      <c r="AH945" s="2054"/>
      <c r="AI945" s="2054"/>
      <c r="AJ945" s="2054"/>
      <c r="AK945" s="232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5"/>
      <c r="N946" s="2356"/>
      <c r="O946" s="2356"/>
      <c r="P946" s="2356"/>
      <c r="Q946" s="2356"/>
      <c r="R946" s="2356"/>
      <c r="S946" s="2357"/>
      <c r="U946" s="103" t="s">
        <v>605</v>
      </c>
      <c r="V946" s="77"/>
      <c r="W946" s="77"/>
      <c r="X946" s="77"/>
      <c r="Y946" s="77"/>
      <c r="Z946" s="77"/>
      <c r="AA946" s="77"/>
      <c r="AB946" s="77"/>
      <c r="AC946" s="77"/>
      <c r="AD946" s="78"/>
      <c r="AE946" s="2355"/>
      <c r="AF946" s="2356"/>
      <c r="AG946" s="2356"/>
      <c r="AH946" s="2356"/>
      <c r="AI946" s="2356"/>
      <c r="AJ946" s="2356"/>
      <c r="AK946" s="23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4"/>
      <c r="N951" s="2335"/>
      <c r="O951" s="2335"/>
      <c r="P951" s="2335"/>
      <c r="Q951" s="2335"/>
      <c r="R951" s="2335"/>
      <c r="S951" s="2336"/>
      <c r="T951" s="103" t="s">
        <v>848</v>
      </c>
      <c r="U951" s="77"/>
      <c r="V951" s="77"/>
      <c r="W951" s="77"/>
      <c r="X951" s="77"/>
      <c r="Y951" s="77"/>
      <c r="Z951" s="78"/>
      <c r="AA951" s="2334"/>
      <c r="AB951" s="2335"/>
      <c r="AC951" s="2335"/>
      <c r="AD951" s="2335"/>
      <c r="AE951" s="2335"/>
      <c r="AF951" s="2335"/>
      <c r="AG951" s="23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4"/>
      <c r="N952" s="2335"/>
      <c r="O952" s="2335"/>
      <c r="P952" s="2335"/>
      <c r="Q952" s="2335"/>
      <c r="R952" s="2335"/>
      <c r="S952" s="2336"/>
      <c r="T952" s="103" t="s">
        <v>847</v>
      </c>
      <c r="U952" s="77"/>
      <c r="V952" s="77"/>
      <c r="W952" s="77"/>
      <c r="X952" s="77"/>
      <c r="Y952" s="77"/>
      <c r="Z952" s="78"/>
      <c r="AA952" s="2334"/>
      <c r="AB952" s="2335"/>
      <c r="AC952" s="2335"/>
      <c r="AD952" s="2335"/>
      <c r="AE952" s="2335"/>
      <c r="AF952" s="2335"/>
      <c r="AG952" s="23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334"/>
      <c r="AB953" s="2335"/>
      <c r="AC953" s="2335"/>
      <c r="AD953" s="2335"/>
      <c r="AE953" s="2335"/>
      <c r="AF953" s="2335"/>
      <c r="AG953" s="23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4"/>
      <c r="N954" s="2335"/>
      <c r="O954" s="2335"/>
      <c r="P954" s="2335"/>
      <c r="Q954" s="2335"/>
      <c r="R954" s="2335"/>
      <c r="S954" s="2336"/>
      <c r="T954" s="76" t="s">
        <v>347</v>
      </c>
      <c r="U954" s="77"/>
      <c r="V954" s="77"/>
      <c r="W954" s="77"/>
      <c r="X954" s="77"/>
      <c r="Y954" s="77"/>
      <c r="Z954" s="78"/>
      <c r="AA954" s="2334"/>
      <c r="AB954" s="2335"/>
      <c r="AC954" s="2335"/>
      <c r="AD954" s="2335"/>
      <c r="AE954" s="2335"/>
      <c r="AF954" s="2335"/>
      <c r="AG954" s="23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4"/>
      <c r="N955" s="2335"/>
      <c r="O955" s="2335"/>
      <c r="P955" s="2335"/>
      <c r="Q955" s="2335"/>
      <c r="R955" s="2335"/>
      <c r="S955" s="2336"/>
      <c r="T955" s="76" t="s">
        <v>394</v>
      </c>
      <c r="U955" s="77"/>
      <c r="V955" s="77"/>
      <c r="W955" s="77"/>
      <c r="X955" s="77"/>
      <c r="Y955" s="77"/>
      <c r="Z955" s="78"/>
      <c r="AA955" s="2334"/>
      <c r="AB955" s="2335"/>
      <c r="AC955" s="2335"/>
      <c r="AD955" s="2335"/>
      <c r="AE955" s="2335"/>
      <c r="AF955" s="2335"/>
      <c r="AG955" s="23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316</v>
      </c>
      <c r="N956" s="2348"/>
      <c r="O956" s="2348"/>
      <c r="P956" s="2348"/>
      <c r="Q956" s="2348"/>
      <c r="R956" s="2348"/>
      <c r="S956" s="2349"/>
      <c r="T956" s="2337"/>
      <c r="U956" s="2338"/>
      <c r="V956" s="2338"/>
      <c r="W956" s="2338"/>
      <c r="X956" s="2338"/>
      <c r="Y956" s="2338"/>
      <c r="Z956" s="2339"/>
      <c r="AA956" s="2334"/>
      <c r="AB956" s="2335"/>
      <c r="AC956" s="2335"/>
      <c r="AD956" s="2335"/>
      <c r="AE956" s="2335"/>
      <c r="AF956" s="2335"/>
      <c r="AG956" s="23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4"/>
      <c r="N957" s="2335"/>
      <c r="O957" s="2335"/>
      <c r="P957" s="2335"/>
      <c r="Q957" s="2335"/>
      <c r="R957" s="2335"/>
      <c r="S957" s="2336"/>
      <c r="T957" s="2337"/>
      <c r="U957" s="2338"/>
      <c r="V957" s="2338"/>
      <c r="W957" s="2338"/>
      <c r="X957" s="2338"/>
      <c r="Y957" s="2338"/>
      <c r="Z957" s="2339"/>
      <c r="AA957" s="2334"/>
      <c r="AB957" s="2335"/>
      <c r="AC957" s="2335"/>
      <c r="AD957" s="2335"/>
      <c r="AE957" s="2335"/>
      <c r="AF957" s="2335"/>
      <c r="AG957" s="23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3" t="s">
        <v>706</v>
      </c>
      <c r="P958" s="2124"/>
      <c r="Q958" s="139"/>
      <c r="R958" s="139"/>
      <c r="S958" s="140"/>
      <c r="T958" s="71" t="s">
        <v>175</v>
      </c>
      <c r="U958" s="72"/>
      <c r="V958" s="72"/>
      <c r="W958" s="2317"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2" t="s">
        <v>34</v>
      </c>
      <c r="G959" s="2363"/>
      <c r="H959" s="2363"/>
      <c r="I959" s="2363"/>
      <c r="J959" s="2363"/>
      <c r="K959" s="2363"/>
      <c r="L959" s="2363"/>
      <c r="M959" s="2334"/>
      <c r="N959" s="2335"/>
      <c r="O959" s="2335"/>
      <c r="P959" s="2335"/>
      <c r="Q959" s="2335"/>
      <c r="R959" s="2335"/>
      <c r="S959" s="2336"/>
      <c r="T959" s="79"/>
      <c r="U959" s="80"/>
      <c r="V959" s="80"/>
      <c r="W959" s="80"/>
      <c r="X959" s="80"/>
      <c r="Y959" s="80"/>
      <c r="Z959" s="188" t="s">
        <v>139</v>
      </c>
      <c r="AA959" s="2500"/>
      <c r="AB959" s="2501"/>
      <c r="AC959" s="2501"/>
      <c r="AD959" s="2501"/>
      <c r="AE959" s="2501"/>
      <c r="AF959" s="2501"/>
      <c r="AG959" s="250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9" t="s">
        <v>581</v>
      </c>
      <c r="B963" s="2389"/>
      <c r="C963" s="2389"/>
      <c r="D963" s="2389"/>
      <c r="E963" s="2389"/>
      <c r="F963" s="2389"/>
      <c r="G963" s="2389"/>
      <c r="H963" s="2389"/>
      <c r="I963" s="2389"/>
      <c r="J963" s="2389"/>
      <c r="K963" s="2389"/>
      <c r="L963" s="2389"/>
      <c r="M963" s="2389"/>
      <c r="N963" s="2389"/>
      <c r="O963" s="2389"/>
      <c r="P963" s="2389"/>
      <c r="Q963" s="2389"/>
      <c r="R963" s="2389"/>
      <c r="S963" s="2389"/>
      <c r="T963" s="2389"/>
      <c r="U963" s="2389"/>
      <c r="V963" s="2389"/>
      <c r="W963" s="2389"/>
      <c r="X963" s="2389"/>
      <c r="Y963" s="2389"/>
      <c r="Z963" s="2389"/>
      <c r="AA963" s="2389"/>
      <c r="AB963" s="2389"/>
      <c r="AC963" s="2389"/>
      <c r="AD963" s="2389"/>
      <c r="AE963" s="2389"/>
      <c r="AF963" s="2389"/>
      <c r="AG963" s="2389"/>
      <c r="AH963" s="2389"/>
      <c r="AI963" s="2389"/>
      <c r="AJ963" s="2389"/>
      <c r="AK963" s="2389"/>
      <c r="AL963" s="2389"/>
      <c r="AM963" s="2389"/>
      <c r="AN963" s="2389"/>
      <c r="AO963" s="2389"/>
      <c r="AP963" s="2389"/>
      <c r="AQ963" s="2389"/>
      <c r="AR963" s="2389"/>
      <c r="AS963" s="238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9"/>
      <c r="B964" s="2389"/>
      <c r="C964" s="2389"/>
      <c r="D964" s="2389"/>
      <c r="E964" s="2389"/>
      <c r="F964" s="2389"/>
      <c r="G964" s="2389"/>
      <c r="H964" s="2389"/>
      <c r="I964" s="2389"/>
      <c r="J964" s="2389"/>
      <c r="K964" s="2389"/>
      <c r="L964" s="2389"/>
      <c r="M964" s="2389"/>
      <c r="N964" s="2389"/>
      <c r="O964" s="2389"/>
      <c r="P964" s="2389"/>
      <c r="Q964" s="2389"/>
      <c r="R964" s="2389"/>
      <c r="S964" s="2389"/>
      <c r="T964" s="2389"/>
      <c r="U964" s="2389"/>
      <c r="V964" s="2389"/>
      <c r="W964" s="2389"/>
      <c r="X964" s="2389"/>
      <c r="Y964" s="2389"/>
      <c r="Z964" s="2389"/>
      <c r="AA964" s="2389"/>
      <c r="AB964" s="2389"/>
      <c r="AC964" s="2389"/>
      <c r="AD964" s="2389"/>
      <c r="AE964" s="2389"/>
      <c r="AF964" s="2389"/>
      <c r="AG964" s="2389"/>
      <c r="AH964" s="2389"/>
      <c r="AI964" s="2389"/>
      <c r="AJ964" s="2389"/>
      <c r="AK964" s="2389"/>
      <c r="AL964" s="2389"/>
      <c r="AM964" s="2389"/>
      <c r="AN964" s="2389"/>
      <c r="AO964" s="2389"/>
      <c r="AP964" s="2389"/>
      <c r="AQ964" s="2389"/>
      <c r="AR964" s="2389"/>
      <c r="AS964" s="238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94" t="s">
        <v>673</v>
      </c>
      <c r="E968" s="2495"/>
      <c r="F968" s="2495"/>
      <c r="G968" s="2495"/>
      <c r="H968" s="2495"/>
      <c r="I968" s="2495"/>
      <c r="J968" s="2495"/>
      <c r="K968" s="2495"/>
      <c r="L968" s="2495"/>
      <c r="M968" s="2495"/>
      <c r="N968" s="2495"/>
      <c r="O968" s="2495"/>
      <c r="P968" s="2495"/>
      <c r="Q968" s="2496"/>
      <c r="R968" s="2494" t="s">
        <v>674</v>
      </c>
      <c r="S968" s="2495"/>
      <c r="T968" s="2495"/>
      <c r="U968" s="2495"/>
      <c r="V968" s="2495"/>
      <c r="W968" s="2495"/>
      <c r="X968" s="2495"/>
      <c r="Y968" s="2495"/>
      <c r="Z968" s="2495"/>
      <c r="AA968" s="2496"/>
      <c r="AB968" s="2494" t="s">
        <v>675</v>
      </c>
      <c r="AC968" s="2495"/>
      <c r="AD968" s="2495"/>
      <c r="AE968" s="2495"/>
      <c r="AF968" s="2495"/>
      <c r="AG968" s="2495"/>
      <c r="AH968" s="2495"/>
      <c r="AI968" s="2496"/>
      <c r="AJ968" s="2494" t="s">
        <v>676</v>
      </c>
      <c r="AK968" s="2495"/>
      <c r="AL968" s="2495"/>
      <c r="AM968" s="2495"/>
      <c r="AN968" s="2495"/>
      <c r="AO968" s="2495"/>
      <c r="AP968" s="2495"/>
      <c r="AQ968" s="2496"/>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85" t="s">
        <v>668</v>
      </c>
      <c r="E969" s="2386"/>
      <c r="F969" s="2386"/>
      <c r="G969" s="2386"/>
      <c r="H969" s="2386"/>
      <c r="I969" s="2386"/>
      <c r="J969" s="2386"/>
      <c r="K969" s="2386"/>
      <c r="L969" s="2386"/>
      <c r="M969" s="2386"/>
      <c r="N969" s="2386"/>
      <c r="O969" s="2386"/>
      <c r="P969" s="2386"/>
      <c r="Q969" s="2387"/>
      <c r="R969" s="2493">
        <f>IF(ISNA(IF($BN$799="4%",(INDEX($BP$809:$BT$866,MATCH($CB$799,$BO$809:$BO$866,0),MATCH(D969,$BP$808:$BT$808,0))),(INDEX($BW$809:$CA$866,MATCH($CB$799,$BV$809:$BV$866,0),MATCH(D969,$BW$808:$CA$808,0))))),0,IF($BN$799="4%",(INDEX($BP$809:$BT$866,MATCH($CB$799,$BO$809:$BO$866,0),MATCH(D969,$BP$808:$BT$808,0))),(INDEX($BW$809:$CA$866,MATCH($CB$799,$BV$809:$BV$866,0),MATCH(D969,$BW$808:$CA$808,0)))))</f>
        <v>278397</v>
      </c>
      <c r="S969" s="2493"/>
      <c r="T969" s="2493"/>
      <c r="U969" s="2493"/>
      <c r="V969" s="2493"/>
      <c r="W969" s="2493"/>
      <c r="X969" s="2493"/>
      <c r="Y969" s="2493"/>
      <c r="Z969" s="2493"/>
      <c r="AA969" s="2493"/>
      <c r="AB969" s="2497">
        <f>BN663</f>
        <v>0</v>
      </c>
      <c r="AC969" s="2498"/>
      <c r="AD969" s="2498"/>
      <c r="AE969" s="2498"/>
      <c r="AF969" s="2498"/>
      <c r="AG969" s="2498"/>
      <c r="AH969" s="2498"/>
      <c r="AI969" s="2499"/>
      <c r="AJ969" s="2398">
        <f>IF(ISERROR((R969*AB969)),0,(R969*AB969))</f>
        <v>0</v>
      </c>
      <c r="AK969" s="2399"/>
      <c r="AL969" s="2399"/>
      <c r="AM969" s="2399"/>
      <c r="AN969" s="2399"/>
      <c r="AO969" s="2399"/>
      <c r="AP969" s="2399"/>
      <c r="AQ969" s="2400"/>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85" t="s">
        <v>334</v>
      </c>
      <c r="E970" s="2386"/>
      <c r="F970" s="2386"/>
      <c r="G970" s="2386"/>
      <c r="H970" s="2386"/>
      <c r="I970" s="2386"/>
      <c r="J970" s="2386"/>
      <c r="K970" s="2386"/>
      <c r="L970" s="2386"/>
      <c r="M970" s="2386"/>
      <c r="N970" s="2386"/>
      <c r="O970" s="2386"/>
      <c r="P970" s="2386"/>
      <c r="Q970" s="2387"/>
      <c r="R970" s="2493">
        <f>IF(ISNA(IF($BN$799="4%",(INDEX($BP$809:$BT$866,MATCH($CB$799,$BO$809:$BO$866,0),MATCH(D970,$BP$808:$BT$808,0))),(INDEX($BW$809:$CA$866,MATCH($CB$799,$BV$809:$BV$866,0),MATCH(D970,$BW$808:$CA$808,0))))),0,IF($BN$799="4%",(INDEX($BP$809:$BT$866,MATCH($CB$799,$BO$809:$BO$866,0),MATCH(D970,$BP$808:$BT$808,0))),(INDEX($BW$809:$CA$866,MATCH($CB$799,$BV$809:$BV$866,0),MATCH(D970,$BW$808:$CA$808,0)))))</f>
        <v>320989</v>
      </c>
      <c r="S970" s="2493"/>
      <c r="T970" s="2493"/>
      <c r="U970" s="2493"/>
      <c r="V970" s="2493"/>
      <c r="W970" s="2493"/>
      <c r="X970" s="2493"/>
      <c r="Y970" s="2493"/>
      <c r="Z970" s="2493"/>
      <c r="AA970" s="2493"/>
      <c r="AB970" s="2497">
        <f>BS663</f>
        <v>135</v>
      </c>
      <c r="AC970" s="2498"/>
      <c r="AD970" s="2498"/>
      <c r="AE970" s="2498"/>
      <c r="AF970" s="2498"/>
      <c r="AG970" s="2498"/>
      <c r="AH970" s="2498"/>
      <c r="AI970" s="2499"/>
      <c r="AJ970" s="2398">
        <f>IF(ISERROR((R970*AB970)),0,(R970*AB970))</f>
        <v>43333515</v>
      </c>
      <c r="AK970" s="2399"/>
      <c r="AL970" s="2399"/>
      <c r="AM970" s="2399"/>
      <c r="AN970" s="2399"/>
      <c r="AO970" s="2399"/>
      <c r="AP970" s="2399"/>
      <c r="AQ970" s="2400"/>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5" t="s">
        <v>168</v>
      </c>
      <c r="E971" s="2386"/>
      <c r="F971" s="2386"/>
      <c r="G971" s="2386"/>
      <c r="H971" s="2386"/>
      <c r="I971" s="2386"/>
      <c r="J971" s="2386"/>
      <c r="K971" s="2386"/>
      <c r="L971" s="2386"/>
      <c r="M971" s="2386"/>
      <c r="N971" s="2386"/>
      <c r="O971" s="2386"/>
      <c r="P971" s="2386"/>
      <c r="Q971" s="2387"/>
      <c r="R971" s="2493">
        <f>IF(ISNA(IF($BN$799="4%",(INDEX($BP$809:$BT$866,MATCH($CB$799,$BO$809:$BO$866,0),MATCH(D971,$BP$808:$BT$808,0))),(INDEX($BW$809:$CA$866,MATCH($CB$799,$BV$809:$BV$866,0),MATCH(D971,$BW$808:$CA$808,0))))),0,IF($BN$799="4%",(INDEX($BP$809:$BT$866,MATCH($CB$799,$BO$809:$BO$866,0),MATCH(D971,$BP$808:$BT$808,0))),(INDEX($BW$809:$CA$866,MATCH($CB$799,$BV$809:$BV$866,0),MATCH(D971,$BW$808:$CA$808,0)))))</f>
        <v>387200</v>
      </c>
      <c r="S971" s="2493"/>
      <c r="T971" s="2493"/>
      <c r="U971" s="2493"/>
      <c r="V971" s="2493"/>
      <c r="W971" s="2493"/>
      <c r="X971" s="2493"/>
      <c r="Y971" s="2493"/>
      <c r="Z971" s="2493"/>
      <c r="AA971" s="2493"/>
      <c r="AB971" s="2497">
        <f>BX663</f>
        <v>15</v>
      </c>
      <c r="AC971" s="2498"/>
      <c r="AD971" s="2498"/>
      <c r="AE971" s="2498"/>
      <c r="AF971" s="2498"/>
      <c r="AG971" s="2498"/>
      <c r="AH971" s="2498"/>
      <c r="AI971" s="2499"/>
      <c r="AJ971" s="2398">
        <f>IF(ISERROR((R971*AB971)),0,(R971*AB971))</f>
        <v>5808000</v>
      </c>
      <c r="AK971" s="2399"/>
      <c r="AL971" s="2399"/>
      <c r="AM971" s="2399"/>
      <c r="AN971" s="2399"/>
      <c r="AO971" s="2399"/>
      <c r="AP971" s="2399"/>
      <c r="AQ971" s="2400"/>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85" t="s">
        <v>169</v>
      </c>
      <c r="E972" s="2386"/>
      <c r="F972" s="2386"/>
      <c r="G972" s="2386"/>
      <c r="H972" s="2386"/>
      <c r="I972" s="2386"/>
      <c r="J972" s="2386"/>
      <c r="K972" s="2386"/>
      <c r="L972" s="2386"/>
      <c r="M972" s="2386"/>
      <c r="N972" s="2386"/>
      <c r="O972" s="2386"/>
      <c r="P972" s="2386"/>
      <c r="Q972" s="2387"/>
      <c r="R972" s="2493">
        <f>IF(ISNA(IF($BN$799="4%",(INDEX($BP$809:$BT$866,MATCH($CB$799,$BO$809:$BO$866,0),MATCH(D972,$BP$808:$BT$808,0))),(INDEX($BW$809:$CA$866,MATCH($CB$799,$BV$809:$BV$866,0),MATCH(D972,$BW$808:$CA$808,0))))),0,IF($BN$799="4%",(INDEX($BP$809:$BT$866,MATCH($CB$799,$BO$809:$BO$866,0),MATCH(D972,$BP$808:$BT$808,0))),(INDEX($BW$809:$CA$866,MATCH($CB$799,$BV$809:$BV$866,0),MATCH(D972,$BW$808:$CA$808,0)))))</f>
        <v>495616</v>
      </c>
      <c r="S972" s="2493"/>
      <c r="T972" s="2493"/>
      <c r="U972" s="2493"/>
      <c r="V972" s="2493"/>
      <c r="W972" s="2493"/>
      <c r="X972" s="2493"/>
      <c r="Y972" s="2493"/>
      <c r="Z972" s="2493"/>
      <c r="AA972" s="2493"/>
      <c r="AB972" s="2497">
        <f>CC663</f>
        <v>0</v>
      </c>
      <c r="AC972" s="2498"/>
      <c r="AD972" s="2498"/>
      <c r="AE972" s="2498"/>
      <c r="AF972" s="2498"/>
      <c r="AG972" s="2498"/>
      <c r="AH972" s="2498"/>
      <c r="AI972" s="2499"/>
      <c r="AJ972" s="2398">
        <f>IF(ISERROR((R972*AB972)),0,(R972*AB972))</f>
        <v>0</v>
      </c>
      <c r="AK972" s="2399"/>
      <c r="AL972" s="2399"/>
      <c r="AM972" s="2399"/>
      <c r="AN972" s="2399"/>
      <c r="AO972" s="2399"/>
      <c r="AP972" s="2399"/>
      <c r="AQ972" s="2400"/>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5" t="s">
        <v>493</v>
      </c>
      <c r="E973" s="2386"/>
      <c r="F973" s="2386"/>
      <c r="G973" s="2386"/>
      <c r="H973" s="2386"/>
      <c r="I973" s="2386"/>
      <c r="J973" s="2386"/>
      <c r="K973" s="2386"/>
      <c r="L973" s="2386"/>
      <c r="M973" s="2386"/>
      <c r="N973" s="2386"/>
      <c r="O973" s="2386"/>
      <c r="P973" s="2386"/>
      <c r="Q973" s="2387"/>
      <c r="R973" s="2493">
        <f>IF(ISNA(IF($BN$799="4%",(INDEX($BP$809:$BT$866,MATCH($CB$799,$BO$809:$BO$866,0),MATCH(D973,$BP$808:$BT$808,0))),(INDEX($BW$809:$CA$866,MATCH($CB$799,$BV$809:$BV$866,0),MATCH(D973,$BW$808:$CA$808,0))))),0,IF($BN$799="4%",(INDEX($BP$809:$BT$866,MATCH($CB$799,$BO$809:$BO$866,0),MATCH(D973,$BP$808:$BT$808,0))),(INDEX($BW$809:$CA$866,MATCH($CB$799,$BV$809:$BV$866,0),MATCH(D973,$BW$808:$CA$808,0)))))</f>
        <v>552147</v>
      </c>
      <c r="S973" s="2493"/>
      <c r="T973" s="2493"/>
      <c r="U973" s="2493"/>
      <c r="V973" s="2493"/>
      <c r="W973" s="2493"/>
      <c r="X973" s="2493"/>
      <c r="Y973" s="2493"/>
      <c r="Z973" s="2493"/>
      <c r="AA973" s="2493"/>
      <c r="AB973" s="2497">
        <f>CM663+CH663</f>
        <v>0</v>
      </c>
      <c r="AC973" s="2498"/>
      <c r="AD973" s="2498"/>
      <c r="AE973" s="2498"/>
      <c r="AF973" s="2498"/>
      <c r="AG973" s="2498"/>
      <c r="AH973" s="2498"/>
      <c r="AI973" s="2499"/>
      <c r="AJ973" s="2398">
        <f>IF(ISERROR((R973*AB973)),0,(R973*AB973))</f>
        <v>0</v>
      </c>
      <c r="AK973" s="2399"/>
      <c r="AL973" s="2399"/>
      <c r="AM973" s="2399"/>
      <c r="AN973" s="2399"/>
      <c r="AO973" s="2399"/>
      <c r="AP973" s="2399"/>
      <c r="AQ973" s="2400"/>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4" t="s">
        <v>849</v>
      </c>
      <c r="C974" s="2525"/>
      <c r="D974" s="2525"/>
      <c r="E974" s="2525"/>
      <c r="F974" s="2525"/>
      <c r="G974" s="2525"/>
      <c r="H974" s="2525"/>
      <c r="I974" s="2525"/>
      <c r="J974" s="2525"/>
      <c r="K974" s="2525"/>
      <c r="L974" s="2525"/>
      <c r="M974" s="2525"/>
      <c r="N974" s="2525"/>
      <c r="O974" s="2525"/>
      <c r="P974" s="2525"/>
      <c r="Q974" s="2525"/>
      <c r="R974" s="2525"/>
      <c r="S974" s="2525"/>
      <c r="T974" s="2525"/>
      <c r="U974" s="2525"/>
      <c r="V974" s="2525"/>
      <c r="W974" s="2525"/>
      <c r="X974" s="2525"/>
      <c r="Y974" s="2525"/>
      <c r="Z974" s="2525"/>
      <c r="AA974" s="2526"/>
      <c r="AB974" s="2497">
        <f>SUM(AB969:AI973)</f>
        <v>150</v>
      </c>
      <c r="AC974" s="2498"/>
      <c r="AD974" s="2498"/>
      <c r="AE974" s="2498"/>
      <c r="AF974" s="2498"/>
      <c r="AG974" s="2498"/>
      <c r="AH974" s="2498"/>
      <c r="AI974" s="2499"/>
      <c r="AJ974" s="2398"/>
      <c r="AK974" s="2399"/>
      <c r="AL974" s="2399"/>
      <c r="AM974" s="2399"/>
      <c r="AN974" s="2399"/>
      <c r="AO974" s="2399"/>
      <c r="AP974" s="2399"/>
      <c r="AQ974" s="2400"/>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557" t="s">
        <v>545</v>
      </c>
      <c r="C975" s="2558"/>
      <c r="D975" s="2558"/>
      <c r="E975" s="2558"/>
      <c r="F975" s="2558"/>
      <c r="G975" s="2558"/>
      <c r="H975" s="2558"/>
      <c r="I975" s="2558"/>
      <c r="J975" s="2558"/>
      <c r="K975" s="2558"/>
      <c r="L975" s="2558"/>
      <c r="M975" s="2558"/>
      <c r="N975" s="2558"/>
      <c r="O975" s="2558"/>
      <c r="P975" s="2558"/>
      <c r="Q975" s="2558"/>
      <c r="R975" s="2558"/>
      <c r="S975" s="2558"/>
      <c r="T975" s="2558"/>
      <c r="U975" s="2558"/>
      <c r="V975" s="2558"/>
      <c r="W975" s="2558"/>
      <c r="X975" s="2558"/>
      <c r="Y975" s="2558"/>
      <c r="Z975" s="2558"/>
      <c r="AA975" s="2558"/>
      <c r="AB975" s="2558"/>
      <c r="AC975" s="2558"/>
      <c r="AD975" s="2558"/>
      <c r="AE975" s="2558"/>
      <c r="AF975" s="2558"/>
      <c r="AG975" s="2558"/>
      <c r="AH975" s="2558"/>
      <c r="AI975" s="2559"/>
      <c r="AJ975" s="2398">
        <f>SUM(AJ969:AQ973)</f>
        <v>49141515</v>
      </c>
      <c r="AK975" s="2399"/>
      <c r="AL975" s="2399"/>
      <c r="AM975" s="2399"/>
      <c r="AN975" s="2399"/>
      <c r="AO975" s="2399"/>
      <c r="AP975" s="2399"/>
      <c r="AQ975" s="2400"/>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560" t="s">
        <v>703</v>
      </c>
      <c r="AG976" s="2561"/>
      <c r="AH976" s="2561"/>
      <c r="AI976" s="2562"/>
      <c r="AJ976" s="2486"/>
      <c r="AK976" s="2487"/>
      <c r="AL976" s="2487"/>
      <c r="AM976" s="2487"/>
      <c r="AN976" s="2487"/>
      <c r="AO976" s="2487"/>
      <c r="AP976" s="2487"/>
      <c r="AQ976" s="248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9" t="s">
        <v>1430</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563" t="s">
        <v>706</v>
      </c>
      <c r="AH977" s="2564"/>
      <c r="AI977" s="125"/>
      <c r="AJ977" s="2477">
        <f>ROUND(IF(AND(AG977="yes",D979&gt;0),AJ975*0.2,0),0)</f>
        <v>0</v>
      </c>
      <c r="AK977" s="2478"/>
      <c r="AL977" s="2478"/>
      <c r="AM977" s="2478"/>
      <c r="AN977" s="2478"/>
      <c r="AO977" s="2478"/>
      <c r="AP977" s="2478"/>
      <c r="AQ977" s="247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27" t="s">
        <v>1431</v>
      </c>
      <c r="E978" s="2528"/>
      <c r="F978" s="2528"/>
      <c r="G978" s="2528"/>
      <c r="H978" s="2528"/>
      <c r="I978" s="2528"/>
      <c r="J978" s="2528"/>
      <c r="K978" s="2528"/>
      <c r="L978" s="2528"/>
      <c r="M978" s="2528"/>
      <c r="N978" s="2528"/>
      <c r="O978" s="2528"/>
      <c r="P978" s="2528"/>
      <c r="Q978" s="2528"/>
      <c r="R978" s="2528"/>
      <c r="S978" s="2528"/>
      <c r="T978" s="2528"/>
      <c r="U978" s="2528"/>
      <c r="V978" s="2528"/>
      <c r="W978" s="2528"/>
      <c r="X978" s="2528"/>
      <c r="Y978" s="2528"/>
      <c r="Z978" s="2528"/>
      <c r="AA978" s="2528"/>
      <c r="AB978" s="2528"/>
      <c r="AC978" s="2528"/>
      <c r="AD978" s="2528"/>
      <c r="AE978" s="2529"/>
      <c r="AF978" s="110"/>
      <c r="AG978" s="112"/>
      <c r="AH978" s="112"/>
      <c r="AI978" s="121"/>
      <c r="AJ978" s="2480"/>
      <c r="AK978" s="2481"/>
      <c r="AL978" s="2481"/>
      <c r="AM978" s="2481"/>
      <c r="AN978" s="2481"/>
      <c r="AO978" s="2481"/>
      <c r="AP978" s="2481"/>
      <c r="AQ978" s="248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2"/>
      <c r="C979" s="411"/>
      <c r="D979" s="2530"/>
      <c r="E979" s="2531"/>
      <c r="F979" s="2531"/>
      <c r="G979" s="2531"/>
      <c r="H979" s="2531"/>
      <c r="I979" s="2531"/>
      <c r="J979" s="2531"/>
      <c r="K979" s="2531"/>
      <c r="L979" s="2531"/>
      <c r="M979" s="2531"/>
      <c r="N979" s="2531"/>
      <c r="O979" s="2531"/>
      <c r="P979" s="2531"/>
      <c r="Q979" s="2531"/>
      <c r="R979" s="2531"/>
      <c r="S979" s="2531"/>
      <c r="T979" s="2531"/>
      <c r="U979" s="2531"/>
      <c r="V979" s="2531"/>
      <c r="W979" s="2531"/>
      <c r="X979" s="2531"/>
      <c r="Y979" s="2531"/>
      <c r="Z979" s="2531"/>
      <c r="AA979" s="2531"/>
      <c r="AB979" s="2531"/>
      <c r="AC979" s="2531"/>
      <c r="AD979" s="2531"/>
      <c r="AE979" s="2532"/>
      <c r="AF979" s="115"/>
      <c r="AG979" s="11"/>
      <c r="AH979" s="11"/>
      <c r="AI979" s="116"/>
      <c r="AJ979" s="2483"/>
      <c r="AK979" s="2484"/>
      <c r="AL979" s="2484"/>
      <c r="AM979" s="2484"/>
      <c r="AN979" s="2484"/>
      <c r="AO979" s="2484"/>
      <c r="AP979" s="2484"/>
      <c r="AQ979" s="248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40" t="s">
        <v>1530</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706</v>
      </c>
      <c r="AH980" s="2453"/>
      <c r="AI980" s="125"/>
      <c r="AJ980" s="2477">
        <f>ROUND(IF(AG980="yes",AJ975*0.05,0),0)</f>
        <v>0</v>
      </c>
      <c r="AK980" s="2478"/>
      <c r="AL980" s="2478"/>
      <c r="AM980" s="2478"/>
      <c r="AN980" s="2478"/>
      <c r="AO980" s="2478"/>
      <c r="AP980" s="2478"/>
      <c r="AQ980" s="247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2"/>
      <c r="C981" s="120"/>
      <c r="D981" s="2527" t="s">
        <v>1528</v>
      </c>
      <c r="E981" s="2528"/>
      <c r="F981" s="2528"/>
      <c r="G981" s="2528"/>
      <c r="H981" s="2528"/>
      <c r="I981" s="2528"/>
      <c r="J981" s="2528"/>
      <c r="K981" s="2528"/>
      <c r="L981" s="2528"/>
      <c r="M981" s="2528"/>
      <c r="N981" s="2528"/>
      <c r="O981" s="2528"/>
      <c r="P981" s="2528"/>
      <c r="Q981" s="2528"/>
      <c r="R981" s="2528"/>
      <c r="S981" s="2528"/>
      <c r="T981" s="2528"/>
      <c r="U981" s="2528"/>
      <c r="V981" s="2528"/>
      <c r="W981" s="2528"/>
      <c r="X981" s="2528"/>
      <c r="Y981" s="2528"/>
      <c r="Z981" s="2528"/>
      <c r="AA981" s="2528"/>
      <c r="AB981" s="2528"/>
      <c r="AC981" s="2528"/>
      <c r="AD981" s="2528"/>
      <c r="AE981" s="2529"/>
      <c r="AF981" s="110"/>
      <c r="AG981" s="112"/>
      <c r="AH981" s="112"/>
      <c r="AI981" s="121"/>
      <c r="AJ981" s="2480"/>
      <c r="AK981" s="2481"/>
      <c r="AL981" s="2481"/>
      <c r="AM981" s="2481"/>
      <c r="AN981" s="2481"/>
      <c r="AO981" s="2481"/>
      <c r="AP981" s="2481"/>
      <c r="AQ981" s="248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27"/>
      <c r="E982" s="2528"/>
      <c r="F982" s="2528"/>
      <c r="G982" s="2528"/>
      <c r="H982" s="2528"/>
      <c r="I982" s="2528"/>
      <c r="J982" s="2528"/>
      <c r="K982" s="2528"/>
      <c r="L982" s="2528"/>
      <c r="M982" s="2528"/>
      <c r="N982" s="2528"/>
      <c r="O982" s="2528"/>
      <c r="P982" s="2528"/>
      <c r="Q982" s="2528"/>
      <c r="R982" s="2528"/>
      <c r="S982" s="2528"/>
      <c r="T982" s="2528"/>
      <c r="U982" s="2528"/>
      <c r="V982" s="2528"/>
      <c r="W982" s="2528"/>
      <c r="X982" s="2528"/>
      <c r="Y982" s="2528"/>
      <c r="Z982" s="2528"/>
      <c r="AA982" s="2528"/>
      <c r="AB982" s="2528"/>
      <c r="AC982" s="2528"/>
      <c r="AD982" s="2528"/>
      <c r="AE982" s="2529"/>
      <c r="AF982" s="110"/>
      <c r="AG982" s="112"/>
      <c r="AH982" s="112"/>
      <c r="AI982" s="121"/>
      <c r="AJ982" s="2480"/>
      <c r="AK982" s="2481"/>
      <c r="AL982" s="2481"/>
      <c r="AM982" s="2481"/>
      <c r="AN982" s="2481"/>
      <c r="AO982" s="2481"/>
      <c r="AP982" s="2481"/>
      <c r="AQ982" s="248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7"/>
      <c r="E983" s="2528"/>
      <c r="F983" s="2528"/>
      <c r="G983" s="2528"/>
      <c r="H983" s="2528"/>
      <c r="I983" s="2528"/>
      <c r="J983" s="2528"/>
      <c r="K983" s="2528"/>
      <c r="L983" s="2528"/>
      <c r="M983" s="2528"/>
      <c r="N983" s="2528"/>
      <c r="O983" s="2528"/>
      <c r="P983" s="2528"/>
      <c r="Q983" s="2528"/>
      <c r="R983" s="2528"/>
      <c r="S983" s="2528"/>
      <c r="T983" s="2528"/>
      <c r="U983" s="2528"/>
      <c r="V983" s="2528"/>
      <c r="W983" s="2528"/>
      <c r="X983" s="2528"/>
      <c r="Y983" s="2528"/>
      <c r="Z983" s="2528"/>
      <c r="AA983" s="2528"/>
      <c r="AB983" s="2528"/>
      <c r="AC983" s="2528"/>
      <c r="AD983" s="2528"/>
      <c r="AE983" s="2529"/>
      <c r="AF983" s="110"/>
      <c r="AG983" s="112"/>
      <c r="AH983" s="112"/>
      <c r="AI983" s="121"/>
      <c r="AJ983" s="2480"/>
      <c r="AK983" s="2481"/>
      <c r="AL983" s="2481"/>
      <c r="AM983" s="2481"/>
      <c r="AN983" s="2481"/>
      <c r="AO983" s="2481"/>
      <c r="AP983" s="2481"/>
      <c r="AQ983" s="248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7"/>
      <c r="E984" s="2528"/>
      <c r="F984" s="2528"/>
      <c r="G984" s="2528"/>
      <c r="H984" s="2528"/>
      <c r="I984" s="2528"/>
      <c r="J984" s="2528"/>
      <c r="K984" s="2528"/>
      <c r="L984" s="2528"/>
      <c r="M984" s="2528"/>
      <c r="N984" s="2528"/>
      <c r="O984" s="2528"/>
      <c r="P984" s="2528"/>
      <c r="Q984" s="2528"/>
      <c r="R984" s="2528"/>
      <c r="S984" s="2528"/>
      <c r="T984" s="2528"/>
      <c r="U984" s="2528"/>
      <c r="V984" s="2528"/>
      <c r="W984" s="2528"/>
      <c r="X984" s="2528"/>
      <c r="Y984" s="2528"/>
      <c r="Z984" s="2528"/>
      <c r="AA984" s="2528"/>
      <c r="AB984" s="2528"/>
      <c r="AC984" s="2528"/>
      <c r="AD984" s="2528"/>
      <c r="AE984" s="2529"/>
      <c r="AF984" s="110"/>
      <c r="AG984" s="112"/>
      <c r="AH984" s="112"/>
      <c r="AI984" s="121"/>
      <c r="AJ984" s="2480"/>
      <c r="AK984" s="2481"/>
      <c r="AL984" s="2481"/>
      <c r="AM984" s="2481"/>
      <c r="AN984" s="2481"/>
      <c r="AO984" s="2481"/>
      <c r="AP984" s="2481"/>
      <c r="AQ984" s="248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3"/>
      <c r="E985" s="2534"/>
      <c r="F985" s="2534"/>
      <c r="G985" s="2534"/>
      <c r="H985" s="2534"/>
      <c r="I985" s="2534"/>
      <c r="J985" s="2534"/>
      <c r="K985" s="2534"/>
      <c r="L985" s="2534"/>
      <c r="M985" s="2534"/>
      <c r="N985" s="2534"/>
      <c r="O985" s="2534"/>
      <c r="P985" s="2534"/>
      <c r="Q985" s="2534"/>
      <c r="R985" s="2534"/>
      <c r="S985" s="2534"/>
      <c r="T985" s="2534"/>
      <c r="U985" s="2534"/>
      <c r="V985" s="2534"/>
      <c r="W985" s="2534"/>
      <c r="X985" s="2534"/>
      <c r="Y985" s="2534"/>
      <c r="Z985" s="2534"/>
      <c r="AA985" s="2534"/>
      <c r="AB985" s="2534"/>
      <c r="AC985" s="2534"/>
      <c r="AD985" s="2534"/>
      <c r="AE985" s="2535"/>
      <c r="AF985" s="115"/>
      <c r="AG985" s="11"/>
      <c r="AH985" s="11"/>
      <c r="AI985" s="116"/>
      <c r="AJ985" s="2483"/>
      <c r="AK985" s="2484"/>
      <c r="AL985" s="2484"/>
      <c r="AM985" s="2484"/>
      <c r="AN985" s="2484"/>
      <c r="AO985" s="2484"/>
      <c r="AP985" s="2484"/>
      <c r="AQ985" s="248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0" t="s">
        <v>2169</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706</v>
      </c>
      <c r="AH986" s="2453"/>
      <c r="AI986" s="125"/>
      <c r="AJ986" s="2477">
        <f>ROUND(IF(AG986="yes",AJ975*0.1,0),0)</f>
        <v>0</v>
      </c>
      <c r="AK986" s="2478"/>
      <c r="AL986" s="2478"/>
      <c r="AM986" s="2478"/>
      <c r="AN986" s="2478"/>
      <c r="AO986" s="2478"/>
      <c r="AP986" s="2478"/>
      <c r="AQ986" s="247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1529</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481"/>
      <c r="AL987" s="2481"/>
      <c r="AM987" s="2481"/>
      <c r="AN987" s="2481"/>
      <c r="AO987" s="2481"/>
      <c r="AP987" s="2481"/>
      <c r="AQ987" s="2482"/>
      <c r="AR987" s="1582"/>
      <c r="AS987" s="1582"/>
      <c r="AT987" s="1582"/>
      <c r="AU987" s="1582"/>
      <c r="AV987" s="1582"/>
      <c r="AW987" s="1582"/>
      <c r="AX987" s="1582"/>
      <c r="AY987" s="1582"/>
      <c r="AZ987" s="61"/>
      <c r="BA987" s="1611">
        <f>G753+O796</f>
        <v>149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481"/>
      <c r="AL988" s="2481"/>
      <c r="AM988" s="2481"/>
      <c r="AN988" s="2481"/>
      <c r="AO988" s="2481"/>
      <c r="AP988" s="2481"/>
      <c r="AQ988" s="248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3"/>
      <c r="AK989" s="2484"/>
      <c r="AL989" s="2484"/>
      <c r="AM989" s="2484"/>
      <c r="AN989" s="2484"/>
      <c r="AO989" s="2484"/>
      <c r="AP989" s="2484"/>
      <c r="AQ989" s="2485"/>
      <c r="AR989" s="1582"/>
      <c r="AS989" s="1582"/>
      <c r="AT989" s="1582"/>
      <c r="AU989" s="1582"/>
      <c r="AV989" s="1582"/>
      <c r="AW989" s="1582"/>
      <c r="AX989" s="1582"/>
      <c r="AY989" s="1582"/>
      <c r="AZ989" s="61"/>
      <c r="BA989" s="1610">
        <f>ROUNDDOWN(X1027/I1027,2)</f>
        <v>0.79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1531</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706</v>
      </c>
      <c r="AH990" s="2453"/>
      <c r="AI990" s="125"/>
      <c r="AJ990" s="2477">
        <f>ROUND(IF(AG990="yes",AJ975*0.02,0),0)</f>
        <v>0</v>
      </c>
      <c r="AK990" s="2478"/>
      <c r="AL990" s="2478"/>
      <c r="AM990" s="2478"/>
      <c r="AN990" s="2478"/>
      <c r="AO990" s="2478"/>
      <c r="AP990" s="2478"/>
      <c r="AQ990" s="2479"/>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1532</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3"/>
      <c r="AK991" s="2484"/>
      <c r="AL991" s="2484"/>
      <c r="AM991" s="2484"/>
      <c r="AN991" s="2484"/>
      <c r="AO991" s="2484"/>
      <c r="AP991" s="2484"/>
      <c r="AQ991" s="248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0" t="s">
        <v>1533</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706</v>
      </c>
      <c r="AH992" s="2453"/>
      <c r="AI992" s="117"/>
      <c r="AJ992" s="2477">
        <f>ROUND(IF(AG992="yes",AJ975*0.02,0),0)</f>
        <v>0</v>
      </c>
      <c r="AK992" s="2478"/>
      <c r="AL992" s="2478"/>
      <c r="AM992" s="2478"/>
      <c r="AN992" s="2478"/>
      <c r="AO992" s="2478"/>
      <c r="AP992" s="2478"/>
      <c r="AQ992" s="247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43" t="s">
        <v>1534</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481"/>
      <c r="AL993" s="2481"/>
      <c r="AM993" s="2481"/>
      <c r="AN993" s="2481"/>
      <c r="AO993" s="2481"/>
      <c r="AP993" s="2481"/>
      <c r="AQ993" s="2482"/>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3"/>
      <c r="AK994" s="2484"/>
      <c r="AL994" s="2484"/>
      <c r="AM994" s="2484"/>
      <c r="AN994" s="2484"/>
      <c r="AO994" s="2484"/>
      <c r="AP994" s="2484"/>
      <c r="AQ994" s="2485"/>
      <c r="AR994" s="1582"/>
      <c r="AS994" s="1582"/>
      <c r="AT994" s="1582"/>
      <c r="AU994" s="1582"/>
      <c r="AV994" s="1582"/>
      <c r="AW994" s="1582"/>
      <c r="AX994" s="1582"/>
      <c r="AY994" s="1582"/>
    </row>
    <row r="995" spans="1:96" s="719" customFormat="1" ht="12.75" customHeight="1">
      <c r="A995" s="51"/>
      <c r="B995" s="117"/>
      <c r="C995" s="118" t="s">
        <v>224</v>
      </c>
      <c r="D995" s="2489" t="s">
        <v>1535</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52" t="s">
        <v>706</v>
      </c>
      <c r="AH995" s="2453"/>
      <c r="AI995" s="125"/>
      <c r="AJ995" s="2477">
        <f>IF(AG995="yes",AJ975*BA995,0)</f>
        <v>0</v>
      </c>
      <c r="AK995" s="2478"/>
      <c r="AL995" s="2478"/>
      <c r="AM995" s="2478"/>
      <c r="AN995" s="2478"/>
      <c r="AO995" s="2478"/>
      <c r="AP995" s="2478"/>
      <c r="AQ995" s="247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3" t="s">
        <v>1536</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481"/>
      <c r="AL996" s="2481"/>
      <c r="AM996" s="2481"/>
      <c r="AN996" s="2481"/>
      <c r="AO996" s="2481"/>
      <c r="AP996" s="2481"/>
      <c r="AQ996" s="2482"/>
      <c r="AR996" s="1582"/>
      <c r="AS996" s="1582"/>
      <c r="AT996" s="1582"/>
      <c r="AU996" s="1582"/>
      <c r="AV996" s="1582"/>
      <c r="AW996" s="1582"/>
      <c r="AX996" s="1582"/>
      <c r="AY996" s="1582"/>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481"/>
      <c r="AL997" s="2481"/>
      <c r="AM997" s="2481"/>
      <c r="AN997" s="2481"/>
      <c r="AO997" s="2481"/>
      <c r="AP997" s="2481"/>
      <c r="AQ997" s="2482"/>
      <c r="AR997" s="1582"/>
      <c r="AS997" s="1582"/>
      <c r="AT997" s="1582"/>
      <c r="AU997" s="1582"/>
      <c r="AV997" s="1582"/>
      <c r="AW997" s="1582"/>
      <c r="AX997" s="1582"/>
      <c r="AY997" s="1582"/>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3"/>
      <c r="AK998" s="2484"/>
      <c r="AL998" s="2484"/>
      <c r="AM998" s="2484"/>
      <c r="AN998" s="2484"/>
      <c r="AO998" s="2484"/>
      <c r="AP998" s="2484"/>
      <c r="AQ998" s="2485"/>
      <c r="AR998" s="1582"/>
      <c r="AS998" s="1582"/>
      <c r="AT998" s="1582"/>
      <c r="AU998" s="1582"/>
      <c r="AV998" s="1582"/>
      <c r="AW998" s="1582"/>
      <c r="AX998" s="1582"/>
      <c r="AY998" s="1582"/>
      <c r="BA998" s="320">
        <f>IF(A1050="Yes",0.02,0)</f>
        <v>0</v>
      </c>
    </row>
    <row r="999" spans="1:96" s="719" customFormat="1" ht="15" customHeight="1">
      <c r="A999" s="51"/>
      <c r="B999" s="117"/>
      <c r="C999" s="118" t="s">
        <v>229</v>
      </c>
      <c r="D999" s="2548" t="s">
        <v>1537</v>
      </c>
      <c r="E999" s="2549"/>
      <c r="F999" s="2549"/>
      <c r="G999" s="2549"/>
      <c r="H999" s="2549"/>
      <c r="I999" s="2549"/>
      <c r="J999" s="2549"/>
      <c r="K999" s="2549"/>
      <c r="L999" s="2549"/>
      <c r="M999" s="2549"/>
      <c r="N999" s="2549"/>
      <c r="O999" s="2549"/>
      <c r="P999" s="2549"/>
      <c r="Q999" s="2549"/>
      <c r="R999" s="2549"/>
      <c r="S999" s="2549"/>
      <c r="T999" s="2549"/>
      <c r="U999" s="2549"/>
      <c r="V999" s="2549"/>
      <c r="W999" s="2549"/>
      <c r="X999" s="2549"/>
      <c r="Y999" s="2549"/>
      <c r="Z999" s="2549"/>
      <c r="AA999" s="2549"/>
      <c r="AB999" s="2549"/>
      <c r="AC999" s="2549"/>
      <c r="AD999" s="2549"/>
      <c r="AE999" s="2550"/>
      <c r="AF999" s="117"/>
      <c r="AG999" s="2452" t="s">
        <v>706</v>
      </c>
      <c r="AH999" s="2453"/>
      <c r="AI999" s="125"/>
      <c r="AJ999" s="2515"/>
      <c r="AK999" s="2516"/>
      <c r="AL999" s="2516"/>
      <c r="AM999" s="2516"/>
      <c r="AN999" s="2516"/>
      <c r="AO999" s="2516"/>
      <c r="AP999" s="2516"/>
      <c r="AQ999" s="2517"/>
      <c r="AR999" s="1582"/>
      <c r="AS999" s="1582"/>
      <c r="AT999" s="1582"/>
      <c r="AU999" s="1582"/>
      <c r="AV999" s="1582"/>
      <c r="AW999" s="1582"/>
      <c r="AX999" s="1582"/>
      <c r="AY999" s="1582"/>
      <c r="BA999" s="320">
        <f>IF(A1056="Yes",0.04,0)</f>
        <v>0</v>
      </c>
      <c r="CR999" s="25"/>
    </row>
    <row r="1000" spans="1:96" ht="12.75">
      <c r="A1000" s="51"/>
      <c r="B1000" s="119"/>
      <c r="C1000" s="122"/>
      <c r="D1000" s="2551"/>
      <c r="E1000" s="2552"/>
      <c r="F1000" s="2552"/>
      <c r="G1000" s="2552"/>
      <c r="H1000" s="2552"/>
      <c r="I1000" s="2552"/>
      <c r="J1000" s="2552"/>
      <c r="K1000" s="2552"/>
      <c r="L1000" s="2552"/>
      <c r="M1000" s="2552"/>
      <c r="N1000" s="2552"/>
      <c r="O1000" s="2552"/>
      <c r="P1000" s="2552"/>
      <c r="Q1000" s="2552"/>
      <c r="R1000" s="2552"/>
      <c r="S1000" s="2552"/>
      <c r="T1000" s="2552"/>
      <c r="U1000" s="2552"/>
      <c r="V1000" s="2552"/>
      <c r="W1000" s="2552"/>
      <c r="X1000" s="2552"/>
      <c r="Y1000" s="2552"/>
      <c r="Z1000" s="2552"/>
      <c r="AA1000" s="2552"/>
      <c r="AB1000" s="2552"/>
      <c r="AC1000" s="2552"/>
      <c r="AD1000" s="2552"/>
      <c r="AE1000" s="2553"/>
      <c r="AF1000" s="2536">
        <f>IF(AG999="yes","Please Select Type and Enter Amount:",0)</f>
        <v>0</v>
      </c>
      <c r="AG1000" s="2537"/>
      <c r="AH1000" s="2537"/>
      <c r="AI1000" s="2538"/>
      <c r="AJ1000" s="2518"/>
      <c r="AK1000" s="2519"/>
      <c r="AL1000" s="2519"/>
      <c r="AM1000" s="2519"/>
      <c r="AN1000" s="2519"/>
      <c r="AO1000" s="2519"/>
      <c r="AP1000" s="2519"/>
      <c r="AQ1000" s="2520"/>
      <c r="AR1000" s="1582"/>
      <c r="AS1000" s="1582"/>
      <c r="AT1000" s="1582"/>
      <c r="AU1000" s="1582"/>
      <c r="AV1000" s="1582"/>
      <c r="AW1000" s="1582"/>
      <c r="AX1000" s="1582"/>
      <c r="AY1000" s="1582"/>
      <c r="BA1000" s="320">
        <f>IF(A1063="Yes",0.04,0)</f>
        <v>0</v>
      </c>
    </row>
    <row r="1001" spans="1:96" ht="12.75" customHeight="1">
      <c r="A1001" s="51"/>
      <c r="B1001" s="119"/>
      <c r="C1001" s="122"/>
      <c r="D1001" s="2443" t="s">
        <v>1538</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36"/>
      <c r="AG1001" s="2537"/>
      <c r="AH1001" s="2537"/>
      <c r="AI1001" s="2538"/>
      <c r="AJ1001" s="2518"/>
      <c r="AK1001" s="2519"/>
      <c r="AL1001" s="2519"/>
      <c r="AM1001" s="2519"/>
      <c r="AN1001" s="2519"/>
      <c r="AO1001" s="2519"/>
      <c r="AP1001" s="2519"/>
      <c r="AQ1001" s="2520"/>
      <c r="AR1001" s="1582"/>
      <c r="AS1001" s="1582"/>
      <c r="AT1001" s="1582"/>
      <c r="AU1001" s="1582"/>
      <c r="AV1001" s="1582"/>
      <c r="AW1001" s="1582"/>
      <c r="AX1001" s="1582"/>
      <c r="AY1001" s="1582"/>
      <c r="BA1001" s="320">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36"/>
      <c r="AG1002" s="2537"/>
      <c r="AH1002" s="2537"/>
      <c r="AI1002" s="2538"/>
      <c r="AJ1002" s="2518"/>
      <c r="AK1002" s="2519"/>
      <c r="AL1002" s="2519"/>
      <c r="AM1002" s="2519"/>
      <c r="AN1002" s="2519"/>
      <c r="AO1002" s="2519"/>
      <c r="AP1002" s="2519"/>
      <c r="AQ1002" s="2520"/>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54" t="s">
        <v>626</v>
      </c>
      <c r="K1003" s="2555"/>
      <c r="L1003" s="2555"/>
      <c r="M1003" s="2555"/>
      <c r="N1003" s="2555"/>
      <c r="O1003" s="2555"/>
      <c r="P1003" s="2555"/>
      <c r="Q1003" s="2555"/>
      <c r="R1003" s="2555"/>
      <c r="S1003" s="2555"/>
      <c r="T1003" s="2555"/>
      <c r="U1003" s="2555"/>
      <c r="V1003" s="2555"/>
      <c r="W1003" s="2555"/>
      <c r="X1003" s="2555"/>
      <c r="Y1003" s="2555"/>
      <c r="Z1003" s="2555"/>
      <c r="AA1003" s="2555"/>
      <c r="AB1003" s="2555"/>
      <c r="AC1003" s="2555"/>
      <c r="AD1003" s="2555"/>
      <c r="AE1003" s="2556"/>
      <c r="AF1003" s="2539"/>
      <c r="AG1003" s="2540"/>
      <c r="AH1003" s="2540"/>
      <c r="AI1003" s="2541"/>
      <c r="AJ1003" s="2521"/>
      <c r="AK1003" s="2522"/>
      <c r="AL1003" s="2522"/>
      <c r="AM1003" s="2522"/>
      <c r="AN1003" s="2522"/>
      <c r="AO1003" s="2522"/>
      <c r="AP1003" s="2522"/>
      <c r="AQ1003" s="2523"/>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0" t="s">
        <v>1539</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578</v>
      </c>
      <c r="AH1004" s="2453"/>
      <c r="AI1004" s="125"/>
      <c r="AJ1004" s="2515">
        <v>468800</v>
      </c>
      <c r="AK1004" s="2516"/>
      <c r="AL1004" s="2516"/>
      <c r="AM1004" s="2516"/>
      <c r="AN1004" s="2516"/>
      <c r="AO1004" s="2516"/>
      <c r="AP1004" s="2516"/>
      <c r="AQ1004" s="2517"/>
      <c r="AR1004" s="1582"/>
      <c r="AS1004" s="1582"/>
      <c r="AT1004" s="1582"/>
      <c r="AU1004" s="1582"/>
      <c r="AV1004" s="1582"/>
      <c r="AW1004" s="1582"/>
      <c r="AX1004" s="1582"/>
      <c r="AY1004" s="1582"/>
      <c r="BA1004" s="320">
        <f>IF(A1078="Yes",0.02,0)</f>
        <v>0</v>
      </c>
    </row>
    <row r="1005" spans="1:96" ht="12.75" customHeight="1">
      <c r="A1005" s="51"/>
      <c r="B1005" s="110"/>
      <c r="C1005" s="111"/>
      <c r="D1005" s="2443" t="s">
        <v>2176</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42" t="str">
        <f>IF(AG1004="yes","Please Enter Amount:",0)</f>
        <v>Please Enter Amount:</v>
      </c>
      <c r="AG1005" s="2543"/>
      <c r="AH1005" s="2543"/>
      <c r="AI1005" s="2544"/>
      <c r="AJ1005" s="2518"/>
      <c r="AK1005" s="2519"/>
      <c r="AL1005" s="2519"/>
      <c r="AM1005" s="2519"/>
      <c r="AN1005" s="2519"/>
      <c r="AO1005" s="2519"/>
      <c r="AP1005" s="2519"/>
      <c r="AQ1005" s="2520"/>
      <c r="AR1005" s="1582"/>
      <c r="AS1005" s="1582"/>
      <c r="AT1005" s="1582"/>
      <c r="AU1005" s="1582"/>
      <c r="AV1005" s="1582"/>
      <c r="AW1005" s="1582"/>
      <c r="AX1005" s="1582"/>
      <c r="AY1005" s="1582"/>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42"/>
      <c r="AG1006" s="2543"/>
      <c r="AH1006" s="2543"/>
      <c r="AI1006" s="2544"/>
      <c r="AJ1006" s="2518"/>
      <c r="AK1006" s="2519"/>
      <c r="AL1006" s="2519"/>
      <c r="AM1006" s="2519"/>
      <c r="AN1006" s="2519"/>
      <c r="AO1006" s="2519"/>
      <c r="AP1006" s="2519"/>
      <c r="AQ1006" s="2520"/>
      <c r="AR1006" s="1582"/>
      <c r="AS1006" s="1582"/>
      <c r="AT1006" s="1582"/>
      <c r="AU1006" s="1582"/>
      <c r="AV1006" s="1582"/>
      <c r="AW1006" s="1582"/>
      <c r="AX1006" s="1582"/>
      <c r="AY1006" s="1582"/>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45"/>
      <c r="AG1007" s="2546"/>
      <c r="AH1007" s="2546"/>
      <c r="AI1007" s="2547"/>
      <c r="AJ1007" s="2521"/>
      <c r="AK1007" s="2522"/>
      <c r="AL1007" s="2522"/>
      <c r="AM1007" s="2522"/>
      <c r="AN1007" s="2522"/>
      <c r="AO1007" s="2522"/>
      <c r="AP1007" s="2522"/>
      <c r="AQ1007" s="2523"/>
      <c r="AR1007" s="1582"/>
      <c r="AS1007" s="1582"/>
      <c r="AT1007" s="1582"/>
      <c r="AU1007" s="1582"/>
      <c r="AV1007" s="1582"/>
      <c r="AW1007" s="1582"/>
      <c r="AX1007" s="1582"/>
      <c r="AY1007" s="1582"/>
    </row>
    <row r="1008" spans="1:96" s="719" customFormat="1" ht="12.75" customHeight="1">
      <c r="A1008" s="51"/>
      <c r="B1008" s="117"/>
      <c r="C1008" s="118" t="s">
        <v>240</v>
      </c>
      <c r="D1008" s="2489" t="s">
        <v>1540</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52" t="s">
        <v>578</v>
      </c>
      <c r="AH1008" s="2453"/>
      <c r="AI1008" s="125"/>
      <c r="AJ1008" s="2477">
        <f>ROUND(IF(AG1008="yes",(AJ975*0.1),0),0)</f>
        <v>4914152</v>
      </c>
      <c r="AK1008" s="2478"/>
      <c r="AL1008" s="2478"/>
      <c r="AM1008" s="2478"/>
      <c r="AN1008" s="2478"/>
      <c r="AO1008" s="2478"/>
      <c r="AP1008" s="2478"/>
      <c r="AQ1008" s="2479"/>
      <c r="AR1008" s="1582"/>
      <c r="AS1008" s="1582"/>
      <c r="AT1008" s="1582"/>
      <c r="AU1008" s="1582"/>
      <c r="AV1008" s="1582"/>
      <c r="AW1008" s="1582"/>
      <c r="AX1008" s="1582"/>
      <c r="AY1008" s="1582"/>
      <c r="CR1008" s="25"/>
    </row>
    <row r="1009" spans="1:96" ht="12.75" customHeight="1">
      <c r="A1009" s="51"/>
      <c r="B1009" s="110"/>
      <c r="C1009" s="111"/>
      <c r="D1009" s="2443" t="s">
        <v>1541</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481"/>
      <c r="AL1009" s="2481"/>
      <c r="AM1009" s="2481"/>
      <c r="AN1009" s="2481"/>
      <c r="AO1009" s="2481"/>
      <c r="AP1009" s="2481"/>
      <c r="AQ1009" s="2482"/>
      <c r="AR1009" s="1582"/>
      <c r="AS1009" s="1582"/>
      <c r="AT1009" s="1582"/>
      <c r="AU1009" s="1582"/>
      <c r="AV1009" s="1582"/>
      <c r="AW1009" s="1582"/>
      <c r="AX1009" s="1582"/>
      <c r="AY1009" s="1582"/>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3"/>
      <c r="AK1010" s="2484"/>
      <c r="AL1010" s="2484"/>
      <c r="AM1010" s="2484"/>
      <c r="AN1010" s="2484"/>
      <c r="AO1010" s="2484"/>
      <c r="AP1010" s="2484"/>
      <c r="AQ1010" s="2485"/>
      <c r="AR1010" s="1582"/>
      <c r="AS1010" s="1582"/>
      <c r="AT1010" s="1582"/>
      <c r="AU1010" s="1582"/>
      <c r="AV1010" s="1582"/>
      <c r="AW1010" s="1582"/>
      <c r="AX1010" s="1582"/>
      <c r="AY1010" s="1582"/>
    </row>
    <row r="1011" spans="1:96" s="719" customFormat="1" ht="12.75" customHeight="1">
      <c r="A1011" s="51"/>
      <c r="B1011" s="110"/>
      <c r="C1011" s="531" t="s">
        <v>725</v>
      </c>
      <c r="D1011" s="2440" t="s">
        <v>2172</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706</v>
      </c>
      <c r="AH1011" s="2453"/>
      <c r="AI1011" s="125"/>
      <c r="AJ1011" s="2477">
        <f>ROUND(IF(AG1011="yes",(AJ975*0.15),0),0)</f>
        <v>0</v>
      </c>
      <c r="AK1011" s="2478"/>
      <c r="AL1011" s="2478"/>
      <c r="AM1011" s="2478"/>
      <c r="AN1011" s="2478"/>
      <c r="AO1011" s="2478"/>
      <c r="AP1011" s="2478"/>
      <c r="AQ1011" s="2479"/>
      <c r="AR1011" s="1582"/>
      <c r="AS1011" s="1582"/>
      <c r="AT1011" s="1582"/>
      <c r="AU1011" s="1582"/>
      <c r="AV1011" s="1582"/>
      <c r="AW1011" s="1582"/>
      <c r="AX1011" s="1582"/>
      <c r="AY1011" s="1582"/>
      <c r="CR1011" s="25"/>
    </row>
    <row r="1012" spans="1:96" s="719" customFormat="1" ht="12.75" customHeight="1">
      <c r="A1012" s="51"/>
      <c r="B1012" s="110"/>
      <c r="C1012" s="111"/>
      <c r="D1012" s="2471" t="s">
        <v>2173</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612"/>
      <c r="AG1012" s="1613"/>
      <c r="AH1012" s="1613"/>
      <c r="AI1012" s="1614"/>
      <c r="AJ1012" s="2480"/>
      <c r="AK1012" s="2481"/>
      <c r="AL1012" s="2481"/>
      <c r="AM1012" s="2481"/>
      <c r="AN1012" s="2481"/>
      <c r="AO1012" s="2481"/>
      <c r="AP1012" s="2481"/>
      <c r="AQ1012" s="2482"/>
      <c r="AR1012" s="1582"/>
      <c r="AS1012" s="1582"/>
      <c r="AT1012" s="1582"/>
      <c r="AU1012" s="1582"/>
      <c r="AV1012" s="1582"/>
      <c r="AW1012" s="1582"/>
      <c r="AX1012" s="1582"/>
      <c r="AY1012" s="1582"/>
      <c r="CR1012" s="25"/>
    </row>
    <row r="1013" spans="1:96" s="719"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612"/>
      <c r="AG1013" s="1613"/>
      <c r="AH1013" s="1613"/>
      <c r="AI1013" s="1614"/>
      <c r="AJ1013" s="2480"/>
      <c r="AK1013" s="2481"/>
      <c r="AL1013" s="2481"/>
      <c r="AM1013" s="2481"/>
      <c r="AN1013" s="2481"/>
      <c r="AO1013" s="2481"/>
      <c r="AP1013" s="2481"/>
      <c r="AQ1013" s="2482"/>
      <c r="AR1013" s="1582"/>
      <c r="AS1013" s="1582"/>
      <c r="AT1013" s="1582"/>
      <c r="AU1013" s="1582"/>
      <c r="AV1013" s="1582"/>
      <c r="AW1013" s="1582"/>
      <c r="AX1013" s="1582"/>
      <c r="AY1013" s="1582"/>
      <c r="CR1013" s="25"/>
    </row>
    <row r="1014" spans="1:96" s="719"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615"/>
      <c r="AG1014" s="1616"/>
      <c r="AH1014" s="1616"/>
      <c r="AI1014" s="1617"/>
      <c r="AJ1014" s="2483"/>
      <c r="AK1014" s="2484"/>
      <c r="AL1014" s="2484"/>
      <c r="AM1014" s="2484"/>
      <c r="AN1014" s="2484"/>
      <c r="AO1014" s="2484"/>
      <c r="AP1014" s="2484"/>
      <c r="AQ1014" s="2485"/>
      <c r="AR1014" s="1582"/>
      <c r="AS1014" s="1582"/>
      <c r="AT1014" s="1582"/>
      <c r="AU1014" s="1582"/>
      <c r="AV1014" s="1582"/>
      <c r="AW1014" s="1582"/>
      <c r="AX1014" s="1582"/>
      <c r="AY1014" s="1582"/>
      <c r="CR1014" s="25"/>
    </row>
    <row r="1015" spans="1:96" s="719" customFormat="1" ht="12.75" customHeight="1">
      <c r="A1015" s="51"/>
      <c r="B1015" s="110"/>
      <c r="C1015" s="531" t="s">
        <v>725</v>
      </c>
      <c r="D1015" s="2489" t="s">
        <v>2174</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54" t="s">
        <v>706</v>
      </c>
      <c r="AH1015" s="2455"/>
      <c r="AI1015" s="121"/>
      <c r="AJ1015" s="2477">
        <f>ROUND(IF(AG1015="yes",(AJ975*0.1),0),0)</f>
        <v>0</v>
      </c>
      <c r="AK1015" s="2478"/>
      <c r="AL1015" s="2478"/>
      <c r="AM1015" s="2478"/>
      <c r="AN1015" s="2478"/>
      <c r="AO1015" s="2478"/>
      <c r="AP1015" s="2478"/>
      <c r="AQ1015" s="2479"/>
      <c r="AR1015" s="1582"/>
      <c r="AS1015" s="1582"/>
      <c r="AT1015" s="1582"/>
      <c r="AU1015" s="1582"/>
      <c r="AV1015" s="1582"/>
      <c r="AW1015" s="1582"/>
      <c r="AX1015" s="1582"/>
      <c r="AY1015" s="1582"/>
      <c r="CR1015" s="25"/>
    </row>
    <row r="1016" spans="1:96" s="719" customFormat="1" ht="12.75" customHeight="1">
      <c r="A1016" s="51"/>
      <c r="B1016" s="110"/>
      <c r="C1016" s="111"/>
      <c r="D1016" s="2471" t="s">
        <v>2175</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481"/>
      <c r="AL1016" s="2481"/>
      <c r="AM1016" s="2481"/>
      <c r="AN1016" s="2481"/>
      <c r="AO1016" s="2481"/>
      <c r="AP1016" s="2481"/>
      <c r="AQ1016" s="2482"/>
      <c r="AR1016" s="1582"/>
      <c r="AS1016" s="1582"/>
      <c r="AT1016" s="1582"/>
      <c r="AU1016" s="1582"/>
      <c r="AV1016" s="1582"/>
      <c r="AW1016" s="1582"/>
      <c r="AX1016" s="1582"/>
      <c r="AY1016" s="1582"/>
      <c r="CR1016" s="25"/>
    </row>
    <row r="1017" spans="1:96" s="719"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481"/>
      <c r="AL1017" s="2481"/>
      <c r="AM1017" s="2481"/>
      <c r="AN1017" s="2481"/>
      <c r="AO1017" s="2481"/>
      <c r="AP1017" s="2481"/>
      <c r="AQ1017" s="2482"/>
      <c r="AR1017" s="1582"/>
      <c r="AS1017" s="1582"/>
      <c r="AT1017" s="1582"/>
      <c r="AU1017" s="1582"/>
      <c r="AV1017" s="1582"/>
      <c r="AW1017" s="1582"/>
      <c r="AX1017" s="1582"/>
      <c r="AY1017" s="1582"/>
      <c r="CR1017" s="25"/>
    </row>
    <row r="1018" spans="1:96" s="719"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481"/>
      <c r="AL1018" s="2481"/>
      <c r="AM1018" s="2481"/>
      <c r="AN1018" s="2481"/>
      <c r="AO1018" s="2481"/>
      <c r="AP1018" s="2481"/>
      <c r="AQ1018" s="2482"/>
      <c r="AR1018" s="1582"/>
      <c r="AS1018" s="1582"/>
      <c r="AT1018" s="1582"/>
      <c r="AU1018" s="1582"/>
      <c r="AV1018" s="1582"/>
      <c r="AW1018" s="1582"/>
      <c r="AX1018" s="1582"/>
      <c r="AY1018" s="1582"/>
      <c r="CR1018" s="25"/>
    </row>
    <row r="1019" spans="1:96" s="719"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481"/>
      <c r="AL1019" s="2481"/>
      <c r="AM1019" s="2481"/>
      <c r="AN1019" s="2481"/>
      <c r="AO1019" s="2481"/>
      <c r="AP1019" s="2481"/>
      <c r="AQ1019" s="2482"/>
      <c r="AR1019" s="1582"/>
      <c r="AS1019" s="1582"/>
      <c r="AT1019" s="1582"/>
      <c r="AU1019" s="1582"/>
      <c r="AV1019" s="1582"/>
      <c r="AW1019" s="1582"/>
      <c r="AX1019" s="1582"/>
      <c r="AY1019" s="1582"/>
      <c r="CR1019" s="25"/>
    </row>
    <row r="1020" spans="1:96" s="719" customFormat="1" ht="12.75" customHeight="1">
      <c r="A1020" s="51"/>
      <c r="B1020" s="117"/>
      <c r="C1020" s="198" t="s">
        <v>1116</v>
      </c>
      <c r="D1020" s="2440" t="s">
        <v>1542</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706</v>
      </c>
      <c r="AH1020" s="2453"/>
      <c r="AI1020" s="125"/>
      <c r="AJ1020" s="2477">
        <f>ROUND(IF(AG1020="yes",(AJ975*0.1),0),0)</f>
        <v>0</v>
      </c>
      <c r="AK1020" s="2478"/>
      <c r="AL1020" s="2478"/>
      <c r="AM1020" s="2478"/>
      <c r="AN1020" s="2478"/>
      <c r="AO1020" s="2478"/>
      <c r="AP1020" s="2478"/>
      <c r="AQ1020" s="2479"/>
      <c r="AR1020" s="1582"/>
      <c r="AS1020" s="1582"/>
      <c r="AT1020" s="1582"/>
      <c r="AU1020" s="1582"/>
      <c r="AV1020" s="1582"/>
      <c r="AW1020" s="1582"/>
      <c r="AX1020" s="1582"/>
      <c r="AY1020" s="1582"/>
      <c r="CR1020" s="25"/>
    </row>
    <row r="1021" spans="1:96" ht="12.75" customHeight="1">
      <c r="A1021" s="51"/>
      <c r="B1021" s="110"/>
      <c r="C1021" s="111"/>
      <c r="D1021" s="2443" t="s">
        <v>1543</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481"/>
      <c r="AL1021" s="2481"/>
      <c r="AM1021" s="2481"/>
      <c r="AN1021" s="2481"/>
      <c r="AO1021" s="2481"/>
      <c r="AP1021" s="2481"/>
      <c r="AQ1021" s="2482"/>
      <c r="AR1021" s="1582"/>
      <c r="AS1021" s="1582"/>
      <c r="AT1021" s="1582"/>
      <c r="AU1021" s="1582"/>
      <c r="AV1021" s="1582"/>
      <c r="AW1021" s="1582"/>
      <c r="AX1021" s="1582"/>
      <c r="AY1021" s="1582"/>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481"/>
      <c r="AL1022" s="2481"/>
      <c r="AM1022" s="2481"/>
      <c r="AN1022" s="2481"/>
      <c r="AO1022" s="2481"/>
      <c r="AP1022" s="2481"/>
      <c r="AQ1022" s="2482"/>
      <c r="AR1022" s="1582"/>
      <c r="AS1022" s="1582"/>
      <c r="AT1022" s="1582"/>
      <c r="AU1022" s="1582"/>
      <c r="AV1022" s="1582"/>
      <c r="AW1022" s="1582"/>
      <c r="AX1022" s="1582"/>
      <c r="AY1022" s="1582"/>
    </row>
    <row r="1023" spans="1:96" s="682"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3"/>
      <c r="AK1023" s="2484"/>
      <c r="AL1023" s="2484"/>
      <c r="AM1023" s="2484"/>
      <c r="AN1023" s="2484"/>
      <c r="AO1023" s="2484"/>
      <c r="AP1023" s="2484"/>
      <c r="AQ1023" s="2485"/>
      <c r="AR1023" s="1582"/>
      <c r="AS1023" s="1582"/>
      <c r="AT1023" s="1582"/>
      <c r="AU1023" s="1582"/>
      <c r="AV1023" s="1582"/>
      <c r="AW1023" s="1582"/>
      <c r="AX1023" s="1582"/>
      <c r="AY1023" s="1582"/>
      <c r="CR1023" s="25"/>
    </row>
    <row r="1024" spans="1:96" ht="12.75" customHeight="1">
      <c r="A1024" s="51"/>
      <c r="B1024" s="117"/>
      <c r="C1024" s="198" t="s">
        <v>2170</v>
      </c>
      <c r="D1024" s="2489" t="s">
        <v>2391</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50" t="str">
        <f>IF(X1027&gt;0,"Yes","No")</f>
        <v>Yes</v>
      </c>
      <c r="AH1024" s="2451"/>
      <c r="AI1024" s="125"/>
      <c r="AJ1024" s="2459">
        <f>IF((X1027=0),0,BA989*AJ975)</f>
        <v>38821796.850000001</v>
      </c>
      <c r="AK1024" s="2460"/>
      <c r="AL1024" s="2460"/>
      <c r="AM1024" s="2460"/>
      <c r="AN1024" s="2460"/>
      <c r="AO1024" s="2460"/>
      <c r="AP1024" s="2460"/>
      <c r="AQ1024" s="2461"/>
      <c r="AR1024" s="1582"/>
      <c r="AS1024" s="1582"/>
      <c r="AT1024" s="1582"/>
      <c r="AU1024" s="1582"/>
      <c r="AV1024" s="1582"/>
      <c r="AW1024" s="1582"/>
      <c r="AX1024" s="1582"/>
      <c r="AY1024" s="1582"/>
    </row>
    <row r="1025" spans="1:96" ht="12.75" customHeight="1">
      <c r="A1025" s="51"/>
      <c r="B1025" s="110"/>
      <c r="C1025" s="702"/>
      <c r="D1025" s="2443" t="s">
        <v>1545</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3"/>
      <c r="AH1025" s="703"/>
      <c r="AI1025" s="121"/>
      <c r="AJ1025" s="2462"/>
      <c r="AK1025" s="2463"/>
      <c r="AL1025" s="2463"/>
      <c r="AM1025" s="2463"/>
      <c r="AN1025" s="2463"/>
      <c r="AO1025" s="2463"/>
      <c r="AP1025" s="2463"/>
      <c r="AQ1025" s="2464"/>
      <c r="AR1025" s="1582"/>
      <c r="AS1025" s="1582"/>
      <c r="AT1025" s="1582"/>
      <c r="AU1025" s="1582"/>
      <c r="AV1025" s="1582"/>
      <c r="AW1025" s="1582"/>
      <c r="AX1025" s="1582"/>
      <c r="AY1025" s="1582"/>
    </row>
    <row r="1026" spans="1:96" ht="12.75" customHeight="1">
      <c r="A1026" s="51"/>
      <c r="B1026" s="110"/>
      <c r="C1026" s="702"/>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3"/>
      <c r="AH1026" s="703"/>
      <c r="AI1026" s="121"/>
      <c r="AJ1026" s="2462"/>
      <c r="AK1026" s="2463"/>
      <c r="AL1026" s="2463"/>
      <c r="AM1026" s="2463"/>
      <c r="AN1026" s="2463"/>
      <c r="AO1026" s="2463"/>
      <c r="AP1026" s="2463"/>
      <c r="AQ1026" s="2464"/>
      <c r="AR1026" s="1582"/>
      <c r="AS1026" s="1582"/>
      <c r="AT1026" s="1582"/>
      <c r="AU1026" s="1582"/>
      <c r="AV1026" s="1582"/>
      <c r="AW1026" s="1582"/>
      <c r="AX1026" s="1582"/>
      <c r="AY1026" s="1582"/>
    </row>
    <row r="1027" spans="1:96" s="719" customFormat="1" ht="12.75" customHeight="1">
      <c r="A1027" s="51"/>
      <c r="B1027" s="115"/>
      <c r="C1027" s="116"/>
      <c r="D1027" s="199" t="s">
        <v>1050</v>
      </c>
      <c r="E1027" s="200"/>
      <c r="F1027" s="200"/>
      <c r="G1027" s="200"/>
      <c r="H1027" s="200"/>
      <c r="I1027" s="2448">
        <f>BA987</f>
        <v>149</v>
      </c>
      <c r="J1027" s="2449"/>
      <c r="K1027" s="11"/>
      <c r="L1027" s="200"/>
      <c r="M1027" s="200"/>
      <c r="N1027" s="200"/>
      <c r="O1027" s="200"/>
      <c r="P1027" s="200"/>
      <c r="Q1027" s="200"/>
      <c r="R1027" s="200"/>
      <c r="S1027" s="200"/>
      <c r="T1027" s="200"/>
      <c r="U1027" s="200"/>
      <c r="V1027" s="201" t="s">
        <v>1051</v>
      </c>
      <c r="W1027" s="80"/>
      <c r="X1027" s="2446">
        <f>BG635</f>
        <v>119</v>
      </c>
      <c r="Y1027" s="2447"/>
      <c r="Z1027" s="80"/>
      <c r="AA1027" s="80"/>
      <c r="AB1027" s="80"/>
      <c r="AC1027" s="80"/>
      <c r="AD1027" s="80"/>
      <c r="AE1027" s="81"/>
      <c r="AF1027" s="1621"/>
      <c r="AG1027" s="1622"/>
      <c r="AH1027" s="1622"/>
      <c r="AI1027" s="1623"/>
      <c r="AJ1027" s="2465"/>
      <c r="AK1027" s="2466"/>
      <c r="AL1027" s="2466"/>
      <c r="AM1027" s="2466"/>
      <c r="AN1027" s="2466"/>
      <c r="AO1027" s="2466"/>
      <c r="AP1027" s="2466"/>
      <c r="AQ1027" s="2467"/>
      <c r="AR1027" s="1582"/>
      <c r="AS1027" s="1582"/>
      <c r="AT1027" s="1582"/>
      <c r="AU1027" s="1582"/>
      <c r="AV1027" s="1582"/>
      <c r="AW1027" s="1582"/>
      <c r="AX1027" s="1582"/>
      <c r="AY1027" s="1582"/>
      <c r="CR1027" s="25"/>
    </row>
    <row r="1028" spans="1:96" ht="12.75" customHeight="1">
      <c r="A1028" s="51"/>
      <c r="B1028" s="117"/>
      <c r="C1028" s="198" t="s">
        <v>2171</v>
      </c>
      <c r="D1028" s="2440" t="s">
        <v>2392</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No</v>
      </c>
      <c r="AH1028" s="2451"/>
      <c r="AI1028" s="121"/>
      <c r="AJ1028" s="2459">
        <f>IF((X1031=0),0,(2*BA990)*AJ975)</f>
        <v>0</v>
      </c>
      <c r="AK1028" s="2460"/>
      <c r="AL1028" s="2460"/>
      <c r="AM1028" s="2460"/>
      <c r="AN1028" s="2460"/>
      <c r="AO1028" s="2460"/>
      <c r="AP1028" s="2460"/>
      <c r="AQ1028" s="2461"/>
      <c r="AR1028" s="1582"/>
      <c r="AS1028" s="1582"/>
      <c r="AT1028" s="1582"/>
      <c r="AU1028" s="1582"/>
      <c r="AV1028" s="1582"/>
      <c r="AW1028" s="1582"/>
      <c r="AX1028" s="1582"/>
      <c r="AY1028" s="1582"/>
    </row>
    <row r="1029" spans="1:96" ht="12.75" customHeight="1">
      <c r="A1029" s="51"/>
      <c r="B1029" s="110"/>
      <c r="C1029" s="702"/>
      <c r="D1029" s="2443" t="s">
        <v>1544</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3"/>
      <c r="AH1029" s="703"/>
      <c r="AI1029" s="121"/>
      <c r="AJ1029" s="2462"/>
      <c r="AK1029" s="2463"/>
      <c r="AL1029" s="2463"/>
      <c r="AM1029" s="2463"/>
      <c r="AN1029" s="2463"/>
      <c r="AO1029" s="2463"/>
      <c r="AP1029" s="2463"/>
      <c r="AQ1029" s="2464"/>
      <c r="AR1029" s="1582"/>
      <c r="AS1029" s="1582"/>
      <c r="AT1029" s="1582"/>
      <c r="AU1029" s="1582"/>
      <c r="AV1029" s="1582"/>
      <c r="AW1029" s="1582"/>
      <c r="AX1029" s="1582"/>
      <c r="AY1029" s="1582"/>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18"/>
      <c r="AG1030" s="1619"/>
      <c r="AH1030" s="1619"/>
      <c r="AI1030" s="1620"/>
      <c r="AJ1030" s="2462"/>
      <c r="AK1030" s="2463"/>
      <c r="AL1030" s="2463"/>
      <c r="AM1030" s="2463"/>
      <c r="AN1030" s="2463"/>
      <c r="AO1030" s="2463"/>
      <c r="AP1030" s="2463"/>
      <c r="AQ1030" s="2464"/>
      <c r="AR1030" s="1582"/>
      <c r="AS1030" s="1582"/>
      <c r="AT1030" s="1582"/>
      <c r="AU1030" s="1582"/>
      <c r="AV1030" s="1582"/>
      <c r="AW1030" s="1582"/>
      <c r="AX1030" s="1582"/>
      <c r="AY1030" s="1582"/>
    </row>
    <row r="1031" spans="1:96" s="719" customFormat="1" ht="12.75" customHeight="1">
      <c r="A1031" s="51"/>
      <c r="B1031" s="115"/>
      <c r="C1031" s="116"/>
      <c r="D1031" s="199" t="s">
        <v>1050</v>
      </c>
      <c r="E1031" s="200"/>
      <c r="F1031" s="200"/>
      <c r="G1031" s="200"/>
      <c r="H1031" s="200"/>
      <c r="I1031" s="2448">
        <f>BA987</f>
        <v>149</v>
      </c>
      <c r="J1031" s="2449"/>
      <c r="K1031" s="51"/>
      <c r="L1031" s="200"/>
      <c r="M1031" s="200"/>
      <c r="N1031" s="200"/>
      <c r="O1031" s="200"/>
      <c r="P1031" s="200"/>
      <c r="Q1031" s="200"/>
      <c r="R1031" s="200"/>
      <c r="S1031" s="200"/>
      <c r="T1031" s="200"/>
      <c r="U1031" s="200"/>
      <c r="V1031" s="201" t="s">
        <v>1052</v>
      </c>
      <c r="X1031" s="2446">
        <f>BK635</f>
        <v>0</v>
      </c>
      <c r="Y1031" s="2447"/>
      <c r="AF1031" s="1621"/>
      <c r="AG1031" s="1622"/>
      <c r="AH1031" s="1622"/>
      <c r="AI1031" s="1623"/>
      <c r="AJ1031" s="2465"/>
      <c r="AK1031" s="2466"/>
      <c r="AL1031" s="2466"/>
      <c r="AM1031" s="2466"/>
      <c r="AN1031" s="2466"/>
      <c r="AO1031" s="2466"/>
      <c r="AP1031" s="2466"/>
      <c r="AQ1031" s="2467"/>
      <c r="AR1031" s="1582"/>
      <c r="AS1031" s="1582"/>
      <c r="AT1031" s="1582"/>
      <c r="AU1031" s="1582"/>
      <c r="AV1031" s="1582"/>
      <c r="AW1031" s="1582"/>
      <c r="AX1031" s="1582"/>
      <c r="AY1031" s="1582"/>
      <c r="CR1031" s="25"/>
    </row>
    <row r="1032" spans="1:96" ht="12.75" customHeight="1">
      <c r="A1032" s="51"/>
      <c r="B1032" s="158"/>
      <c r="C1032" s="159"/>
      <c r="D1032" s="2438" t="s">
        <v>546</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93346263.849999994</v>
      </c>
      <c r="AK1032" s="2469"/>
      <c r="AL1032" s="2469"/>
      <c r="AM1032" s="2469"/>
      <c r="AN1032" s="2469"/>
      <c r="AO1032" s="2469"/>
      <c r="AP1032" s="2469"/>
      <c r="AQ1032" s="247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8" t="s">
        <v>1931</v>
      </c>
      <c r="C1034" s="2118"/>
      <c r="D1034" s="2118"/>
      <c r="E1034" s="2118"/>
      <c r="F1034" s="2118"/>
      <c r="G1034" s="2118"/>
      <c r="H1034" s="2118"/>
      <c r="I1034" s="2118"/>
      <c r="J1034" s="2118"/>
      <c r="K1034" s="2118"/>
      <c r="L1034" s="2118"/>
      <c r="M1034" s="2118"/>
      <c r="N1034" s="2118"/>
      <c r="O1034" s="2118"/>
      <c r="P1034" s="2118"/>
      <c r="Q1034" s="2118"/>
      <c r="R1034" s="2118"/>
      <c r="S1034" s="2118"/>
      <c r="T1034" s="2118"/>
      <c r="U1034" s="2118"/>
      <c r="V1034" s="2118"/>
      <c r="W1034" s="2118"/>
      <c r="X1034" s="2118"/>
      <c r="Y1034" s="2118"/>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6"/>
      <c r="Y1035" s="2396"/>
      <c r="Z1035" s="2396"/>
      <c r="AA1035" s="2396"/>
      <c r="AB1035" s="2396"/>
      <c r="AC1035" s="2396"/>
      <c r="AD1035" s="2138">
        <f>R971</f>
        <v>387200</v>
      </c>
      <c r="AE1035" s="2139"/>
      <c r="AF1035" s="2139"/>
      <c r="AG1035" s="2139"/>
      <c r="AH1035" s="2139"/>
      <c r="AI1035" s="2139"/>
      <c r="AJ1035" s="2139"/>
      <c r="AK1035" s="2139"/>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7"/>
      <c r="Y1036" s="2397"/>
      <c r="Z1036" s="2397"/>
      <c r="AA1036" s="2397"/>
      <c r="AB1036" s="2397"/>
      <c r="AC1036" s="2397"/>
      <c r="AD1036" s="2158">
        <v>364800</v>
      </c>
      <c r="AE1036" s="2158"/>
      <c r="AF1036" s="2158"/>
      <c r="AG1036" s="2158"/>
      <c r="AH1036" s="2158"/>
      <c r="AI1036" s="2158"/>
      <c r="AJ1036" s="2158"/>
      <c r="AK1036" s="2158"/>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0" t="s">
        <v>1933</v>
      </c>
      <c r="C1037" s="2140"/>
      <c r="D1037" s="2140"/>
      <c r="E1037" s="2140"/>
      <c r="F1037" s="2140"/>
      <c r="G1037" s="2140"/>
      <c r="H1037" s="2140"/>
      <c r="I1037" s="2140"/>
      <c r="J1037" s="2140"/>
      <c r="K1037" s="2140"/>
      <c r="L1037" s="2140"/>
      <c r="M1037" s="2140"/>
      <c r="N1037" s="2140"/>
      <c r="O1037" s="2140"/>
      <c r="P1037" s="2140"/>
      <c r="Q1037" s="2140"/>
      <c r="R1037" s="2140"/>
      <c r="S1037" s="2140"/>
      <c r="T1037" s="2140"/>
      <c r="U1037" s="2140"/>
      <c r="V1037" s="2140"/>
      <c r="W1037" s="2140"/>
      <c r="X1037" s="2140"/>
      <c r="Y1037" s="2140"/>
      <c r="Z1037" s="1416"/>
      <c r="AA1037" s="1416"/>
      <c r="AB1037" s="1416"/>
      <c r="AC1037" s="1416"/>
      <c r="AD1037" s="2135">
        <f>IF(((AD1035-AD1036)/AD1036)&gt;0.3,0.3,((AD1035-AD1036)/AD1036))</f>
        <v>6.1403508771929821E-2</v>
      </c>
      <c r="AE1037" s="2136"/>
      <c r="AF1037" s="2136"/>
      <c r="AG1037" s="2136"/>
      <c r="AH1037" s="2136"/>
      <c r="AI1037" s="2136"/>
      <c r="AJ1037" s="2136"/>
      <c r="AK1037" s="213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9" t="s">
        <v>626</v>
      </c>
      <c r="B1044" s="2049"/>
      <c r="C1044" s="13">
        <v>1</v>
      </c>
      <c r="D1044" s="1894" t="s">
        <v>1222</v>
      </c>
      <c r="E1044" s="1894"/>
      <c r="F1044" s="1894"/>
      <c r="G1044" s="1894"/>
      <c r="H1044" s="1894"/>
      <c r="I1044" s="1894"/>
      <c r="J1044" s="1894"/>
      <c r="K1044" s="1894"/>
      <c r="L1044" s="1894"/>
      <c r="M1044" s="1894"/>
      <c r="N1044" s="1894"/>
      <c r="O1044" s="1894"/>
      <c r="P1044" s="1894"/>
      <c r="Q1044" s="1894"/>
      <c r="R1044" s="1894"/>
      <c r="S1044" s="1894"/>
      <c r="T1044" s="1894"/>
      <c r="U1044" s="1894"/>
      <c r="V1044" s="1894"/>
      <c r="W1044" s="1894"/>
      <c r="X1044" s="1894"/>
      <c r="Y1044" s="1894"/>
      <c r="Z1044" s="1894"/>
      <c r="AA1044" s="1894"/>
      <c r="AB1044" s="1894"/>
      <c r="AC1044" s="1894"/>
      <c r="AD1044" s="1894"/>
      <c r="AE1044" s="1894"/>
      <c r="AF1044" s="1894"/>
      <c r="AG1044" s="1894"/>
      <c r="AH1044" s="1894"/>
      <c r="AI1044" s="1894"/>
      <c r="AJ1044" s="1894"/>
      <c r="AK1044" s="1894"/>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4"/>
      <c r="E1045" s="1894"/>
      <c r="F1045" s="1894"/>
      <c r="G1045" s="1894"/>
      <c r="H1045" s="1894"/>
      <c r="I1045" s="1894"/>
      <c r="J1045" s="1894"/>
      <c r="K1045" s="1894"/>
      <c r="L1045" s="1894"/>
      <c r="M1045" s="1894"/>
      <c r="N1045" s="1894"/>
      <c r="O1045" s="1894"/>
      <c r="P1045" s="1894"/>
      <c r="Q1045" s="1894"/>
      <c r="R1045" s="1894"/>
      <c r="S1045" s="1894"/>
      <c r="T1045" s="1894"/>
      <c r="U1045" s="1894"/>
      <c r="V1045" s="1894"/>
      <c r="W1045" s="1894"/>
      <c r="X1045" s="1894"/>
      <c r="Y1045" s="1894"/>
      <c r="Z1045" s="1894"/>
      <c r="AA1045" s="1894"/>
      <c r="AB1045" s="1894"/>
      <c r="AC1045" s="1894"/>
      <c r="AD1045" s="1894"/>
      <c r="AE1045" s="1894"/>
      <c r="AF1045" s="1894"/>
      <c r="AG1045" s="1894"/>
      <c r="AH1045" s="1894"/>
      <c r="AI1045" s="1894"/>
      <c r="AJ1045" s="1894"/>
      <c r="AK1045" s="1894"/>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4"/>
      <c r="E1046" s="1894"/>
      <c r="F1046" s="1894"/>
      <c r="G1046" s="1894"/>
      <c r="H1046" s="1894"/>
      <c r="I1046" s="1894"/>
      <c r="J1046" s="1894"/>
      <c r="K1046" s="1894"/>
      <c r="L1046" s="1894"/>
      <c r="M1046" s="1894"/>
      <c r="N1046" s="1894"/>
      <c r="O1046" s="1894"/>
      <c r="P1046" s="1894"/>
      <c r="Q1046" s="1894"/>
      <c r="R1046" s="1894"/>
      <c r="S1046" s="1894"/>
      <c r="T1046" s="1894"/>
      <c r="U1046" s="1894"/>
      <c r="V1046" s="1894"/>
      <c r="W1046" s="1894"/>
      <c r="X1046" s="1894"/>
      <c r="Y1046" s="1894"/>
      <c r="Z1046" s="1894"/>
      <c r="AA1046" s="1894"/>
      <c r="AB1046" s="1894"/>
      <c r="AC1046" s="1894"/>
      <c r="AD1046" s="1894"/>
      <c r="AE1046" s="1894"/>
      <c r="AF1046" s="1894"/>
      <c r="AG1046" s="1894"/>
      <c r="AH1046" s="1894"/>
      <c r="AI1046" s="1894"/>
      <c r="AJ1046" s="1894"/>
      <c r="AK1046" s="1894"/>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4"/>
      <c r="E1047" s="1894"/>
      <c r="F1047" s="1894"/>
      <c r="G1047" s="1894"/>
      <c r="H1047" s="1894"/>
      <c r="I1047" s="1894"/>
      <c r="J1047" s="1894"/>
      <c r="K1047" s="1894"/>
      <c r="L1047" s="1894"/>
      <c r="M1047" s="1894"/>
      <c r="N1047" s="1894"/>
      <c r="O1047" s="1894"/>
      <c r="P1047" s="1894"/>
      <c r="Q1047" s="1894"/>
      <c r="R1047" s="1894"/>
      <c r="S1047" s="1894"/>
      <c r="T1047" s="1894"/>
      <c r="U1047" s="1894"/>
      <c r="V1047" s="1894"/>
      <c r="W1047" s="1894"/>
      <c r="X1047" s="1894"/>
      <c r="Y1047" s="1894"/>
      <c r="Z1047" s="1894"/>
      <c r="AA1047" s="1894"/>
      <c r="AB1047" s="1894"/>
      <c r="AC1047" s="1894"/>
      <c r="AD1047" s="1894"/>
      <c r="AE1047" s="1894"/>
      <c r="AF1047" s="1894"/>
      <c r="AG1047" s="1894"/>
      <c r="AH1047" s="1894"/>
      <c r="AI1047" s="1894"/>
      <c r="AJ1047" s="1894"/>
      <c r="AK1047" s="1894"/>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4"/>
      <c r="E1048" s="1894"/>
      <c r="F1048" s="1894"/>
      <c r="G1048" s="1894"/>
      <c r="H1048" s="1894"/>
      <c r="I1048" s="1894"/>
      <c r="J1048" s="1894"/>
      <c r="K1048" s="1894"/>
      <c r="L1048" s="1894"/>
      <c r="M1048" s="1894"/>
      <c r="N1048" s="1894"/>
      <c r="O1048" s="1894"/>
      <c r="P1048" s="1894"/>
      <c r="Q1048" s="1894"/>
      <c r="R1048" s="1894"/>
      <c r="S1048" s="1894"/>
      <c r="T1048" s="1894"/>
      <c r="U1048" s="1894"/>
      <c r="V1048" s="1894"/>
      <c r="W1048" s="1894"/>
      <c r="X1048" s="1894"/>
      <c r="Y1048" s="1894"/>
      <c r="Z1048" s="1894"/>
      <c r="AA1048" s="1894"/>
      <c r="AB1048" s="1894"/>
      <c r="AC1048" s="1894"/>
      <c r="AD1048" s="1894"/>
      <c r="AE1048" s="1894"/>
      <c r="AF1048" s="1894"/>
      <c r="AG1048" s="1894"/>
      <c r="AH1048" s="1894"/>
      <c r="AI1048" s="1894"/>
      <c r="AJ1048" s="1894"/>
      <c r="AK1048" s="1894"/>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4"/>
      <c r="E1049" s="1894"/>
      <c r="F1049" s="1894"/>
      <c r="G1049" s="1894"/>
      <c r="H1049" s="1894"/>
      <c r="I1049" s="1894"/>
      <c r="J1049" s="1894"/>
      <c r="K1049" s="1894"/>
      <c r="L1049" s="1894"/>
      <c r="M1049" s="1894"/>
      <c r="N1049" s="1894"/>
      <c r="O1049" s="1894"/>
      <c r="P1049" s="1894"/>
      <c r="Q1049" s="1894"/>
      <c r="R1049" s="1894"/>
      <c r="S1049" s="1894"/>
      <c r="T1049" s="1894"/>
      <c r="U1049" s="1894"/>
      <c r="V1049" s="1894"/>
      <c r="W1049" s="1894"/>
      <c r="X1049" s="1894"/>
      <c r="Y1049" s="1894"/>
      <c r="Z1049" s="1894"/>
      <c r="AA1049" s="1894"/>
      <c r="AB1049" s="1894"/>
      <c r="AC1049" s="1894"/>
      <c r="AD1049" s="1894"/>
      <c r="AE1049" s="1894"/>
      <c r="AF1049" s="1894"/>
      <c r="AG1049" s="1894"/>
      <c r="AH1049" s="1894"/>
      <c r="AI1049" s="1894"/>
      <c r="AJ1049" s="1894"/>
      <c r="AK1049" s="1894"/>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9" t="s">
        <v>626</v>
      </c>
      <c r="B1050" s="2049"/>
      <c r="C1050" s="13">
        <v>2</v>
      </c>
      <c r="D1050" s="1894" t="s">
        <v>1221</v>
      </c>
      <c r="E1050" s="1894"/>
      <c r="F1050" s="1894"/>
      <c r="G1050" s="1894"/>
      <c r="H1050" s="1894"/>
      <c r="I1050" s="1894"/>
      <c r="J1050" s="1894"/>
      <c r="K1050" s="1894"/>
      <c r="L1050" s="1894"/>
      <c r="M1050" s="1894"/>
      <c r="N1050" s="1894"/>
      <c r="O1050" s="1894"/>
      <c r="P1050" s="1894"/>
      <c r="Q1050" s="1894"/>
      <c r="R1050" s="1894"/>
      <c r="S1050" s="1894"/>
      <c r="T1050" s="1894"/>
      <c r="U1050" s="1894"/>
      <c r="V1050" s="1894"/>
      <c r="W1050" s="1894"/>
      <c r="X1050" s="1894"/>
      <c r="Y1050" s="1894"/>
      <c r="Z1050" s="1894"/>
      <c r="AA1050" s="1894"/>
      <c r="AB1050" s="1894"/>
      <c r="AC1050" s="1894"/>
      <c r="AD1050" s="1894"/>
      <c r="AE1050" s="1894"/>
      <c r="AF1050" s="1894"/>
      <c r="AG1050" s="1894"/>
      <c r="AH1050" s="1894"/>
      <c r="AI1050" s="1894"/>
      <c r="AJ1050" s="1894"/>
      <c r="AK1050" s="1894"/>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4"/>
      <c r="E1051" s="1894"/>
      <c r="F1051" s="1894"/>
      <c r="G1051" s="1894"/>
      <c r="H1051" s="1894"/>
      <c r="I1051" s="1894"/>
      <c r="J1051" s="1894"/>
      <c r="K1051" s="1894"/>
      <c r="L1051" s="1894"/>
      <c r="M1051" s="1894"/>
      <c r="N1051" s="1894"/>
      <c r="O1051" s="1894"/>
      <c r="P1051" s="1894"/>
      <c r="Q1051" s="1894"/>
      <c r="R1051" s="1894"/>
      <c r="S1051" s="1894"/>
      <c r="T1051" s="1894"/>
      <c r="U1051" s="1894"/>
      <c r="V1051" s="1894"/>
      <c r="W1051" s="1894"/>
      <c r="X1051" s="1894"/>
      <c r="Y1051" s="1894"/>
      <c r="Z1051" s="1894"/>
      <c r="AA1051" s="1894"/>
      <c r="AB1051" s="1894"/>
      <c r="AC1051" s="1894"/>
      <c r="AD1051" s="1894"/>
      <c r="AE1051" s="1894"/>
      <c r="AF1051" s="1894"/>
      <c r="AG1051" s="1894"/>
      <c r="AH1051" s="1894"/>
      <c r="AI1051" s="1894"/>
      <c r="AJ1051" s="1894"/>
      <c r="AK1051" s="1894"/>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4"/>
      <c r="E1052" s="1894"/>
      <c r="F1052" s="1894"/>
      <c r="G1052" s="1894"/>
      <c r="H1052" s="1894"/>
      <c r="I1052" s="1894"/>
      <c r="J1052" s="1894"/>
      <c r="K1052" s="1894"/>
      <c r="L1052" s="1894"/>
      <c r="M1052" s="1894"/>
      <c r="N1052" s="1894"/>
      <c r="O1052" s="1894"/>
      <c r="P1052" s="1894"/>
      <c r="Q1052" s="1894"/>
      <c r="R1052" s="1894"/>
      <c r="S1052" s="1894"/>
      <c r="T1052" s="1894"/>
      <c r="U1052" s="1894"/>
      <c r="V1052" s="1894"/>
      <c r="W1052" s="1894"/>
      <c r="X1052" s="1894"/>
      <c r="Y1052" s="1894"/>
      <c r="Z1052" s="1894"/>
      <c r="AA1052" s="1894"/>
      <c r="AB1052" s="1894"/>
      <c r="AC1052" s="1894"/>
      <c r="AD1052" s="1894"/>
      <c r="AE1052" s="1894"/>
      <c r="AF1052" s="1894"/>
      <c r="AG1052" s="1894"/>
      <c r="AH1052" s="1894"/>
      <c r="AI1052" s="1894"/>
      <c r="AJ1052" s="1894"/>
      <c r="AK1052" s="1894"/>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4"/>
      <c r="E1053" s="1894"/>
      <c r="F1053" s="1894"/>
      <c r="G1053" s="1894"/>
      <c r="H1053" s="1894"/>
      <c r="I1053" s="1894"/>
      <c r="J1053" s="1894"/>
      <c r="K1053" s="1894"/>
      <c r="L1053" s="1894"/>
      <c r="M1053" s="1894"/>
      <c r="N1053" s="1894"/>
      <c r="O1053" s="1894"/>
      <c r="P1053" s="1894"/>
      <c r="Q1053" s="1894"/>
      <c r="R1053" s="1894"/>
      <c r="S1053" s="1894"/>
      <c r="T1053" s="1894"/>
      <c r="U1053" s="1894"/>
      <c r="V1053" s="1894"/>
      <c r="W1053" s="1894"/>
      <c r="X1053" s="1894"/>
      <c r="Y1053" s="1894"/>
      <c r="Z1053" s="1894"/>
      <c r="AA1053" s="1894"/>
      <c r="AB1053" s="1894"/>
      <c r="AC1053" s="1894"/>
      <c r="AD1053" s="1894"/>
      <c r="AE1053" s="1894"/>
      <c r="AF1053" s="1894"/>
      <c r="AG1053" s="1894"/>
      <c r="AH1053" s="1894"/>
      <c r="AI1053" s="1894"/>
      <c r="AJ1053" s="1894"/>
      <c r="AK1053" s="1894"/>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4"/>
      <c r="E1054" s="1894"/>
      <c r="F1054" s="1894"/>
      <c r="G1054" s="1894"/>
      <c r="H1054" s="1894"/>
      <c r="I1054" s="1894"/>
      <c r="J1054" s="1894"/>
      <c r="K1054" s="1894"/>
      <c r="L1054" s="1894"/>
      <c r="M1054" s="1894"/>
      <c r="N1054" s="1894"/>
      <c r="O1054" s="1894"/>
      <c r="P1054" s="1894"/>
      <c r="Q1054" s="1894"/>
      <c r="R1054" s="1894"/>
      <c r="S1054" s="1894"/>
      <c r="T1054" s="1894"/>
      <c r="U1054" s="1894"/>
      <c r="V1054" s="1894"/>
      <c r="W1054" s="1894"/>
      <c r="X1054" s="1894"/>
      <c r="Y1054" s="1894"/>
      <c r="Z1054" s="1894"/>
      <c r="AA1054" s="1894"/>
      <c r="AB1054" s="1894"/>
      <c r="AC1054" s="1894"/>
      <c r="AD1054" s="1894"/>
      <c r="AE1054" s="1894"/>
      <c r="AF1054" s="1894"/>
      <c r="AG1054" s="1894"/>
      <c r="AH1054" s="1894"/>
      <c r="AI1054" s="1894"/>
      <c r="AJ1054" s="1894"/>
      <c r="AK1054" s="1894"/>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4"/>
      <c r="E1055" s="1894"/>
      <c r="F1055" s="1894"/>
      <c r="G1055" s="1894"/>
      <c r="H1055" s="1894"/>
      <c r="I1055" s="1894"/>
      <c r="J1055" s="1894"/>
      <c r="K1055" s="1894"/>
      <c r="L1055" s="1894"/>
      <c r="M1055" s="1894"/>
      <c r="N1055" s="1894"/>
      <c r="O1055" s="1894"/>
      <c r="P1055" s="1894"/>
      <c r="Q1055" s="1894"/>
      <c r="R1055" s="1894"/>
      <c r="S1055" s="1894"/>
      <c r="T1055" s="1894"/>
      <c r="U1055" s="1894"/>
      <c r="V1055" s="1894"/>
      <c r="W1055" s="1894"/>
      <c r="X1055" s="1894"/>
      <c r="Y1055" s="1894"/>
      <c r="Z1055" s="1894"/>
      <c r="AA1055" s="1894"/>
      <c r="AB1055" s="1894"/>
      <c r="AC1055" s="1894"/>
      <c r="AD1055" s="1894"/>
      <c r="AE1055" s="1894"/>
      <c r="AF1055" s="1894"/>
      <c r="AG1055" s="1894"/>
      <c r="AH1055" s="1894"/>
      <c r="AI1055" s="1894"/>
      <c r="AJ1055" s="1894"/>
      <c r="AK1055" s="1894"/>
    </row>
    <row r="1056" spans="1:51" ht="12.6" customHeight="1">
      <c r="A1056" s="2049" t="s">
        <v>626</v>
      </c>
      <c r="B1056" s="2049"/>
      <c r="C1056" s="13">
        <v>3</v>
      </c>
      <c r="D1056" s="1894" t="s">
        <v>1527</v>
      </c>
      <c r="E1056" s="1894"/>
      <c r="F1056" s="1894"/>
      <c r="G1056" s="1894"/>
      <c r="H1056" s="1894"/>
      <c r="I1056" s="1894"/>
      <c r="J1056" s="1894"/>
      <c r="K1056" s="1894"/>
      <c r="L1056" s="1894"/>
      <c r="M1056" s="1894"/>
      <c r="N1056" s="1894"/>
      <c r="O1056" s="1894"/>
      <c r="P1056" s="1894"/>
      <c r="Q1056" s="1894"/>
      <c r="R1056" s="1894"/>
      <c r="S1056" s="1894"/>
      <c r="T1056" s="1894"/>
      <c r="U1056" s="1894"/>
      <c r="V1056" s="1894"/>
      <c r="W1056" s="1894"/>
      <c r="X1056" s="1894"/>
      <c r="Y1056" s="1894"/>
      <c r="Z1056" s="1894"/>
      <c r="AA1056" s="1894"/>
      <c r="AB1056" s="1894"/>
      <c r="AC1056" s="1894"/>
      <c r="AD1056" s="1894"/>
      <c r="AE1056" s="1894"/>
      <c r="AF1056" s="1894"/>
      <c r="AG1056" s="1894"/>
      <c r="AH1056" s="1894"/>
      <c r="AI1056" s="1894"/>
      <c r="AJ1056" s="1894"/>
      <c r="AK1056" s="1894"/>
    </row>
    <row r="1057" spans="1:96" ht="12.6" customHeight="1">
      <c r="A1057" s="130"/>
      <c r="B1057" s="130"/>
      <c r="C1057" s="13"/>
      <c r="D1057" s="1894"/>
      <c r="E1057" s="1894"/>
      <c r="F1057" s="1894"/>
      <c r="G1057" s="1894"/>
      <c r="H1057" s="1894"/>
      <c r="I1057" s="1894"/>
      <c r="J1057" s="1894"/>
      <c r="K1057" s="1894"/>
      <c r="L1057" s="1894"/>
      <c r="M1057" s="1894"/>
      <c r="N1057" s="1894"/>
      <c r="O1057" s="1894"/>
      <c r="P1057" s="1894"/>
      <c r="Q1057" s="1894"/>
      <c r="R1057" s="1894"/>
      <c r="S1057" s="1894"/>
      <c r="T1057" s="1894"/>
      <c r="U1057" s="1894"/>
      <c r="V1057" s="1894"/>
      <c r="W1057" s="1894"/>
      <c r="X1057" s="1894"/>
      <c r="Y1057" s="1894"/>
      <c r="Z1057" s="1894"/>
      <c r="AA1057" s="1894"/>
      <c r="AB1057" s="1894"/>
      <c r="AC1057" s="1894"/>
      <c r="AD1057" s="1894"/>
      <c r="AE1057" s="1894"/>
      <c r="AF1057" s="1894"/>
      <c r="AG1057" s="1894"/>
      <c r="AH1057" s="1894"/>
      <c r="AI1057" s="1894"/>
      <c r="AJ1057" s="1894"/>
      <c r="AK1057" s="1894"/>
      <c r="AL1057" s="719"/>
    </row>
    <row r="1058" spans="1:96" ht="12.6" customHeight="1">
      <c r="A1058" s="130"/>
      <c r="B1058" s="130"/>
      <c r="C1058" s="13"/>
      <c r="D1058" s="1894"/>
      <c r="E1058" s="1894"/>
      <c r="F1058" s="1894"/>
      <c r="G1058" s="1894"/>
      <c r="H1058" s="1894"/>
      <c r="I1058" s="1894"/>
      <c r="J1058" s="1894"/>
      <c r="K1058" s="1894"/>
      <c r="L1058" s="1894"/>
      <c r="M1058" s="1894"/>
      <c r="N1058" s="1894"/>
      <c r="O1058" s="1894"/>
      <c r="P1058" s="1894"/>
      <c r="Q1058" s="1894"/>
      <c r="R1058" s="1894"/>
      <c r="S1058" s="1894"/>
      <c r="T1058" s="1894"/>
      <c r="U1058" s="1894"/>
      <c r="V1058" s="1894"/>
      <c r="W1058" s="1894"/>
      <c r="X1058" s="1894"/>
      <c r="Y1058" s="1894"/>
      <c r="Z1058" s="1894"/>
      <c r="AA1058" s="1894"/>
      <c r="AB1058" s="1894"/>
      <c r="AC1058" s="1894"/>
      <c r="AD1058" s="1894"/>
      <c r="AE1058" s="1894"/>
      <c r="AF1058" s="1894"/>
      <c r="AG1058" s="1894"/>
      <c r="AH1058" s="1894"/>
      <c r="AI1058" s="1894"/>
      <c r="AJ1058" s="1894"/>
      <c r="AK1058" s="1894"/>
    </row>
    <row r="1059" spans="1:96" s="719" customFormat="1" ht="12.6" customHeight="1">
      <c r="A1059" s="62"/>
      <c r="B1059" s="66"/>
      <c r="C1059" s="13"/>
      <c r="D1059" s="1894"/>
      <c r="E1059" s="1894"/>
      <c r="F1059" s="1894"/>
      <c r="G1059" s="1894"/>
      <c r="H1059" s="1894"/>
      <c r="I1059" s="1894"/>
      <c r="J1059" s="1894"/>
      <c r="K1059" s="1894"/>
      <c r="L1059" s="1894"/>
      <c r="M1059" s="1894"/>
      <c r="N1059" s="1894"/>
      <c r="O1059" s="1894"/>
      <c r="P1059" s="1894"/>
      <c r="Q1059" s="1894"/>
      <c r="R1059" s="1894"/>
      <c r="S1059" s="1894"/>
      <c r="T1059" s="1894"/>
      <c r="U1059" s="1894"/>
      <c r="V1059" s="1894"/>
      <c r="W1059" s="1894"/>
      <c r="X1059" s="1894"/>
      <c r="Y1059" s="1894"/>
      <c r="Z1059" s="1894"/>
      <c r="AA1059" s="1894"/>
      <c r="AB1059" s="1894"/>
      <c r="AC1059" s="1894"/>
      <c r="AD1059" s="1894"/>
      <c r="AE1059" s="1894"/>
      <c r="AF1059" s="1894"/>
      <c r="AG1059" s="1894"/>
      <c r="AH1059" s="1894"/>
      <c r="AI1059" s="1894"/>
      <c r="AJ1059" s="1894"/>
      <c r="AK1059" s="189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4"/>
      <c r="E1060" s="1894"/>
      <c r="F1060" s="1894"/>
      <c r="G1060" s="1894"/>
      <c r="H1060" s="1894"/>
      <c r="I1060" s="1894"/>
      <c r="J1060" s="1894"/>
      <c r="K1060" s="1894"/>
      <c r="L1060" s="1894"/>
      <c r="M1060" s="1894"/>
      <c r="N1060" s="1894"/>
      <c r="O1060" s="1894"/>
      <c r="P1060" s="1894"/>
      <c r="Q1060" s="1894"/>
      <c r="R1060" s="1894"/>
      <c r="S1060" s="1894"/>
      <c r="T1060" s="1894"/>
      <c r="U1060" s="1894"/>
      <c r="V1060" s="1894"/>
      <c r="W1060" s="1894"/>
      <c r="X1060" s="1894"/>
      <c r="Y1060" s="1894"/>
      <c r="Z1060" s="1894"/>
      <c r="AA1060" s="1894"/>
      <c r="AB1060" s="1894"/>
      <c r="AC1060" s="1894"/>
      <c r="AD1060" s="1894"/>
      <c r="AE1060" s="1894"/>
      <c r="AF1060" s="1894"/>
      <c r="AG1060" s="1894"/>
      <c r="AH1060" s="1894"/>
      <c r="AI1060" s="1894"/>
      <c r="AJ1060" s="1894"/>
      <c r="AK1060" s="1894"/>
    </row>
    <row r="1061" spans="1:96" ht="12.6" customHeight="1">
      <c r="A1061" s="62"/>
      <c r="B1061" s="66"/>
      <c r="C1061" s="13"/>
      <c r="D1061" s="1894"/>
      <c r="E1061" s="1894"/>
      <c r="F1061" s="1894"/>
      <c r="G1061" s="1894"/>
      <c r="H1061" s="1894"/>
      <c r="I1061" s="1894"/>
      <c r="J1061" s="1894"/>
      <c r="K1061" s="1894"/>
      <c r="L1061" s="1894"/>
      <c r="M1061" s="1894"/>
      <c r="N1061" s="1894"/>
      <c r="O1061" s="1894"/>
      <c r="P1061" s="1894"/>
      <c r="Q1061" s="1894"/>
      <c r="R1061" s="1894"/>
      <c r="S1061" s="1894"/>
      <c r="T1061" s="1894"/>
      <c r="U1061" s="1894"/>
      <c r="V1061" s="1894"/>
      <c r="W1061" s="1894"/>
      <c r="X1061" s="1894"/>
      <c r="Y1061" s="1894"/>
      <c r="Z1061" s="1894"/>
      <c r="AA1061" s="1894"/>
      <c r="AB1061" s="1894"/>
      <c r="AC1061" s="1894"/>
      <c r="AD1061" s="1894"/>
      <c r="AE1061" s="1894"/>
      <c r="AF1061" s="1894"/>
      <c r="AG1061" s="1894"/>
      <c r="AH1061" s="1894"/>
      <c r="AI1061" s="1894"/>
      <c r="AJ1061" s="1894"/>
      <c r="AK1061" s="1894"/>
    </row>
    <row r="1062" spans="1:96" ht="12.6" customHeight="1">
      <c r="A1062" s="62"/>
      <c r="B1062" s="66"/>
      <c r="C1062" s="13"/>
      <c r="D1062" s="1894"/>
      <c r="E1062" s="1894"/>
      <c r="F1062" s="1894"/>
      <c r="G1062" s="1894"/>
      <c r="H1062" s="1894"/>
      <c r="I1062" s="1894"/>
      <c r="J1062" s="1894"/>
      <c r="K1062" s="1894"/>
      <c r="L1062" s="1894"/>
      <c r="M1062" s="1894"/>
      <c r="N1062" s="1894"/>
      <c r="O1062" s="1894"/>
      <c r="P1062" s="1894"/>
      <c r="Q1062" s="1894"/>
      <c r="R1062" s="1894"/>
      <c r="S1062" s="1894"/>
      <c r="T1062" s="1894"/>
      <c r="U1062" s="1894"/>
      <c r="V1062" s="1894"/>
      <c r="W1062" s="1894"/>
      <c r="X1062" s="1894"/>
      <c r="Y1062" s="1894"/>
      <c r="Z1062" s="1894"/>
      <c r="AA1062" s="1894"/>
      <c r="AB1062" s="1894"/>
      <c r="AC1062" s="1894"/>
      <c r="AD1062" s="1894"/>
      <c r="AE1062" s="1894"/>
      <c r="AF1062" s="1894"/>
      <c r="AG1062" s="1894"/>
      <c r="AH1062" s="1894"/>
      <c r="AI1062" s="1894"/>
      <c r="AJ1062" s="1894"/>
      <c r="AK1062" s="1894"/>
    </row>
    <row r="1063" spans="1:96" ht="12.6" customHeight="1">
      <c r="A1063" s="2049" t="s">
        <v>626</v>
      </c>
      <c r="B1063" s="2049"/>
      <c r="C1063" s="13">
        <v>4</v>
      </c>
      <c r="D1063" s="1894" t="s">
        <v>1207</v>
      </c>
      <c r="E1063" s="1894"/>
      <c r="F1063" s="1894"/>
      <c r="G1063" s="1894"/>
      <c r="H1063" s="1894"/>
      <c r="I1063" s="1894"/>
      <c r="J1063" s="1894"/>
      <c r="K1063" s="1894"/>
      <c r="L1063" s="1894"/>
      <c r="M1063" s="1894"/>
      <c r="N1063" s="1894"/>
      <c r="O1063" s="1894"/>
      <c r="P1063" s="1894"/>
      <c r="Q1063" s="1894"/>
      <c r="R1063" s="1894"/>
      <c r="S1063" s="1894"/>
      <c r="T1063" s="1894"/>
      <c r="U1063" s="1894"/>
      <c r="V1063" s="1894"/>
      <c r="W1063" s="1894"/>
      <c r="X1063" s="1894"/>
      <c r="Y1063" s="1894"/>
      <c r="Z1063" s="1894"/>
      <c r="AA1063" s="1894"/>
      <c r="AB1063" s="1894"/>
      <c r="AC1063" s="1894"/>
      <c r="AD1063" s="1894"/>
      <c r="AE1063" s="1894"/>
      <c r="AF1063" s="1894"/>
      <c r="AG1063" s="1894"/>
      <c r="AH1063" s="1894"/>
      <c r="AI1063" s="1894"/>
      <c r="AJ1063" s="1894"/>
      <c r="AK1063" s="1894"/>
    </row>
    <row r="1064" spans="1:96" ht="12.6" customHeight="1">
      <c r="A1064" s="235"/>
      <c r="B1064" s="235"/>
      <c r="C1064" s="13"/>
      <c r="D1064" s="1894"/>
      <c r="E1064" s="1894"/>
      <c r="F1064" s="1894"/>
      <c r="G1064" s="1894"/>
      <c r="H1064" s="1894"/>
      <c r="I1064" s="1894"/>
      <c r="J1064" s="1894"/>
      <c r="K1064" s="1894"/>
      <c r="L1064" s="1894"/>
      <c r="M1064" s="1894"/>
      <c r="N1064" s="1894"/>
      <c r="O1064" s="1894"/>
      <c r="P1064" s="1894"/>
      <c r="Q1064" s="1894"/>
      <c r="R1064" s="1894"/>
      <c r="S1064" s="1894"/>
      <c r="T1064" s="1894"/>
      <c r="U1064" s="1894"/>
      <c r="V1064" s="1894"/>
      <c r="W1064" s="1894"/>
      <c r="X1064" s="1894"/>
      <c r="Y1064" s="1894"/>
      <c r="Z1064" s="1894"/>
      <c r="AA1064" s="1894"/>
      <c r="AB1064" s="1894"/>
      <c r="AC1064" s="1894"/>
      <c r="AD1064" s="1894"/>
      <c r="AE1064" s="1894"/>
      <c r="AF1064" s="1894"/>
      <c r="AG1064" s="1894"/>
      <c r="AH1064" s="1894"/>
      <c r="AI1064" s="1894"/>
      <c r="AJ1064" s="1894"/>
      <c r="AK1064" s="1894"/>
    </row>
    <row r="1065" spans="1:96" ht="12.6" customHeight="1">
      <c r="A1065" s="62"/>
      <c r="B1065" s="66"/>
      <c r="C1065" s="13"/>
      <c r="D1065" s="1894"/>
      <c r="E1065" s="1894"/>
      <c r="F1065" s="1894"/>
      <c r="G1065" s="1894"/>
      <c r="H1065" s="1894"/>
      <c r="I1065" s="1894"/>
      <c r="J1065" s="1894"/>
      <c r="K1065" s="1894"/>
      <c r="L1065" s="1894"/>
      <c r="M1065" s="1894"/>
      <c r="N1065" s="1894"/>
      <c r="O1065" s="1894"/>
      <c r="P1065" s="1894"/>
      <c r="Q1065" s="1894"/>
      <c r="R1065" s="1894"/>
      <c r="S1065" s="1894"/>
      <c r="T1065" s="1894"/>
      <c r="U1065" s="1894"/>
      <c r="V1065" s="1894"/>
      <c r="W1065" s="1894"/>
      <c r="X1065" s="1894"/>
      <c r="Y1065" s="1894"/>
      <c r="Z1065" s="1894"/>
      <c r="AA1065" s="1894"/>
      <c r="AB1065" s="1894"/>
      <c r="AC1065" s="1894"/>
      <c r="AD1065" s="1894"/>
      <c r="AE1065" s="1894"/>
      <c r="AF1065" s="1894"/>
      <c r="AG1065" s="1894"/>
      <c r="AH1065" s="1894"/>
      <c r="AI1065" s="1894"/>
      <c r="AJ1065" s="1894"/>
      <c r="AK1065" s="1894"/>
    </row>
    <row r="1066" spans="1:96" s="682" customFormat="1" ht="12.6" customHeight="1">
      <c r="A1066" s="2049" t="s">
        <v>626</v>
      </c>
      <c r="B1066" s="2049"/>
      <c r="C1066" s="13">
        <v>5</v>
      </c>
      <c r="D1066" s="1894" t="s">
        <v>1416</v>
      </c>
      <c r="E1066" s="1894"/>
      <c r="F1066" s="1894"/>
      <c r="G1066" s="1894"/>
      <c r="H1066" s="1894"/>
      <c r="I1066" s="1894"/>
      <c r="J1066" s="1894"/>
      <c r="K1066" s="1894"/>
      <c r="L1066" s="1894"/>
      <c r="M1066" s="1894"/>
      <c r="N1066" s="1894"/>
      <c r="O1066" s="1894"/>
      <c r="P1066" s="1894"/>
      <c r="Q1066" s="1894"/>
      <c r="R1066" s="1894"/>
      <c r="S1066" s="1894"/>
      <c r="T1066" s="1894"/>
      <c r="U1066" s="1894"/>
      <c r="V1066" s="1894"/>
      <c r="W1066" s="1894"/>
      <c r="X1066" s="1894"/>
      <c r="Y1066" s="1894"/>
      <c r="Z1066" s="1894"/>
      <c r="AA1066" s="1894"/>
      <c r="AB1066" s="1894"/>
      <c r="AC1066" s="1894"/>
      <c r="AD1066" s="1894"/>
      <c r="AE1066" s="1894"/>
      <c r="AF1066" s="1894"/>
      <c r="AG1066" s="1894"/>
      <c r="AH1066" s="1894"/>
      <c r="AI1066" s="1894"/>
      <c r="AJ1066" s="1894"/>
      <c r="AK1066" s="189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4"/>
      <c r="E1067" s="1894"/>
      <c r="F1067" s="1894"/>
      <c r="G1067" s="1894"/>
      <c r="H1067" s="1894"/>
      <c r="I1067" s="1894"/>
      <c r="J1067" s="1894"/>
      <c r="K1067" s="1894"/>
      <c r="L1067" s="1894"/>
      <c r="M1067" s="1894"/>
      <c r="N1067" s="1894"/>
      <c r="O1067" s="1894"/>
      <c r="P1067" s="1894"/>
      <c r="Q1067" s="1894"/>
      <c r="R1067" s="1894"/>
      <c r="S1067" s="1894"/>
      <c r="T1067" s="1894"/>
      <c r="U1067" s="1894"/>
      <c r="V1067" s="1894"/>
      <c r="W1067" s="1894"/>
      <c r="X1067" s="1894"/>
      <c r="Y1067" s="1894"/>
      <c r="Z1067" s="1894"/>
      <c r="AA1067" s="1894"/>
      <c r="AB1067" s="1894"/>
      <c r="AC1067" s="1894"/>
      <c r="AD1067" s="1894"/>
      <c r="AE1067" s="1894"/>
      <c r="AF1067" s="1894"/>
      <c r="AG1067" s="1894"/>
      <c r="AH1067" s="1894"/>
      <c r="AI1067" s="1894"/>
      <c r="AJ1067" s="1894"/>
      <c r="AK1067" s="1894"/>
    </row>
    <row r="1068" spans="1:96" ht="12.6" customHeight="1">
      <c r="A1068" s="235"/>
      <c r="B1068" s="235"/>
      <c r="C1068" s="13"/>
      <c r="D1068" s="1894"/>
      <c r="E1068" s="1894"/>
      <c r="F1068" s="1894"/>
      <c r="G1068" s="1894"/>
      <c r="H1068" s="1894"/>
      <c r="I1068" s="1894"/>
      <c r="J1068" s="1894"/>
      <c r="K1068" s="1894"/>
      <c r="L1068" s="1894"/>
      <c r="M1068" s="1894"/>
      <c r="N1068" s="1894"/>
      <c r="O1068" s="1894"/>
      <c r="P1068" s="1894"/>
      <c r="Q1068" s="1894"/>
      <c r="R1068" s="1894"/>
      <c r="S1068" s="1894"/>
      <c r="T1068" s="1894"/>
      <c r="U1068" s="1894"/>
      <c r="V1068" s="1894"/>
      <c r="W1068" s="1894"/>
      <c r="X1068" s="1894"/>
      <c r="Y1068" s="1894"/>
      <c r="Z1068" s="1894"/>
      <c r="AA1068" s="1894"/>
      <c r="AB1068" s="1894"/>
      <c r="AC1068" s="1894"/>
      <c r="AD1068" s="1894"/>
      <c r="AE1068" s="1894"/>
      <c r="AF1068" s="1894"/>
      <c r="AG1068" s="1894"/>
      <c r="AH1068" s="1894"/>
      <c r="AI1068" s="1894"/>
      <c r="AJ1068" s="1894"/>
      <c r="AK1068" s="1894"/>
    </row>
    <row r="1069" spans="1:96" ht="12.6" customHeight="1">
      <c r="A1069" s="235"/>
      <c r="B1069" s="235"/>
      <c r="C1069" s="13"/>
      <c r="D1069" s="1894"/>
      <c r="E1069" s="1894"/>
      <c r="F1069" s="1894"/>
      <c r="G1069" s="1894"/>
      <c r="H1069" s="1894"/>
      <c r="I1069" s="1894"/>
      <c r="J1069" s="1894"/>
      <c r="K1069" s="1894"/>
      <c r="L1069" s="1894"/>
      <c r="M1069" s="1894"/>
      <c r="N1069" s="1894"/>
      <c r="O1069" s="1894"/>
      <c r="P1069" s="1894"/>
      <c r="Q1069" s="1894"/>
      <c r="R1069" s="1894"/>
      <c r="S1069" s="1894"/>
      <c r="T1069" s="1894"/>
      <c r="U1069" s="1894"/>
      <c r="V1069" s="1894"/>
      <c r="W1069" s="1894"/>
      <c r="X1069" s="1894"/>
      <c r="Y1069" s="1894"/>
      <c r="Z1069" s="1894"/>
      <c r="AA1069" s="1894"/>
      <c r="AB1069" s="1894"/>
      <c r="AC1069" s="1894"/>
      <c r="AD1069" s="1894"/>
      <c r="AE1069" s="1894"/>
      <c r="AF1069" s="1894"/>
      <c r="AG1069" s="1894"/>
      <c r="AH1069" s="1894"/>
      <c r="AI1069" s="1894"/>
      <c r="AJ1069" s="1894"/>
      <c r="AK1069" s="1894"/>
      <c r="AL1069" s="682"/>
    </row>
    <row r="1070" spans="1:96" ht="12.6" customHeight="1">
      <c r="A1070" s="62"/>
      <c r="B1070" s="66"/>
      <c r="C1070" s="13"/>
      <c r="D1070" s="1894"/>
      <c r="E1070" s="1894"/>
      <c r="F1070" s="1894"/>
      <c r="G1070" s="1894"/>
      <c r="H1070" s="1894"/>
      <c r="I1070" s="1894"/>
      <c r="J1070" s="1894"/>
      <c r="K1070" s="1894"/>
      <c r="L1070" s="1894"/>
      <c r="M1070" s="1894"/>
      <c r="N1070" s="1894"/>
      <c r="O1070" s="1894"/>
      <c r="P1070" s="1894"/>
      <c r="Q1070" s="1894"/>
      <c r="R1070" s="1894"/>
      <c r="S1070" s="1894"/>
      <c r="T1070" s="1894"/>
      <c r="U1070" s="1894"/>
      <c r="V1070" s="1894"/>
      <c r="W1070" s="1894"/>
      <c r="X1070" s="1894"/>
      <c r="Y1070" s="1894"/>
      <c r="Z1070" s="1894"/>
      <c r="AA1070" s="1894"/>
      <c r="AB1070" s="1894"/>
      <c r="AC1070" s="1894"/>
      <c r="AD1070" s="1894"/>
      <c r="AE1070" s="1894"/>
      <c r="AF1070" s="1894"/>
      <c r="AG1070" s="1894"/>
      <c r="AH1070" s="1894"/>
      <c r="AI1070" s="1894"/>
      <c r="AJ1070" s="1894"/>
      <c r="AK1070" s="1894"/>
    </row>
    <row r="1071" spans="1:96" ht="12.6" customHeight="1">
      <c r="A1071" s="2049" t="s">
        <v>626</v>
      </c>
      <c r="B1071" s="2049"/>
      <c r="C1071" s="13">
        <v>6</v>
      </c>
      <c r="D1071" s="1894" t="s">
        <v>1208</v>
      </c>
      <c r="E1071" s="1894"/>
      <c r="F1071" s="1894"/>
      <c r="G1071" s="1894"/>
      <c r="H1071" s="1894"/>
      <c r="I1071" s="1894"/>
      <c r="J1071" s="1894"/>
      <c r="K1071" s="1894"/>
      <c r="L1071" s="1894"/>
      <c r="M1071" s="1894"/>
      <c r="N1071" s="1894"/>
      <c r="O1071" s="1894"/>
      <c r="P1071" s="1894"/>
      <c r="Q1071" s="1894"/>
      <c r="R1071" s="1894"/>
      <c r="S1071" s="1894"/>
      <c r="T1071" s="1894"/>
      <c r="U1071" s="1894"/>
      <c r="V1071" s="1894"/>
      <c r="W1071" s="1894"/>
      <c r="X1071" s="1894"/>
      <c r="Y1071" s="1894"/>
      <c r="Z1071" s="1894"/>
      <c r="AA1071" s="1894"/>
      <c r="AB1071" s="1894"/>
      <c r="AC1071" s="1894"/>
      <c r="AD1071" s="1894"/>
      <c r="AE1071" s="1894"/>
      <c r="AF1071" s="1894"/>
      <c r="AG1071" s="1894"/>
      <c r="AH1071" s="1894"/>
      <c r="AI1071" s="1894"/>
      <c r="AJ1071" s="1894"/>
      <c r="AK1071" s="1894"/>
    </row>
    <row r="1072" spans="1:96" ht="12.6" customHeight="1">
      <c r="A1072" s="62"/>
      <c r="B1072" s="317"/>
      <c r="C1072" s="13"/>
      <c r="D1072" s="1894"/>
      <c r="E1072" s="1894"/>
      <c r="F1072" s="1894"/>
      <c r="G1072" s="1894"/>
      <c r="H1072" s="1894"/>
      <c r="I1072" s="1894"/>
      <c r="J1072" s="1894"/>
      <c r="K1072" s="1894"/>
      <c r="L1072" s="1894"/>
      <c r="M1072" s="1894"/>
      <c r="N1072" s="1894"/>
      <c r="O1072" s="1894"/>
      <c r="P1072" s="1894"/>
      <c r="Q1072" s="1894"/>
      <c r="R1072" s="1894"/>
      <c r="S1072" s="1894"/>
      <c r="T1072" s="1894"/>
      <c r="U1072" s="1894"/>
      <c r="V1072" s="1894"/>
      <c r="W1072" s="1894"/>
      <c r="X1072" s="1894"/>
      <c r="Y1072" s="1894"/>
      <c r="Z1072" s="1894"/>
      <c r="AA1072" s="1894"/>
      <c r="AB1072" s="1894"/>
      <c r="AC1072" s="1894"/>
      <c r="AD1072" s="1894"/>
      <c r="AE1072" s="1894"/>
      <c r="AF1072" s="1894"/>
      <c r="AG1072" s="1894"/>
      <c r="AH1072" s="1894"/>
      <c r="AI1072" s="1894"/>
      <c r="AJ1072" s="1894"/>
      <c r="AK1072" s="1894"/>
    </row>
    <row r="1073" spans="1:96" ht="12.6" customHeight="1">
      <c r="A1073" s="62"/>
      <c r="B1073" s="66"/>
      <c r="C1073" s="13"/>
      <c r="D1073" s="1894"/>
      <c r="E1073" s="1894"/>
      <c r="F1073" s="1894"/>
      <c r="G1073" s="1894"/>
      <c r="H1073" s="1894"/>
      <c r="I1073" s="1894"/>
      <c r="J1073" s="1894"/>
      <c r="K1073" s="1894"/>
      <c r="L1073" s="1894"/>
      <c r="M1073" s="1894"/>
      <c r="N1073" s="1894"/>
      <c r="O1073" s="1894"/>
      <c r="P1073" s="1894"/>
      <c r="Q1073" s="1894"/>
      <c r="R1073" s="1894"/>
      <c r="S1073" s="1894"/>
      <c r="T1073" s="1894"/>
      <c r="U1073" s="1894"/>
      <c r="V1073" s="1894"/>
      <c r="W1073" s="1894"/>
      <c r="X1073" s="1894"/>
      <c r="Y1073" s="1894"/>
      <c r="Z1073" s="1894"/>
      <c r="AA1073" s="1894"/>
      <c r="AB1073" s="1894"/>
      <c r="AC1073" s="1894"/>
      <c r="AD1073" s="1894"/>
      <c r="AE1073" s="1894"/>
      <c r="AF1073" s="1894"/>
      <c r="AG1073" s="1894"/>
      <c r="AH1073" s="1894"/>
      <c r="AI1073" s="1894"/>
      <c r="AJ1073" s="1894"/>
      <c r="AK1073" s="1894"/>
    </row>
    <row r="1074" spans="1:96" ht="12.6" customHeight="1">
      <c r="A1074" s="2049" t="s">
        <v>626</v>
      </c>
      <c r="B1074" s="2049"/>
      <c r="C1074" s="318">
        <v>7</v>
      </c>
      <c r="D1074" s="1894" t="s">
        <v>1210</v>
      </c>
      <c r="E1074" s="1894"/>
      <c r="F1074" s="1894"/>
      <c r="G1074" s="1894"/>
      <c r="H1074" s="1894"/>
      <c r="I1074" s="1894"/>
      <c r="J1074" s="1894"/>
      <c r="K1074" s="1894"/>
      <c r="L1074" s="1894"/>
      <c r="M1074" s="1894"/>
      <c r="N1074" s="1894"/>
      <c r="O1074" s="1894"/>
      <c r="P1074" s="1894"/>
      <c r="Q1074" s="1894"/>
      <c r="R1074" s="1894"/>
      <c r="S1074" s="1894"/>
      <c r="T1074" s="1894"/>
      <c r="U1074" s="1894"/>
      <c r="V1074" s="1894"/>
      <c r="W1074" s="1894"/>
      <c r="X1074" s="1894"/>
      <c r="Y1074" s="1894"/>
      <c r="Z1074" s="1894"/>
      <c r="AA1074" s="1894"/>
      <c r="AB1074" s="1894"/>
      <c r="AC1074" s="1894"/>
      <c r="AD1074" s="1894"/>
      <c r="AE1074" s="1894"/>
      <c r="AF1074" s="1894"/>
      <c r="AG1074" s="1894"/>
      <c r="AH1074" s="1894"/>
      <c r="AI1074" s="1894"/>
      <c r="AJ1074" s="1894"/>
      <c r="AK1074" s="1894"/>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4"/>
      <c r="E1075" s="1894"/>
      <c r="F1075" s="1894"/>
      <c r="G1075" s="1894"/>
      <c r="H1075" s="1894"/>
      <c r="I1075" s="1894"/>
      <c r="J1075" s="1894"/>
      <c r="K1075" s="1894"/>
      <c r="L1075" s="1894"/>
      <c r="M1075" s="1894"/>
      <c r="N1075" s="1894"/>
      <c r="O1075" s="1894"/>
      <c r="P1075" s="1894"/>
      <c r="Q1075" s="1894"/>
      <c r="R1075" s="1894"/>
      <c r="S1075" s="1894"/>
      <c r="T1075" s="1894"/>
      <c r="U1075" s="1894"/>
      <c r="V1075" s="1894"/>
      <c r="W1075" s="1894"/>
      <c r="X1075" s="1894"/>
      <c r="Y1075" s="1894"/>
      <c r="Z1075" s="1894"/>
      <c r="AA1075" s="1894"/>
      <c r="AB1075" s="1894"/>
      <c r="AC1075" s="1894"/>
      <c r="AD1075" s="1894"/>
      <c r="AE1075" s="1894"/>
      <c r="AF1075" s="1894"/>
      <c r="AG1075" s="1894"/>
      <c r="AH1075" s="1894"/>
      <c r="AI1075" s="1894"/>
      <c r="AJ1075" s="1894"/>
      <c r="AK1075" s="1894"/>
    </row>
    <row r="1076" spans="1:96" ht="12.6" customHeight="1">
      <c r="A1076" s="235"/>
      <c r="B1076" s="235"/>
      <c r="C1076" s="319"/>
      <c r="D1076" s="1894"/>
      <c r="E1076" s="1894"/>
      <c r="F1076" s="1894"/>
      <c r="G1076" s="1894"/>
      <c r="H1076" s="1894"/>
      <c r="I1076" s="1894"/>
      <c r="J1076" s="1894"/>
      <c r="K1076" s="1894"/>
      <c r="L1076" s="1894"/>
      <c r="M1076" s="1894"/>
      <c r="N1076" s="1894"/>
      <c r="O1076" s="1894"/>
      <c r="P1076" s="1894"/>
      <c r="Q1076" s="1894"/>
      <c r="R1076" s="1894"/>
      <c r="S1076" s="1894"/>
      <c r="T1076" s="1894"/>
      <c r="U1076" s="1894"/>
      <c r="V1076" s="1894"/>
      <c r="W1076" s="1894"/>
      <c r="X1076" s="1894"/>
      <c r="Y1076" s="1894"/>
      <c r="Z1076" s="1894"/>
      <c r="AA1076" s="1894"/>
      <c r="AB1076" s="1894"/>
      <c r="AC1076" s="1894"/>
      <c r="AD1076" s="1894"/>
      <c r="AE1076" s="1894"/>
      <c r="AF1076" s="1894"/>
      <c r="AG1076" s="1894"/>
      <c r="AH1076" s="1894"/>
      <c r="AI1076" s="1894"/>
      <c r="AJ1076" s="1894"/>
      <c r="AK1076" s="1894"/>
    </row>
    <row r="1077" spans="1:96" s="682" customFormat="1" ht="12.6" customHeight="1">
      <c r="A1077" s="62"/>
      <c r="B1077" s="66"/>
      <c r="C1077" s="318"/>
      <c r="D1077" s="1894"/>
      <c r="E1077" s="1894"/>
      <c r="F1077" s="1894"/>
      <c r="G1077" s="1894"/>
      <c r="H1077" s="1894"/>
      <c r="I1077" s="1894"/>
      <c r="J1077" s="1894"/>
      <c r="K1077" s="1894"/>
      <c r="L1077" s="1894"/>
      <c r="M1077" s="1894"/>
      <c r="N1077" s="1894"/>
      <c r="O1077" s="1894"/>
      <c r="P1077" s="1894"/>
      <c r="Q1077" s="1894"/>
      <c r="R1077" s="1894"/>
      <c r="S1077" s="1894"/>
      <c r="T1077" s="1894"/>
      <c r="U1077" s="1894"/>
      <c r="V1077" s="1894"/>
      <c r="W1077" s="1894"/>
      <c r="X1077" s="1894"/>
      <c r="Y1077" s="1894"/>
      <c r="Z1077" s="1894"/>
      <c r="AA1077" s="1894"/>
      <c r="AB1077" s="1894"/>
      <c r="AC1077" s="1894"/>
      <c r="AD1077" s="1894"/>
      <c r="AE1077" s="1894"/>
      <c r="AF1077" s="1894"/>
      <c r="AG1077" s="1894"/>
      <c r="AH1077" s="1894"/>
      <c r="AI1077" s="1894"/>
      <c r="AJ1077" s="1894"/>
      <c r="AK1077" s="1894"/>
      <c r="AL1077" s="12"/>
      <c r="AM1077" s="39"/>
      <c r="AN1077" s="39"/>
      <c r="AO1077" s="39"/>
      <c r="AP1077" s="39"/>
      <c r="AQ1077" s="39"/>
      <c r="AR1077" s="39"/>
      <c r="AS1077" s="39"/>
      <c r="AT1077" s="39"/>
      <c r="AU1077" s="39"/>
      <c r="AV1077" s="39"/>
      <c r="AW1077" s="39"/>
      <c r="AX1077" s="39"/>
      <c r="AY1077" s="39"/>
      <c r="CR1077" s="25"/>
    </row>
    <row r="1078" spans="1:96" ht="12.6" customHeight="1">
      <c r="A1078" s="2049" t="s">
        <v>626</v>
      </c>
      <c r="B1078" s="2049"/>
      <c r="C1078" s="318">
        <v>8</v>
      </c>
      <c r="D1078" s="2395" t="s">
        <v>2166</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6" customHeight="1">
      <c r="A1079" s="235"/>
      <c r="B1079" s="235"/>
      <c r="C1079" s="318"/>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6" customHeight="1">
      <c r="A1080" s="235"/>
      <c r="B1080" s="235"/>
      <c r="C1080" s="318"/>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2"/>
    </row>
    <row r="1081" spans="1:96" ht="12" customHeight="1">
      <c r="A1081" s="62"/>
      <c r="B1081" s="66"/>
      <c r="C1081" s="318"/>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6" customHeight="1">
      <c r="A1082" s="2049" t="s">
        <v>626</v>
      </c>
      <c r="B1082" s="2049"/>
      <c r="C1082" s="318">
        <v>9</v>
      </c>
      <c r="D1082" s="1894" t="s">
        <v>1209</v>
      </c>
      <c r="E1082" s="1894"/>
      <c r="F1082" s="1894"/>
      <c r="G1082" s="1894"/>
      <c r="H1082" s="1894"/>
      <c r="I1082" s="1894"/>
      <c r="J1082" s="1894"/>
      <c r="K1082" s="1894"/>
      <c r="L1082" s="1894"/>
      <c r="M1082" s="1894"/>
      <c r="N1082" s="1894"/>
      <c r="O1082" s="1894"/>
      <c r="P1082" s="1894"/>
      <c r="Q1082" s="1894"/>
      <c r="R1082" s="1894"/>
      <c r="S1082" s="1894"/>
      <c r="T1082" s="1894"/>
      <c r="U1082" s="1894"/>
      <c r="V1082" s="1894"/>
      <c r="W1082" s="1894"/>
      <c r="X1082" s="1894"/>
      <c r="Y1082" s="1894"/>
      <c r="Z1082" s="1894"/>
      <c r="AA1082" s="1894"/>
      <c r="AB1082" s="1894"/>
      <c r="AC1082" s="1894"/>
      <c r="AD1082" s="1894"/>
      <c r="AE1082" s="1894"/>
      <c r="AF1082" s="1894"/>
      <c r="AG1082" s="1894"/>
      <c r="AH1082" s="1894"/>
      <c r="AI1082" s="1894"/>
      <c r="AJ1082" s="1894"/>
      <c r="AK1082" s="1894"/>
    </row>
    <row r="1083" spans="1:96" ht="15" customHeight="1">
      <c r="A1083" s="62"/>
      <c r="B1083" s="66"/>
      <c r="C1083" s="318"/>
      <c r="D1083" s="1894"/>
      <c r="E1083" s="1894"/>
      <c r="F1083" s="1894"/>
      <c r="G1083" s="1894"/>
      <c r="H1083" s="1894"/>
      <c r="I1083" s="1894"/>
      <c r="J1083" s="1894"/>
      <c r="K1083" s="1894"/>
      <c r="L1083" s="1894"/>
      <c r="M1083" s="1894"/>
      <c r="N1083" s="1894"/>
      <c r="O1083" s="1894"/>
      <c r="P1083" s="1894"/>
      <c r="Q1083" s="1894"/>
      <c r="R1083" s="1894"/>
      <c r="S1083" s="1894"/>
      <c r="T1083" s="1894"/>
      <c r="U1083" s="1894"/>
      <c r="V1083" s="1894"/>
      <c r="W1083" s="1894"/>
      <c r="X1083" s="1894"/>
      <c r="Y1083" s="1894"/>
      <c r="Z1083" s="1894"/>
      <c r="AA1083" s="1894"/>
      <c r="AB1083" s="1894"/>
      <c r="AC1083" s="1894"/>
      <c r="AD1083" s="1894"/>
      <c r="AE1083" s="1894"/>
      <c r="AF1083" s="1894"/>
      <c r="AG1083" s="1894"/>
      <c r="AH1083" s="1894"/>
      <c r="AI1083" s="1894"/>
      <c r="AJ1083" s="1894"/>
      <c r="AK1083" s="1894"/>
    </row>
    <row r="1084" spans="1:96" ht="15" customHeight="1">
      <c r="D1084" s="1894"/>
      <c r="E1084" s="1894"/>
      <c r="F1084" s="1894"/>
      <c r="G1084" s="1894"/>
      <c r="H1084" s="1894"/>
      <c r="I1084" s="1894"/>
      <c r="J1084" s="1894"/>
      <c r="K1084" s="1894"/>
      <c r="L1084" s="1894"/>
      <c r="M1084" s="1894"/>
      <c r="N1084" s="1894"/>
      <c r="O1084" s="1894"/>
      <c r="P1084" s="1894"/>
      <c r="Q1084" s="1894"/>
      <c r="R1084" s="1894"/>
      <c r="S1084" s="1894"/>
      <c r="T1084" s="1894"/>
      <c r="U1084" s="1894"/>
      <c r="V1084" s="1894"/>
      <c r="W1084" s="1894"/>
      <c r="X1084" s="1894"/>
      <c r="Y1084" s="1894"/>
      <c r="Z1084" s="1894"/>
      <c r="AA1084" s="1894"/>
      <c r="AB1084" s="1894"/>
      <c r="AC1084" s="1894"/>
      <c r="AD1084" s="1894"/>
      <c r="AE1084" s="1894"/>
      <c r="AF1084" s="1894"/>
      <c r="AG1084" s="1894"/>
      <c r="AH1084" s="1894"/>
      <c r="AI1084" s="1894"/>
      <c r="AJ1084" s="1894"/>
      <c r="AK1084" s="1894"/>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AM733:AO733"/>
    <mergeCell ref="AM729:AO729"/>
    <mergeCell ref="AM738:AO738"/>
    <mergeCell ref="CH658:CL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R969:AA969"/>
    <mergeCell ref="M943:S943"/>
    <mergeCell ref="J941:S941"/>
    <mergeCell ref="Z897:AE897"/>
    <mergeCell ref="W867:AC86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X774:AB774"/>
    <mergeCell ref="X775:AB775"/>
    <mergeCell ref="O794:S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B750:F750"/>
    <mergeCell ref="AC742:AG742"/>
    <mergeCell ref="T768:W771"/>
    <mergeCell ref="AC792:AG792"/>
    <mergeCell ref="K744:N744"/>
    <mergeCell ref="K745:N745"/>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O740:S740"/>
    <mergeCell ref="K751:N751"/>
    <mergeCell ref="K752:N752"/>
    <mergeCell ref="T747:X747"/>
    <mergeCell ref="T748:X748"/>
    <mergeCell ref="T749:X749"/>
    <mergeCell ref="T750:X750"/>
    <mergeCell ref="T751:X751"/>
    <mergeCell ref="T752:X752"/>
    <mergeCell ref="Y745:AB745"/>
    <mergeCell ref="K749:N749"/>
    <mergeCell ref="G750:J750"/>
    <mergeCell ref="AC790:AG790"/>
    <mergeCell ref="AC791:AG791"/>
    <mergeCell ref="T739:X739"/>
    <mergeCell ref="T740:X740"/>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H749:AL749"/>
    <mergeCell ref="AH752:AL752"/>
    <mergeCell ref="J782:N785"/>
    <mergeCell ref="U830:X830"/>
    <mergeCell ref="AC826:AF826"/>
    <mergeCell ref="Q827:T827"/>
    <mergeCell ref="AH787:AL787"/>
    <mergeCell ref="AH788:AL788"/>
    <mergeCell ref="AH789:AL789"/>
    <mergeCell ref="AH790:AL790"/>
    <mergeCell ref="AH791:AL791"/>
    <mergeCell ref="AC748:AG748"/>
    <mergeCell ref="AC749:AG749"/>
    <mergeCell ref="K746:N746"/>
    <mergeCell ref="K747:N74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O741:S741"/>
    <mergeCell ref="AH728:AL728"/>
    <mergeCell ref="AJ972:AQ972"/>
    <mergeCell ref="O747:S747"/>
    <mergeCell ref="O748:S748"/>
    <mergeCell ref="O749:S749"/>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G655:R655"/>
    <mergeCell ref="G689:L689"/>
    <mergeCell ref="Z661:AK661"/>
    <mergeCell ref="Z681:AE681"/>
    <mergeCell ref="Z678:AK678"/>
    <mergeCell ref="AE705:AI705"/>
    <mergeCell ref="N691:O691"/>
    <mergeCell ref="K730:N730"/>
    <mergeCell ref="P673:R673"/>
    <mergeCell ref="G741:J741"/>
    <mergeCell ref="AM736:AO736"/>
    <mergeCell ref="AM739:AO739"/>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Z694:AK694"/>
    <mergeCell ref="Z697:AE697"/>
    <mergeCell ref="G694:R694"/>
    <mergeCell ref="Z679:AK679"/>
    <mergeCell ref="O729:S729"/>
    <mergeCell ref="AC734:AG734"/>
    <mergeCell ref="G672:R672"/>
    <mergeCell ref="G680:R680"/>
    <mergeCell ref="AC736:AG736"/>
    <mergeCell ref="Z696:AK696"/>
    <mergeCell ref="AE708:AI708"/>
    <mergeCell ref="G670:R670"/>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Y737:AB737"/>
    <mergeCell ref="AM737:AO737"/>
    <mergeCell ref="AM740:AO740"/>
    <mergeCell ref="Z812:AE812"/>
    <mergeCell ref="W843:AC843"/>
    <mergeCell ref="AC786:AG786"/>
    <mergeCell ref="AH744:AL744"/>
    <mergeCell ref="AM747:AO747"/>
    <mergeCell ref="AM748:AO748"/>
    <mergeCell ref="AM746:AO746"/>
    <mergeCell ref="AM745:AO745"/>
    <mergeCell ref="AM743:AO743"/>
    <mergeCell ref="Y828:AB828"/>
    <mergeCell ref="U827:X827"/>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K740:N740"/>
    <mergeCell ref="M828:P828"/>
    <mergeCell ref="J793:N793"/>
    <mergeCell ref="K748:N748"/>
    <mergeCell ref="G744:J744"/>
    <mergeCell ref="C830:L830"/>
    <mergeCell ref="Q830:T830"/>
    <mergeCell ref="M830:P830"/>
    <mergeCell ref="O744:S744"/>
    <mergeCell ref="C828:H828"/>
    <mergeCell ref="W841:AC841"/>
    <mergeCell ref="O791:S791"/>
    <mergeCell ref="B742:F742"/>
    <mergeCell ref="U828:X828"/>
    <mergeCell ref="Z811:AE811"/>
    <mergeCell ref="O746:S746"/>
    <mergeCell ref="J847:V84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G829:AJ829"/>
    <mergeCell ref="T788:W788"/>
    <mergeCell ref="T789:W789"/>
    <mergeCell ref="T790:W790"/>
    <mergeCell ref="T791:W791"/>
    <mergeCell ref="Y829:AB829"/>
    <mergeCell ref="U829:X829"/>
    <mergeCell ref="AC796:AG796"/>
    <mergeCell ref="O750:S750"/>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N613:BR613"/>
    <mergeCell ref="BX613:CB613"/>
    <mergeCell ref="H330:M330"/>
    <mergeCell ref="H340:R340"/>
    <mergeCell ref="H337:R337"/>
    <mergeCell ref="P344:AE344"/>
    <mergeCell ref="H322:M322"/>
    <mergeCell ref="AA340:AK340"/>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CC618:CG618"/>
    <mergeCell ref="BS615:BW615"/>
    <mergeCell ref="BX615:CB615"/>
    <mergeCell ref="BN630:BR630"/>
    <mergeCell ref="BS630:BW630"/>
    <mergeCell ref="BI627:BJ627"/>
    <mergeCell ref="BK627:BL627"/>
    <mergeCell ref="BE622:BF622"/>
    <mergeCell ref="BI625:BJ625"/>
    <mergeCell ref="BK625:BL62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AM741:AO741"/>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52:AG952"/>
    <mergeCell ref="AE939:AK939"/>
    <mergeCell ref="I934:T934"/>
    <mergeCell ref="AA929:AF929"/>
    <mergeCell ref="U923:Z923"/>
    <mergeCell ref="AA916:AF916"/>
    <mergeCell ref="U921:Z921"/>
    <mergeCell ref="AA920:AF920"/>
    <mergeCell ref="AB914:AE914"/>
    <mergeCell ref="AE944:AK944"/>
    <mergeCell ref="AE945:AK945"/>
    <mergeCell ref="AA951:AG951"/>
    <mergeCell ref="AA957:AG957"/>
    <mergeCell ref="BG851:BL851"/>
    <mergeCell ref="BD905:BE905"/>
    <mergeCell ref="AH794:AL794"/>
    <mergeCell ref="U928:Z928"/>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Y825:AB825"/>
    <mergeCell ref="AA928:AF928"/>
    <mergeCell ref="F913:T914"/>
    <mergeCell ref="U917:Z917"/>
    <mergeCell ref="U927:Z927"/>
    <mergeCell ref="AC891:AH891"/>
    <mergeCell ref="W853:AC853"/>
    <mergeCell ref="AC890:AH890"/>
    <mergeCell ref="W850:AC850"/>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Y746:AB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I665:AK665"/>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A556:AS557"/>
    <mergeCell ref="AC553:AF55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Q501:R502"/>
    <mergeCell ref="AG438:AJ438"/>
    <mergeCell ref="AG442:AJ442"/>
    <mergeCell ref="I391:N391"/>
    <mergeCell ref="H413:AE414"/>
    <mergeCell ref="Q393:U393"/>
    <mergeCell ref="AG443:AJ443"/>
    <mergeCell ref="AC453:AF453"/>
    <mergeCell ref="Z433:AA433"/>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46:AK546"/>
    <mergeCell ref="AH541:AK541"/>
    <mergeCell ref="T484:X485"/>
    <mergeCell ref="Y487:AC487"/>
    <mergeCell ref="AH516:AK516"/>
    <mergeCell ref="AH529:AK529"/>
    <mergeCell ref="AH533:AK533"/>
    <mergeCell ref="AC529:AF529"/>
    <mergeCell ref="AC541:AF541"/>
    <mergeCell ref="AH519:AK519"/>
    <mergeCell ref="AC530:AF530"/>
    <mergeCell ref="AC537:AF537"/>
    <mergeCell ref="AH540:AK540"/>
    <mergeCell ref="Y489:AC489"/>
    <mergeCell ref="AH517:AK517"/>
    <mergeCell ref="AH547:AK547"/>
    <mergeCell ref="AG400:AJ400"/>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H530:AK530"/>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BS609:BW609"/>
    <mergeCell ref="BK610:BL610"/>
    <mergeCell ref="Z582:AE582"/>
    <mergeCell ref="AA592:AK592"/>
    <mergeCell ref="AA600:AK600"/>
    <mergeCell ref="Z603:AK603"/>
    <mergeCell ref="AG593:AH593"/>
    <mergeCell ref="AI591:AK591"/>
    <mergeCell ref="Z590:AK590"/>
    <mergeCell ref="AG601:AH601"/>
    <mergeCell ref="Z599:AE599"/>
    <mergeCell ref="AE574:AH574"/>
    <mergeCell ref="AM574:AS574"/>
    <mergeCell ref="B576:AL576"/>
    <mergeCell ref="T575:V575"/>
    <mergeCell ref="AM575:AS575"/>
    <mergeCell ref="W574:Y574"/>
    <mergeCell ref="P599:R599"/>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C609:CG60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CH614:CL614"/>
    <mergeCell ref="CH612:CL612"/>
    <mergeCell ref="CH619:CL619"/>
    <mergeCell ref="CH616:CL616"/>
    <mergeCell ref="CH613:CL613"/>
    <mergeCell ref="BG614:BH614"/>
    <mergeCell ref="BI614:BJ614"/>
    <mergeCell ref="BI612:BJ612"/>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S626:BW626"/>
    <mergeCell ref="BI624:BJ624"/>
    <mergeCell ref="BG622:BH622"/>
    <mergeCell ref="BK622:BL622"/>
    <mergeCell ref="BG624:BH624"/>
    <mergeCell ref="BX617:CB617"/>
    <mergeCell ref="CC617:CG617"/>
    <mergeCell ref="BN619:BR619"/>
    <mergeCell ref="BS614:BW614"/>
    <mergeCell ref="CM625:CQ625"/>
    <mergeCell ref="CM626:CQ626"/>
    <mergeCell ref="CM627:CQ627"/>
    <mergeCell ref="CM628:CQ628"/>
    <mergeCell ref="BS625:BW625"/>
    <mergeCell ref="BX625:CB625"/>
    <mergeCell ref="CC625:CG625"/>
    <mergeCell ref="BX623:CB623"/>
    <mergeCell ref="BK623:BL623"/>
    <mergeCell ref="BX627:CB627"/>
    <mergeCell ref="CC627:CG627"/>
    <mergeCell ref="BN628:BR628"/>
    <mergeCell ref="BK628:BL628"/>
    <mergeCell ref="BS628:BW628"/>
    <mergeCell ref="BX628:CB628"/>
    <mergeCell ref="CH611:CL611"/>
    <mergeCell ref="BX610:CB610"/>
    <mergeCell ref="BX611:CB611"/>
    <mergeCell ref="BX614:CB614"/>
    <mergeCell ref="CC614:CG614"/>
    <mergeCell ref="CC616:CG616"/>
    <mergeCell ref="BS610:BW610"/>
    <mergeCell ref="BX616:CB616"/>
    <mergeCell ref="BS616:BW616"/>
    <mergeCell ref="BK616:BL616"/>
    <mergeCell ref="CC615:CG615"/>
    <mergeCell ref="BS617:BW617"/>
    <mergeCell ref="BK618:BL618"/>
    <mergeCell ref="BK614:BL614"/>
    <mergeCell ref="CC612:CG612"/>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X630:CB630"/>
    <mergeCell ref="BE629:BF629"/>
    <mergeCell ref="BG629:BH629"/>
    <mergeCell ref="BG628:BH628"/>
    <mergeCell ref="BI628:BJ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35:CL635"/>
    <mergeCell ref="CH634:CL634"/>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BG625:BH625"/>
    <mergeCell ref="CH624:CL624"/>
    <mergeCell ref="BX619:CB619"/>
    <mergeCell ref="BK619:BL619"/>
    <mergeCell ref="BK617:BL617"/>
    <mergeCell ref="BN618:BR618"/>
    <mergeCell ref="BS618:BW618"/>
    <mergeCell ref="BX618:CB618"/>
    <mergeCell ref="CC623:CG623"/>
    <mergeCell ref="AC540:AF540"/>
    <mergeCell ref="O541:AA541"/>
    <mergeCell ref="AC515:AF515"/>
    <mergeCell ref="AH531:AK531"/>
    <mergeCell ref="AC543:AF543"/>
    <mergeCell ref="AH543:AK543"/>
    <mergeCell ref="AC520:AF520"/>
    <mergeCell ref="AH528:AK528"/>
    <mergeCell ref="AC519:AF519"/>
    <mergeCell ref="Q500:AK500"/>
    <mergeCell ref="Q505:AK505"/>
    <mergeCell ref="Z563:AD563"/>
    <mergeCell ref="B563:P563"/>
    <mergeCell ref="B515:H520"/>
    <mergeCell ref="T567:V567"/>
    <mergeCell ref="W564:Y564"/>
    <mergeCell ref="AH538:AK538"/>
    <mergeCell ref="AC542:AF542"/>
    <mergeCell ref="O538:AA538"/>
    <mergeCell ref="C566:P566"/>
    <mergeCell ref="T563:V563"/>
    <mergeCell ref="T564:V564"/>
    <mergeCell ref="AH539:AK539"/>
    <mergeCell ref="O544:AA544"/>
    <mergeCell ref="AC549:AF549"/>
    <mergeCell ref="W563:Y563"/>
    <mergeCell ref="AC548:AF548"/>
    <mergeCell ref="AC538:AF538"/>
    <mergeCell ref="AH551:AK551"/>
    <mergeCell ref="AC544:AF544"/>
    <mergeCell ref="AC545:AF545"/>
    <mergeCell ref="AH545:AK545"/>
    <mergeCell ref="AH515:AK515"/>
    <mergeCell ref="AH554:AK554"/>
    <mergeCell ref="W566:Y566"/>
    <mergeCell ref="AI564:AL564"/>
    <mergeCell ref="AI566:AL566"/>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H532:AK532"/>
    <mergeCell ref="AM566:AS566"/>
    <mergeCell ref="W569:Y569"/>
    <mergeCell ref="W570:Y570"/>
    <mergeCell ref="AI565:AL565"/>
    <mergeCell ref="AE566:AH566"/>
    <mergeCell ref="AC546:AF546"/>
    <mergeCell ref="AE568:AH568"/>
    <mergeCell ref="AI568:AL568"/>
    <mergeCell ref="W565:Y565"/>
    <mergeCell ref="Z568:AD568"/>
    <mergeCell ref="Z567:AD567"/>
    <mergeCell ref="AH536:AK536"/>
    <mergeCell ref="AH537:AK537"/>
    <mergeCell ref="AH549:AK549"/>
    <mergeCell ref="AG617:AH617"/>
    <mergeCell ref="H616:R616"/>
    <mergeCell ref="P615:R615"/>
    <mergeCell ref="AM564:AS564"/>
    <mergeCell ref="B526:H528"/>
    <mergeCell ref="Z578:AK578"/>
    <mergeCell ref="Z580:AK580"/>
    <mergeCell ref="C573:P573"/>
    <mergeCell ref="C574:P574"/>
    <mergeCell ref="C575:P575"/>
    <mergeCell ref="T573:V573"/>
    <mergeCell ref="Z571:AD571"/>
    <mergeCell ref="O532:AA532"/>
    <mergeCell ref="C569:P569"/>
    <mergeCell ref="C570:P570"/>
    <mergeCell ref="AE571:AH571"/>
    <mergeCell ref="W568:Y568"/>
    <mergeCell ref="Q567:S567"/>
    <mergeCell ref="Q568:S568"/>
    <mergeCell ref="AE573:AH573"/>
    <mergeCell ref="AH544:AK544"/>
    <mergeCell ref="AH527:AK527"/>
    <mergeCell ref="AC528:AF528"/>
    <mergeCell ref="T568:V568"/>
    <mergeCell ref="T569:V569"/>
    <mergeCell ref="W571:Y571"/>
    <mergeCell ref="W572:Y572"/>
    <mergeCell ref="W573:Y573"/>
    <mergeCell ref="AC535:AF535"/>
    <mergeCell ref="AI573:AL573"/>
    <mergeCell ref="C564:P564"/>
    <mergeCell ref="C568:P568"/>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I567:AL567"/>
    <mergeCell ref="T570:V570"/>
    <mergeCell ref="Q563:S563"/>
    <mergeCell ref="W567:Y567"/>
    <mergeCell ref="AH534:AK534"/>
    <mergeCell ref="AH542:AK542"/>
    <mergeCell ref="AI570:AL570"/>
    <mergeCell ref="AH553:AK553"/>
    <mergeCell ref="AC547:AF547"/>
    <mergeCell ref="AE563:AH563"/>
    <mergeCell ref="W575:Y575"/>
    <mergeCell ref="AM572:AS572"/>
    <mergeCell ref="AD494:AH494"/>
    <mergeCell ref="AC514:AF514"/>
    <mergeCell ref="AH512:AK512"/>
    <mergeCell ref="AM563:AS56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C516:AF516"/>
    <mergeCell ref="AC531:AF531"/>
    <mergeCell ref="AC533:AF533"/>
    <mergeCell ref="C565:P565"/>
    <mergeCell ref="T571:V571"/>
    <mergeCell ref="T572:V572"/>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BE619:BF61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3"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6" zoomScaleNormal="100" zoomScaleSheetLayoutView="100" workbookViewId="0">
      <selection activeCell="F7" sqref="F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6" t="s">
        <v>656</v>
      </c>
      <c r="G1" s="2587"/>
      <c r="H1" s="2587"/>
      <c r="I1" s="2587"/>
      <c r="J1" s="2587"/>
      <c r="K1" s="2587"/>
      <c r="L1" s="2587"/>
      <c r="M1" s="2587"/>
      <c r="N1" s="2587"/>
      <c r="O1" s="2587"/>
      <c r="P1" s="2587"/>
      <c r="Q1" s="2587"/>
      <c r="R1" s="2588"/>
      <c r="S1" s="168"/>
      <c r="T1" s="167"/>
      <c r="U1" s="169"/>
    </row>
    <row r="2" spans="1:21" s="208" customFormat="1" ht="71.25" customHeight="1">
      <c r="A2" s="207"/>
      <c r="B2" s="208" t="s">
        <v>24</v>
      </c>
      <c r="C2" s="208" t="s">
        <v>392</v>
      </c>
      <c r="D2" s="208" t="s">
        <v>391</v>
      </c>
      <c r="E2" s="208" t="s">
        <v>25</v>
      </c>
      <c r="F2" s="209" t="str">
        <f>Application!B637&amp;Application!C637</f>
        <v>1)US Bank Tax-Exempt Permanent Loan</v>
      </c>
      <c r="G2" s="209" t="str">
        <f>Application!B638&amp;Application!C638</f>
        <v>2)SHRA Loan</v>
      </c>
      <c r="H2" s="209" t="str">
        <f>Application!B639&amp;Application!C639</f>
        <v>3)Wong Center Inc. Loan</v>
      </c>
      <c r="I2" s="209" t="str">
        <f>Application!B640&amp;Application!C640</f>
        <v>4)Impact Fee Waiver</v>
      </c>
      <c r="J2" s="209" t="str">
        <f>Application!B641&amp;Application!C641</f>
        <v>5)Downtown Railyard Venture, LLC Loan</v>
      </c>
      <c r="K2" s="209" t="str">
        <f>Application!B642&amp;Application!C642</f>
        <v>6)Sponsor Loan - SMUD</v>
      </c>
      <c r="L2" s="209" t="str">
        <f>Application!B643&amp;Application!C643</f>
        <v>7)</v>
      </c>
      <c r="M2" s="209" t="str">
        <f>Application!B644&amp;Application!C644</f>
        <v>8)Donated Land</v>
      </c>
      <c r="N2" s="209" t="str">
        <f>Application!B645&amp;Application!C645</f>
        <v>9)GP Equity</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2800000</v>
      </c>
      <c r="C4" s="217">
        <v>2800000</v>
      </c>
      <c r="D4" s="217"/>
      <c r="E4" s="217">
        <f>C4-SUM(F4:Q4)</f>
        <v>100</v>
      </c>
      <c r="F4" s="217"/>
      <c r="G4" s="217"/>
      <c r="H4" s="217"/>
      <c r="I4" s="217"/>
      <c r="J4" s="217"/>
      <c r="K4" s="217"/>
      <c r="L4" s="217"/>
      <c r="M4" s="217">
        <f>M108</f>
        <v>2799900</v>
      </c>
      <c r="N4" s="217"/>
      <c r="O4" s="217"/>
      <c r="P4" s="217"/>
      <c r="Q4" s="217"/>
      <c r="R4" s="879">
        <f>SUM(E4:Q4)</f>
        <v>2800000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2800000</v>
      </c>
      <c r="C8" s="216">
        <f t="shared" ref="C8:Q8" si="1">SUM(C4:C7)</f>
        <v>2800000</v>
      </c>
      <c r="D8" s="216">
        <f t="shared" si="1"/>
        <v>0</v>
      </c>
      <c r="E8" s="216">
        <f t="shared" si="1"/>
        <v>100</v>
      </c>
      <c r="F8" s="216">
        <f t="shared" si="1"/>
        <v>0</v>
      </c>
      <c r="G8" s="216">
        <f t="shared" si="1"/>
        <v>0</v>
      </c>
      <c r="H8" s="216">
        <f t="shared" si="1"/>
        <v>0</v>
      </c>
      <c r="I8" s="216">
        <f t="shared" si="1"/>
        <v>0</v>
      </c>
      <c r="J8" s="216">
        <f t="shared" si="1"/>
        <v>0</v>
      </c>
      <c r="K8" s="216">
        <f t="shared" si="1"/>
        <v>0</v>
      </c>
      <c r="L8" s="216">
        <f t="shared" si="1"/>
        <v>0</v>
      </c>
      <c r="M8" s="216">
        <f t="shared" si="1"/>
        <v>2799900</v>
      </c>
      <c r="N8" s="216">
        <f t="shared" si="1"/>
        <v>0</v>
      </c>
      <c r="O8" s="216">
        <f t="shared" si="1"/>
        <v>0</v>
      </c>
      <c r="P8" s="216"/>
      <c r="Q8" s="216">
        <f t="shared" si="1"/>
        <v>0</v>
      </c>
      <c r="R8" s="534">
        <f>SUM(R4:R7)</f>
        <v>2800000</v>
      </c>
      <c r="S8" s="218"/>
      <c r="T8" s="218"/>
      <c r="U8" s="213"/>
    </row>
    <row r="9" spans="1:21" s="214" customFormat="1">
      <c r="A9" s="215" t="s">
        <v>629</v>
      </c>
      <c r="B9" s="216">
        <f>SUM(C9+D9)</f>
        <v>0</v>
      </c>
      <c r="C9" s="217"/>
      <c r="D9" s="217"/>
      <c r="E9" s="217">
        <f>C9-SUM(F9:Q9)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108250</v>
      </c>
      <c r="C10" s="217">
        <v>108250</v>
      </c>
      <c r="D10" s="217"/>
      <c r="E10" s="217">
        <f t="shared" ref="E10" si="2">C10-SUM(F10:Q10)</f>
        <v>108250</v>
      </c>
      <c r="F10" s="217"/>
      <c r="G10" s="217"/>
      <c r="H10" s="217"/>
      <c r="I10" s="217"/>
      <c r="J10" s="217"/>
      <c r="K10" s="217"/>
      <c r="L10" s="217"/>
      <c r="M10" s="217"/>
      <c r="N10" s="217"/>
      <c r="O10" s="217"/>
      <c r="P10" s="217"/>
      <c r="Q10" s="217"/>
      <c r="R10" s="879">
        <f>SUM(E10:Q10)</f>
        <v>108250</v>
      </c>
      <c r="S10" s="217">
        <f>R10</f>
        <v>108250</v>
      </c>
      <c r="T10" s="217"/>
      <c r="U10" s="213"/>
    </row>
    <row r="11" spans="1:21" s="214" customFormat="1">
      <c r="A11" s="219" t="s">
        <v>631</v>
      </c>
      <c r="B11" s="216">
        <f>SUM(C11:D11)</f>
        <v>108250</v>
      </c>
      <c r="C11" s="216">
        <f t="shared" ref="C11:Q11" si="3">SUM(C9:C10)</f>
        <v>108250</v>
      </c>
      <c r="D11" s="216">
        <f t="shared" si="3"/>
        <v>0</v>
      </c>
      <c r="E11" s="216">
        <f t="shared" si="3"/>
        <v>108250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108250</v>
      </c>
      <c r="S11" s="218"/>
      <c r="T11" s="220">
        <f>SUM(T9:T10)</f>
        <v>0</v>
      </c>
      <c r="U11" s="213"/>
    </row>
    <row r="12" spans="1:21" s="214" customFormat="1">
      <c r="A12" s="219" t="s">
        <v>89</v>
      </c>
      <c r="B12" s="216">
        <f t="shared" ref="B12:Q12" si="4">SUM(B8+B11)</f>
        <v>2908250</v>
      </c>
      <c r="C12" s="216">
        <f t="shared" si="4"/>
        <v>2908250</v>
      </c>
      <c r="D12" s="216">
        <f t="shared" si="4"/>
        <v>0</v>
      </c>
      <c r="E12" s="216">
        <f t="shared" si="4"/>
        <v>108350</v>
      </c>
      <c r="F12" s="216">
        <f t="shared" si="4"/>
        <v>0</v>
      </c>
      <c r="G12" s="216">
        <f t="shared" si="4"/>
        <v>0</v>
      </c>
      <c r="H12" s="216">
        <f t="shared" si="4"/>
        <v>0</v>
      </c>
      <c r="I12" s="216">
        <f t="shared" si="4"/>
        <v>0</v>
      </c>
      <c r="J12" s="216">
        <f t="shared" si="4"/>
        <v>0</v>
      </c>
      <c r="K12" s="216">
        <f t="shared" si="4"/>
        <v>0</v>
      </c>
      <c r="L12" s="216">
        <f t="shared" si="4"/>
        <v>0</v>
      </c>
      <c r="M12" s="216">
        <f t="shared" si="4"/>
        <v>2799900</v>
      </c>
      <c r="N12" s="216">
        <f t="shared" si="4"/>
        <v>0</v>
      </c>
      <c r="O12" s="216">
        <f t="shared" si="4"/>
        <v>0</v>
      </c>
      <c r="P12" s="216"/>
      <c r="Q12" s="216">
        <f t="shared" si="4"/>
        <v>0</v>
      </c>
      <c r="R12" s="534">
        <f>SUM(R8+R11)</f>
        <v>2908250</v>
      </c>
      <c r="S12" s="218"/>
      <c r="T12" s="218"/>
      <c r="U12" s="213"/>
    </row>
    <row r="13" spans="1:21" s="214" customFormat="1">
      <c r="A13" s="449" t="s">
        <v>971</v>
      </c>
      <c r="B13" s="216">
        <f>SUM(C13+D13)</f>
        <v>0</v>
      </c>
      <c r="C13" s="217"/>
      <c r="D13" s="217"/>
      <c r="E13" s="217">
        <f>C13-SUM(F13:Q13)</f>
        <v>0</v>
      </c>
      <c r="F13" s="217"/>
      <c r="G13" s="217"/>
      <c r="H13" s="217"/>
      <c r="I13" s="217"/>
      <c r="J13" s="217"/>
      <c r="K13" s="217"/>
      <c r="L13" s="217"/>
      <c r="M13" s="217"/>
      <c r="N13" s="217"/>
      <c r="O13" s="217"/>
      <c r="P13" s="217"/>
      <c r="Q13" s="217"/>
      <c r="R13" s="879">
        <f>SUM(E13:Q13)</f>
        <v>0</v>
      </c>
      <c r="S13" s="217"/>
      <c r="T13" s="217"/>
      <c r="U13" s="213"/>
    </row>
    <row r="14" spans="1:21" s="214" customFormat="1" ht="24">
      <c r="A14" s="450" t="s">
        <v>1994</v>
      </c>
      <c r="B14" s="216">
        <f>SUM(C14+D14)</f>
        <v>0</v>
      </c>
      <c r="C14" s="217"/>
      <c r="D14" s="217"/>
      <c r="E14" s="217">
        <f t="shared" ref="E14:E15" si="5">C14-SUM(F14:Q14)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f>C17-SUM(F17:Q17)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0</v>
      </c>
      <c r="C18" s="217"/>
      <c r="D18" s="217"/>
      <c r="E18" s="217">
        <f t="shared" ref="E18:E25" si="7">C18-SUM(F18:Q18)</f>
        <v>0</v>
      </c>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6"/>
        <v>0</v>
      </c>
      <c r="C19" s="217"/>
      <c r="D19" s="217"/>
      <c r="E19" s="217">
        <f t="shared" si="7"/>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1991</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3375000</v>
      </c>
      <c r="C29" s="217">
        <v>3375000</v>
      </c>
      <c r="D29" s="217"/>
      <c r="E29" s="217">
        <f>C29-SUM(F29:Q29)</f>
        <v>3375000</v>
      </c>
      <c r="F29" s="217"/>
      <c r="G29" s="217"/>
      <c r="H29" s="217"/>
      <c r="I29" s="217"/>
      <c r="J29" s="217"/>
      <c r="K29" s="217"/>
      <c r="L29" s="217"/>
      <c r="M29" s="217"/>
      <c r="N29" s="217"/>
      <c r="O29" s="217"/>
      <c r="P29" s="217"/>
      <c r="Q29" s="217"/>
      <c r="R29" s="879">
        <f t="shared" ref="R29:R37" si="11">SUM(E29:Q29)</f>
        <v>3375000</v>
      </c>
      <c r="S29" s="217">
        <f>R29</f>
        <v>3375000</v>
      </c>
      <c r="T29" s="217"/>
      <c r="U29" s="213"/>
    </row>
    <row r="30" spans="1:21" s="214" customFormat="1">
      <c r="A30" s="215" t="s">
        <v>634</v>
      </c>
      <c r="B30" s="216">
        <f t="shared" si="10"/>
        <v>27480153</v>
      </c>
      <c r="C30" s="217">
        <f>27006153+474000</f>
        <v>27480153</v>
      </c>
      <c r="D30" s="217"/>
      <c r="E30" s="217">
        <f t="shared" ref="E30:E37" si="12">C30-SUM(F30:Q30)</f>
        <v>3244653</v>
      </c>
      <c r="F30" s="217">
        <f>F108</f>
        <v>5613000</v>
      </c>
      <c r="G30" s="217">
        <f>G108</f>
        <v>3500000</v>
      </c>
      <c r="H30" s="217">
        <f>H108</f>
        <v>12800000</v>
      </c>
      <c r="I30" s="217"/>
      <c r="J30" s="217">
        <f>J108</f>
        <v>2228000</v>
      </c>
      <c r="K30" s="217">
        <f>K108</f>
        <v>94500</v>
      </c>
      <c r="L30" s="217"/>
      <c r="M30" s="217"/>
      <c r="N30" s="217"/>
      <c r="O30" s="217"/>
      <c r="P30" s="217"/>
      <c r="Q30" s="217"/>
      <c r="R30" s="879">
        <f t="shared" si="11"/>
        <v>27480153</v>
      </c>
      <c r="S30" s="217">
        <f t="shared" ref="S30:S37" si="13">R30</f>
        <v>27480153</v>
      </c>
      <c r="T30" s="217"/>
      <c r="U30" s="213"/>
    </row>
    <row r="31" spans="1:21" s="214" customFormat="1">
      <c r="A31" s="215" t="s">
        <v>635</v>
      </c>
      <c r="B31" s="216">
        <f t="shared" si="10"/>
        <v>1560000</v>
      </c>
      <c r="C31" s="217">
        <v>1560000</v>
      </c>
      <c r="D31" s="217"/>
      <c r="E31" s="217">
        <f t="shared" si="12"/>
        <v>1560000</v>
      </c>
      <c r="F31" s="217"/>
      <c r="G31" s="217"/>
      <c r="H31" s="217"/>
      <c r="I31" s="217"/>
      <c r="J31" s="217"/>
      <c r="K31" s="217"/>
      <c r="L31" s="217"/>
      <c r="M31" s="217"/>
      <c r="N31" s="217"/>
      <c r="O31" s="217"/>
      <c r="P31" s="217"/>
      <c r="Q31" s="217"/>
      <c r="R31" s="879">
        <f t="shared" si="11"/>
        <v>1560000</v>
      </c>
      <c r="S31" s="217">
        <f t="shared" si="13"/>
        <v>1560000</v>
      </c>
      <c r="T31" s="217"/>
      <c r="U31" s="213"/>
    </row>
    <row r="32" spans="1:21" s="214" customFormat="1">
      <c r="A32" s="215" t="s">
        <v>142</v>
      </c>
      <c r="B32" s="216">
        <f t="shared" si="10"/>
        <v>793500</v>
      </c>
      <c r="C32" s="217">
        <f>1587000/2</f>
        <v>793500</v>
      </c>
      <c r="D32" s="217"/>
      <c r="E32" s="217">
        <f t="shared" si="12"/>
        <v>793500</v>
      </c>
      <c r="F32" s="217"/>
      <c r="G32" s="217"/>
      <c r="H32" s="217"/>
      <c r="I32" s="217"/>
      <c r="J32" s="217"/>
      <c r="K32" s="217"/>
      <c r="L32" s="217"/>
      <c r="M32" s="217"/>
      <c r="N32" s="217"/>
      <c r="O32" s="217"/>
      <c r="P32" s="217"/>
      <c r="Q32" s="217"/>
      <c r="R32" s="879">
        <f t="shared" si="11"/>
        <v>793500</v>
      </c>
      <c r="S32" s="217">
        <f t="shared" si="13"/>
        <v>793500</v>
      </c>
      <c r="T32" s="217"/>
      <c r="U32" s="213"/>
    </row>
    <row r="33" spans="1:21" s="214" customFormat="1">
      <c r="A33" s="215" t="s">
        <v>143</v>
      </c>
      <c r="B33" s="216">
        <f t="shared" si="10"/>
        <v>793500</v>
      </c>
      <c r="C33" s="217">
        <f>C32</f>
        <v>793500</v>
      </c>
      <c r="D33" s="217"/>
      <c r="E33" s="217">
        <f t="shared" si="12"/>
        <v>793500</v>
      </c>
      <c r="F33" s="217"/>
      <c r="G33" s="217"/>
      <c r="H33" s="217"/>
      <c r="I33" s="217"/>
      <c r="J33" s="217"/>
      <c r="K33" s="217"/>
      <c r="L33" s="217"/>
      <c r="M33" s="217"/>
      <c r="N33" s="217"/>
      <c r="O33" s="217"/>
      <c r="P33" s="217"/>
      <c r="Q33" s="217"/>
      <c r="R33" s="879">
        <f t="shared" si="11"/>
        <v>793500</v>
      </c>
      <c r="S33" s="217">
        <f t="shared" si="13"/>
        <v>793500</v>
      </c>
      <c r="T33" s="217"/>
      <c r="U33" s="213"/>
    </row>
    <row r="34" spans="1:21" s="214" customFormat="1">
      <c r="A34" s="215" t="s">
        <v>144</v>
      </c>
      <c r="B34" s="216">
        <f t="shared" si="10"/>
        <v>0</v>
      </c>
      <c r="C34" s="217"/>
      <c r="D34" s="217"/>
      <c r="E34" s="217">
        <f t="shared" si="12"/>
        <v>0</v>
      </c>
      <c r="F34" s="217"/>
      <c r="G34" s="217"/>
      <c r="H34" s="217"/>
      <c r="I34" s="217"/>
      <c r="J34" s="217"/>
      <c r="K34" s="217"/>
      <c r="L34" s="217"/>
      <c r="M34" s="217"/>
      <c r="N34" s="217"/>
      <c r="O34" s="217"/>
      <c r="P34" s="217"/>
      <c r="Q34" s="217"/>
      <c r="R34" s="879">
        <f t="shared" si="11"/>
        <v>0</v>
      </c>
      <c r="S34" s="217">
        <f t="shared" si="13"/>
        <v>0</v>
      </c>
      <c r="T34" s="217"/>
      <c r="U34" s="213"/>
    </row>
    <row r="35" spans="1:21" s="214" customFormat="1">
      <c r="A35" s="215" t="s">
        <v>145</v>
      </c>
      <c r="B35" s="216">
        <f t="shared" si="10"/>
        <v>500000</v>
      </c>
      <c r="C35" s="217">
        <v>500000</v>
      </c>
      <c r="D35" s="217"/>
      <c r="E35" s="217">
        <f t="shared" si="12"/>
        <v>500000</v>
      </c>
      <c r="F35" s="217"/>
      <c r="G35" s="217"/>
      <c r="H35" s="217"/>
      <c r="I35" s="217"/>
      <c r="J35" s="217"/>
      <c r="K35" s="217"/>
      <c r="L35" s="217"/>
      <c r="M35" s="217"/>
      <c r="N35" s="217"/>
      <c r="O35" s="217"/>
      <c r="P35" s="217"/>
      <c r="Q35" s="217"/>
      <c r="R35" s="879">
        <f t="shared" si="11"/>
        <v>500000</v>
      </c>
      <c r="S35" s="217">
        <f t="shared" si="13"/>
        <v>500000</v>
      </c>
      <c r="T35" s="217"/>
      <c r="U35" s="213"/>
    </row>
    <row r="36" spans="1:21" s="214" customFormat="1">
      <c r="A36" s="1808" t="s">
        <v>1991</v>
      </c>
      <c r="B36" s="216">
        <f t="shared" si="10"/>
        <v>0</v>
      </c>
      <c r="C36" s="217"/>
      <c r="D36" s="217"/>
      <c r="E36" s="217">
        <f t="shared" si="12"/>
        <v>0</v>
      </c>
      <c r="F36" s="217"/>
      <c r="G36" s="217"/>
      <c r="H36" s="217"/>
      <c r="I36" s="217"/>
      <c r="J36" s="217"/>
      <c r="K36" s="217"/>
      <c r="L36" s="217"/>
      <c r="M36" s="217"/>
      <c r="N36" s="217"/>
      <c r="O36" s="217"/>
      <c r="P36" s="217"/>
      <c r="Q36" s="217"/>
      <c r="R36" s="879">
        <f t="shared" si="11"/>
        <v>0</v>
      </c>
      <c r="S36" s="217">
        <f t="shared" si="13"/>
        <v>0</v>
      </c>
      <c r="T36" s="217"/>
      <c r="U36" s="213"/>
    </row>
    <row r="37" spans="1:21" s="214" customFormat="1">
      <c r="A37" s="1870" t="s">
        <v>2633</v>
      </c>
      <c r="B37" s="216">
        <f t="shared" si="10"/>
        <v>113200</v>
      </c>
      <c r="C37" s="217">
        <v>113200</v>
      </c>
      <c r="D37" s="217"/>
      <c r="E37" s="217">
        <f t="shared" si="12"/>
        <v>113200</v>
      </c>
      <c r="F37" s="217"/>
      <c r="G37" s="217"/>
      <c r="H37" s="217"/>
      <c r="I37" s="217"/>
      <c r="J37" s="217"/>
      <c r="K37" s="217"/>
      <c r="L37" s="217"/>
      <c r="M37" s="217"/>
      <c r="N37" s="217"/>
      <c r="O37" s="217"/>
      <c r="P37" s="217"/>
      <c r="Q37" s="217"/>
      <c r="R37" s="879">
        <f t="shared" si="11"/>
        <v>113200</v>
      </c>
      <c r="S37" s="217">
        <f t="shared" si="13"/>
        <v>113200</v>
      </c>
      <c r="T37" s="217"/>
      <c r="U37" s="213"/>
    </row>
    <row r="38" spans="1:21" s="214" customFormat="1">
      <c r="A38" s="219" t="s">
        <v>148</v>
      </c>
      <c r="B38" s="216">
        <f t="shared" si="10"/>
        <v>34615353</v>
      </c>
      <c r="C38" s="216">
        <f>SUM(C29:C37)</f>
        <v>34615353</v>
      </c>
      <c r="D38" s="216">
        <f t="shared" ref="D38:Q38" si="14">SUM(D29:D37)</f>
        <v>0</v>
      </c>
      <c r="E38" s="216">
        <f t="shared" si="14"/>
        <v>10379853</v>
      </c>
      <c r="F38" s="216">
        <f t="shared" si="14"/>
        <v>5613000</v>
      </c>
      <c r="G38" s="216">
        <f t="shared" si="14"/>
        <v>3500000</v>
      </c>
      <c r="H38" s="216">
        <f t="shared" si="14"/>
        <v>12800000</v>
      </c>
      <c r="I38" s="216">
        <f t="shared" si="14"/>
        <v>0</v>
      </c>
      <c r="J38" s="216">
        <f t="shared" si="14"/>
        <v>2228000</v>
      </c>
      <c r="K38" s="216">
        <f t="shared" si="14"/>
        <v>94500</v>
      </c>
      <c r="L38" s="216">
        <f t="shared" si="14"/>
        <v>0</v>
      </c>
      <c r="M38" s="216">
        <f t="shared" si="14"/>
        <v>0</v>
      </c>
      <c r="N38" s="216">
        <f t="shared" si="14"/>
        <v>0</v>
      </c>
      <c r="O38" s="216">
        <f t="shared" si="14"/>
        <v>0</v>
      </c>
      <c r="P38" s="216">
        <f t="shared" si="14"/>
        <v>0</v>
      </c>
      <c r="Q38" s="216">
        <f t="shared" si="14"/>
        <v>0</v>
      </c>
      <c r="R38" s="534">
        <f>SUM(R29:R37)</f>
        <v>34615353</v>
      </c>
      <c r="S38" s="220">
        <f>SUM(S29:S37)</f>
        <v>34615353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1289244</v>
      </c>
      <c r="C40" s="217">
        <v>1289244</v>
      </c>
      <c r="D40" s="217"/>
      <c r="E40" s="217">
        <f>C40-SUM(F40:Q40)</f>
        <v>1289244</v>
      </c>
      <c r="F40" s="217"/>
      <c r="G40" s="217"/>
      <c r="H40" s="217"/>
      <c r="I40" s="217"/>
      <c r="J40" s="217"/>
      <c r="K40" s="217"/>
      <c r="L40" s="217"/>
      <c r="M40" s="217"/>
      <c r="N40" s="217"/>
      <c r="O40" s="217"/>
      <c r="P40" s="217"/>
      <c r="Q40" s="217"/>
      <c r="R40" s="879">
        <f>SUM(E40:Q40)</f>
        <v>1289244</v>
      </c>
      <c r="S40" s="217">
        <f>R40</f>
        <v>1289244</v>
      </c>
      <c r="T40" s="217"/>
      <c r="U40" s="213"/>
    </row>
    <row r="41" spans="1:21" s="214" customFormat="1">
      <c r="A41" s="215" t="s">
        <v>151</v>
      </c>
      <c r="B41" s="216">
        <f>SUM(C41+D41)</f>
        <v>0</v>
      </c>
      <c r="C41" s="217"/>
      <c r="D41" s="217"/>
      <c r="E41" s="217">
        <f>C41-SUM(F41:Q41)</f>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1289244</v>
      </c>
      <c r="C42" s="216">
        <f>SUM(C39:C41)</f>
        <v>1289244</v>
      </c>
      <c r="D42" s="216">
        <f>SUM(D39:D41)</f>
        <v>0</v>
      </c>
      <c r="E42" s="216">
        <f t="shared" ref="E42:T42" si="15">SUM(E40:E41)</f>
        <v>1289244</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1289244</v>
      </c>
      <c r="S42" s="220">
        <f t="shared" si="15"/>
        <v>1289244</v>
      </c>
      <c r="T42" s="220">
        <f t="shared" si="15"/>
        <v>0</v>
      </c>
      <c r="U42" s="213"/>
    </row>
    <row r="43" spans="1:21" s="214" customFormat="1">
      <c r="A43" s="219" t="s">
        <v>153</v>
      </c>
      <c r="B43" s="216">
        <f>SUM(C43:D43)</f>
        <v>0</v>
      </c>
      <c r="C43" s="217"/>
      <c r="D43" s="217"/>
      <c r="E43" s="217">
        <f>C43-SUM(F43:Q43)</f>
        <v>0</v>
      </c>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1249356</v>
      </c>
      <c r="C45" s="217">
        <v>1249356</v>
      </c>
      <c r="D45" s="217"/>
      <c r="E45" s="217">
        <f>C45-SUM(F45:Q45)</f>
        <v>1249356</v>
      </c>
      <c r="F45" s="217"/>
      <c r="G45" s="217"/>
      <c r="H45" s="217"/>
      <c r="I45" s="217"/>
      <c r="J45" s="217"/>
      <c r="K45" s="217"/>
      <c r="L45" s="217"/>
      <c r="M45" s="217"/>
      <c r="N45" s="217"/>
      <c r="O45" s="217"/>
      <c r="P45" s="217"/>
      <c r="Q45" s="217"/>
      <c r="R45" s="879">
        <f t="shared" ref="R45:R53" si="17">SUM(E45:Q45)</f>
        <v>1249356</v>
      </c>
      <c r="S45" s="217">
        <v>654426</v>
      </c>
      <c r="T45" s="217"/>
      <c r="U45" s="213"/>
    </row>
    <row r="46" spans="1:21" s="214" customFormat="1">
      <c r="A46" s="215" t="s">
        <v>156</v>
      </c>
      <c r="B46" s="216">
        <f t="shared" si="16"/>
        <v>199790</v>
      </c>
      <c r="C46" s="217">
        <v>199790</v>
      </c>
      <c r="D46" s="217"/>
      <c r="E46" s="217">
        <f t="shared" ref="E46:E53" si="18">C46-SUM(F46:Q46)</f>
        <v>199790</v>
      </c>
      <c r="F46" s="217"/>
      <c r="G46" s="217"/>
      <c r="H46" s="217"/>
      <c r="I46" s="217"/>
      <c r="J46" s="217"/>
      <c r="K46" s="217"/>
      <c r="L46" s="217"/>
      <c r="M46" s="217"/>
      <c r="N46" s="217"/>
      <c r="O46" s="217"/>
      <c r="P46" s="217"/>
      <c r="Q46" s="217"/>
      <c r="R46" s="879">
        <f t="shared" si="17"/>
        <v>199790</v>
      </c>
      <c r="S46" s="217">
        <v>104652</v>
      </c>
      <c r="T46" s="217"/>
      <c r="U46" s="213"/>
    </row>
    <row r="47" spans="1:21" s="214" customFormat="1">
      <c r="A47" s="297" t="s">
        <v>157</v>
      </c>
      <c r="B47" s="216">
        <f t="shared" si="16"/>
        <v>0</v>
      </c>
      <c r="C47" s="217"/>
      <c r="D47" s="217"/>
      <c r="E47" s="217">
        <f t="shared" si="18"/>
        <v>0</v>
      </c>
      <c r="F47" s="217"/>
      <c r="G47" s="217"/>
      <c r="H47" s="217"/>
      <c r="I47" s="217"/>
      <c r="J47" s="217"/>
      <c r="K47" s="217"/>
      <c r="L47" s="217"/>
      <c r="M47" s="217"/>
      <c r="N47" s="217"/>
      <c r="O47" s="217"/>
      <c r="P47" s="217"/>
      <c r="Q47" s="217"/>
      <c r="R47" s="879">
        <f t="shared" si="17"/>
        <v>0</v>
      </c>
      <c r="S47" s="217"/>
      <c r="T47" s="217"/>
      <c r="U47" s="213"/>
    </row>
    <row r="48" spans="1:21" s="214" customFormat="1">
      <c r="A48" s="215" t="s">
        <v>158</v>
      </c>
      <c r="B48" s="216">
        <f t="shared" si="16"/>
        <v>0</v>
      </c>
      <c r="C48" s="217"/>
      <c r="D48" s="217"/>
      <c r="E48" s="217">
        <f t="shared" si="18"/>
        <v>0</v>
      </c>
      <c r="F48" s="217"/>
      <c r="G48" s="217"/>
      <c r="H48" s="217"/>
      <c r="I48" s="217"/>
      <c r="J48" s="217"/>
      <c r="K48" s="217"/>
      <c r="L48" s="217"/>
      <c r="M48" s="217"/>
      <c r="N48" s="217"/>
      <c r="O48" s="217"/>
      <c r="P48" s="217"/>
      <c r="Q48" s="217"/>
      <c r="R48" s="879">
        <f t="shared" si="17"/>
        <v>0</v>
      </c>
      <c r="S48" s="217"/>
      <c r="T48" s="217"/>
      <c r="U48" s="213"/>
    </row>
    <row r="49" spans="1:21" s="214" customFormat="1">
      <c r="A49" s="215" t="s">
        <v>60</v>
      </c>
      <c r="B49" s="216">
        <f t="shared" si="16"/>
        <v>214698</v>
      </c>
      <c r="C49" s="217">
        <f>60000+15000+2500+51597+53277+8000+9324+5000+10000</f>
        <v>214698</v>
      </c>
      <c r="D49" s="217"/>
      <c r="E49" s="217">
        <f t="shared" si="18"/>
        <v>214698</v>
      </c>
      <c r="F49" s="217"/>
      <c r="G49" s="217"/>
      <c r="H49" s="217"/>
      <c r="I49" s="217"/>
      <c r="J49" s="217"/>
      <c r="K49" s="217"/>
      <c r="L49" s="217"/>
      <c r="M49" s="217"/>
      <c r="N49" s="217"/>
      <c r="O49" s="217"/>
      <c r="P49" s="217"/>
      <c r="Q49" s="217"/>
      <c r="R49" s="879">
        <f t="shared" si="17"/>
        <v>214698</v>
      </c>
      <c r="S49" s="217"/>
      <c r="T49" s="217"/>
      <c r="U49" s="213"/>
    </row>
    <row r="50" spans="1:21" s="214" customFormat="1">
      <c r="A50" s="215" t="s">
        <v>161</v>
      </c>
      <c r="B50" s="216">
        <f t="shared" si="16"/>
        <v>65000</v>
      </c>
      <c r="C50" s="217">
        <v>65000</v>
      </c>
      <c r="D50" s="217"/>
      <c r="E50" s="217">
        <f t="shared" si="18"/>
        <v>65000</v>
      </c>
      <c r="F50" s="217"/>
      <c r="G50" s="217"/>
      <c r="H50" s="217"/>
      <c r="I50" s="217"/>
      <c r="J50" s="217"/>
      <c r="K50" s="217"/>
      <c r="L50" s="217"/>
      <c r="M50" s="217"/>
      <c r="N50" s="217"/>
      <c r="O50" s="217"/>
      <c r="P50" s="217"/>
      <c r="Q50" s="217"/>
      <c r="R50" s="879">
        <f t="shared" si="17"/>
        <v>65000</v>
      </c>
      <c r="S50" s="217">
        <f>R50</f>
        <v>65000</v>
      </c>
      <c r="T50" s="217"/>
      <c r="U50" s="213"/>
    </row>
    <row r="51" spans="1:21" s="214" customFormat="1">
      <c r="A51" s="440" t="s">
        <v>159</v>
      </c>
      <c r="B51" s="216">
        <f t="shared" si="16"/>
        <v>90000</v>
      </c>
      <c r="C51" s="217">
        <v>90000</v>
      </c>
      <c r="D51" s="217"/>
      <c r="E51" s="217">
        <f t="shared" si="18"/>
        <v>90000</v>
      </c>
      <c r="F51" s="217"/>
      <c r="G51" s="217"/>
      <c r="H51" s="217"/>
      <c r="I51" s="217"/>
      <c r="J51" s="217"/>
      <c r="K51" s="217"/>
      <c r="L51" s="217"/>
      <c r="M51" s="217"/>
      <c r="N51" s="217"/>
      <c r="O51" s="217"/>
      <c r="P51" s="217"/>
      <c r="Q51" s="217"/>
      <c r="R51" s="879">
        <f t="shared" si="17"/>
        <v>90000</v>
      </c>
      <c r="S51" s="217">
        <f>R51</f>
        <v>90000</v>
      </c>
      <c r="T51" s="217"/>
      <c r="U51" s="213"/>
    </row>
    <row r="52" spans="1:21" s="214" customFormat="1">
      <c r="A52" s="215" t="s">
        <v>160</v>
      </c>
      <c r="B52" s="216">
        <f t="shared" si="16"/>
        <v>407000</v>
      </c>
      <c r="C52" s="217">
        <v>407000</v>
      </c>
      <c r="D52" s="217"/>
      <c r="E52" s="217">
        <f t="shared" si="18"/>
        <v>407000</v>
      </c>
      <c r="F52" s="217"/>
      <c r="G52" s="217"/>
      <c r="H52" s="217"/>
      <c r="I52" s="217"/>
      <c r="J52" s="217"/>
      <c r="K52" s="217"/>
      <c r="L52" s="217"/>
      <c r="M52" s="217"/>
      <c r="N52" s="217"/>
      <c r="O52" s="217"/>
      <c r="P52" s="217"/>
      <c r="Q52" s="217"/>
      <c r="R52" s="879">
        <f t="shared" si="17"/>
        <v>407000</v>
      </c>
      <c r="S52" s="217">
        <f>R52</f>
        <v>407000</v>
      </c>
      <c r="T52" s="217"/>
      <c r="U52" s="213"/>
    </row>
    <row r="53" spans="1:21" s="214" customFormat="1">
      <c r="A53" s="1870" t="s">
        <v>2634</v>
      </c>
      <c r="B53" s="216">
        <f t="shared" si="16"/>
        <v>40000</v>
      </c>
      <c r="C53" s="217">
        <f>40000</f>
        <v>40000</v>
      </c>
      <c r="D53" s="217"/>
      <c r="E53" s="217">
        <f t="shared" si="18"/>
        <v>40000</v>
      </c>
      <c r="F53" s="217"/>
      <c r="G53" s="217"/>
      <c r="H53" s="217"/>
      <c r="I53" s="217"/>
      <c r="J53" s="217"/>
      <c r="K53" s="217"/>
      <c r="L53" s="217"/>
      <c r="M53" s="217"/>
      <c r="N53" s="217"/>
      <c r="O53" s="217"/>
      <c r="P53" s="217"/>
      <c r="Q53" s="217"/>
      <c r="R53" s="879">
        <f t="shared" si="17"/>
        <v>40000</v>
      </c>
      <c r="S53" s="217">
        <v>20952</v>
      </c>
      <c r="T53" s="217"/>
      <c r="U53" s="213"/>
    </row>
    <row r="54" spans="1:21" s="224" customFormat="1">
      <c r="A54" s="219" t="s">
        <v>162</v>
      </c>
      <c r="B54" s="220">
        <f>SUM(C54:D54)</f>
        <v>2265844</v>
      </c>
      <c r="C54" s="220">
        <f t="shared" ref="C54:T54" si="19">SUM(C45:C53)</f>
        <v>2265844</v>
      </c>
      <c r="D54" s="220">
        <f t="shared" si="19"/>
        <v>0</v>
      </c>
      <c r="E54" s="220">
        <f t="shared" si="19"/>
        <v>2265844</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2265844</v>
      </c>
      <c r="S54" s="220">
        <f t="shared" si="19"/>
        <v>1342030</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42098</v>
      </c>
      <c r="C56" s="217">
        <v>42098</v>
      </c>
      <c r="D56" s="217"/>
      <c r="E56" s="217">
        <f>C56-SUM(F56:Q56)</f>
        <v>42098</v>
      </c>
      <c r="F56" s="217"/>
      <c r="G56" s="217"/>
      <c r="H56" s="217"/>
      <c r="I56" s="217"/>
      <c r="J56" s="217"/>
      <c r="K56" s="217"/>
      <c r="L56" s="217"/>
      <c r="M56" s="217"/>
      <c r="N56" s="217"/>
      <c r="O56" s="217"/>
      <c r="P56" s="217"/>
      <c r="Q56" s="217"/>
      <c r="R56" s="879">
        <f t="shared" ref="R56:R61" si="21">SUM(E56:Q56)</f>
        <v>42098</v>
      </c>
      <c r="S56" s="218"/>
      <c r="T56" s="218"/>
      <c r="U56" s="213"/>
    </row>
    <row r="57" spans="1:21" s="303" customFormat="1">
      <c r="A57" s="297" t="s">
        <v>157</v>
      </c>
      <c r="B57" s="304">
        <f t="shared" si="20"/>
        <v>0</v>
      </c>
      <c r="C57" s="301"/>
      <c r="D57" s="301"/>
      <c r="E57" s="217">
        <f t="shared" ref="E57:E61" si="22">C57-SUM(F57:Q57)</f>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20"/>
        <v>30000</v>
      </c>
      <c r="C58" s="217">
        <v>30000</v>
      </c>
      <c r="D58" s="217"/>
      <c r="E58" s="217">
        <f t="shared" si="22"/>
        <v>30000</v>
      </c>
      <c r="F58" s="217"/>
      <c r="G58" s="217"/>
      <c r="H58" s="217"/>
      <c r="I58" s="217"/>
      <c r="J58" s="217"/>
      <c r="K58" s="217"/>
      <c r="L58" s="217"/>
      <c r="M58" s="217"/>
      <c r="N58" s="217"/>
      <c r="O58" s="217"/>
      <c r="P58" s="217"/>
      <c r="Q58" s="217"/>
      <c r="R58" s="879">
        <f t="shared" si="21"/>
        <v>30000</v>
      </c>
      <c r="S58" s="218"/>
      <c r="T58" s="218"/>
      <c r="U58" s="213"/>
    </row>
    <row r="59" spans="1:21" s="214" customFormat="1">
      <c r="A59" s="440" t="s">
        <v>159</v>
      </c>
      <c r="B59" s="216">
        <f t="shared" si="20"/>
        <v>0</v>
      </c>
      <c r="C59" s="217"/>
      <c r="D59" s="217"/>
      <c r="E59" s="217">
        <f t="shared" si="22"/>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20"/>
        <v>0</v>
      </c>
      <c r="C60" s="217"/>
      <c r="D60" s="217"/>
      <c r="E60" s="217">
        <f t="shared" si="22"/>
        <v>0</v>
      </c>
      <c r="F60" s="217"/>
      <c r="G60" s="217"/>
      <c r="H60" s="217"/>
      <c r="I60" s="217"/>
      <c r="J60" s="217"/>
      <c r="K60" s="217"/>
      <c r="L60" s="217"/>
      <c r="M60" s="217"/>
      <c r="N60" s="217"/>
      <c r="O60" s="217"/>
      <c r="P60" s="217"/>
      <c r="Q60" s="217"/>
      <c r="R60" s="879">
        <f t="shared" si="21"/>
        <v>0</v>
      </c>
      <c r="S60" s="218"/>
      <c r="T60" s="218"/>
      <c r="U60" s="213"/>
    </row>
    <row r="61" spans="1:21" s="214" customFormat="1">
      <c r="A61" s="1870" t="s">
        <v>2635</v>
      </c>
      <c r="B61" s="216">
        <f t="shared" si="20"/>
        <v>10000</v>
      </c>
      <c r="C61" s="217">
        <v>10000</v>
      </c>
      <c r="D61" s="217"/>
      <c r="E61" s="217">
        <f t="shared" si="22"/>
        <v>10000</v>
      </c>
      <c r="F61" s="217"/>
      <c r="G61" s="217"/>
      <c r="H61" s="217"/>
      <c r="I61" s="217"/>
      <c r="J61" s="217"/>
      <c r="K61" s="217"/>
      <c r="L61" s="217"/>
      <c r="M61" s="217"/>
      <c r="N61" s="217"/>
      <c r="O61" s="217"/>
      <c r="P61" s="217"/>
      <c r="Q61" s="217"/>
      <c r="R61" s="879">
        <f t="shared" si="21"/>
        <v>10000</v>
      </c>
      <c r="S61" s="218"/>
      <c r="T61" s="218"/>
      <c r="U61" s="213"/>
    </row>
    <row r="62" spans="1:21" s="214" customFormat="1" ht="13.7" customHeight="1">
      <c r="A62" s="219" t="s">
        <v>309</v>
      </c>
      <c r="B62" s="216">
        <f>SUM(C62:D62)</f>
        <v>82098</v>
      </c>
      <c r="C62" s="216">
        <f t="shared" ref="C62:R62" si="23">SUM(C56:C61)</f>
        <v>82098</v>
      </c>
      <c r="D62" s="216">
        <f t="shared" si="23"/>
        <v>0</v>
      </c>
      <c r="E62" s="216">
        <f t="shared" si="23"/>
        <v>82098</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82098</v>
      </c>
      <c r="S62" s="218"/>
      <c r="T62" s="218"/>
      <c r="U62" s="213"/>
    </row>
    <row r="63" spans="1:21" s="214" customFormat="1">
      <c r="A63" s="225" t="s">
        <v>310</v>
      </c>
      <c r="B63" s="216">
        <f t="shared" ref="B63:R63" si="24">SUM(B8+B11+B13+B14+B15+B26+B27+B38+B42+B43+B54+B62)</f>
        <v>41160789</v>
      </c>
      <c r="C63" s="216">
        <f t="shared" si="24"/>
        <v>41160789</v>
      </c>
      <c r="D63" s="216">
        <f t="shared" si="24"/>
        <v>0</v>
      </c>
      <c r="E63" s="216">
        <f t="shared" si="24"/>
        <v>14125389</v>
      </c>
      <c r="F63" s="216">
        <f t="shared" si="24"/>
        <v>5613000</v>
      </c>
      <c r="G63" s="216">
        <f t="shared" si="24"/>
        <v>3500000</v>
      </c>
      <c r="H63" s="216">
        <f t="shared" si="24"/>
        <v>12800000</v>
      </c>
      <c r="I63" s="216">
        <f t="shared" si="24"/>
        <v>0</v>
      </c>
      <c r="J63" s="216">
        <f t="shared" si="24"/>
        <v>2228000</v>
      </c>
      <c r="K63" s="216">
        <f t="shared" si="24"/>
        <v>94500</v>
      </c>
      <c r="L63" s="216">
        <f t="shared" si="24"/>
        <v>0</v>
      </c>
      <c r="M63" s="216">
        <f t="shared" si="24"/>
        <v>2799900</v>
      </c>
      <c r="N63" s="216">
        <f t="shared" si="24"/>
        <v>0</v>
      </c>
      <c r="O63" s="216">
        <f t="shared" si="24"/>
        <v>0</v>
      </c>
      <c r="P63" s="216">
        <f t="shared" si="24"/>
        <v>0</v>
      </c>
      <c r="Q63" s="216">
        <f t="shared" si="24"/>
        <v>0</v>
      </c>
      <c r="R63" s="534">
        <f t="shared" si="24"/>
        <v>41160789</v>
      </c>
      <c r="S63" s="216">
        <f>SUM(S10+S13+S14+S15+S26+S27+S38+S42+S43+S54)</f>
        <v>37354877</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50000+25000</f>
        <v>75000</v>
      </c>
      <c r="D65" s="217"/>
      <c r="E65" s="217">
        <f>C65-SUM(F65:Q65)</f>
        <v>75000</v>
      </c>
      <c r="F65" s="217"/>
      <c r="G65" s="217"/>
      <c r="H65" s="217"/>
      <c r="I65" s="217"/>
      <c r="J65" s="217"/>
      <c r="K65" s="217"/>
      <c r="L65" s="217"/>
      <c r="M65" s="217"/>
      <c r="N65" s="217"/>
      <c r="O65" s="217"/>
      <c r="P65" s="217"/>
      <c r="Q65" s="217"/>
      <c r="R65" s="879">
        <f>SUM(E65:Q65)</f>
        <v>75000</v>
      </c>
      <c r="S65" s="217">
        <v>26190</v>
      </c>
      <c r="T65" s="217"/>
      <c r="U65" s="213"/>
    </row>
    <row r="66" spans="1:21" s="214" customFormat="1" ht="24" customHeight="1">
      <c r="A66" s="440" t="s">
        <v>1992</v>
      </c>
      <c r="B66" s="216">
        <f t="shared" ref="B66:B69" si="25">SUM(C66+D66)</f>
        <v>0</v>
      </c>
      <c r="C66" s="217"/>
      <c r="D66" s="217"/>
      <c r="E66" s="217">
        <f>C66-SUM(F66:Q66)</f>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1993</v>
      </c>
      <c r="B67" s="216">
        <f t="shared" si="25"/>
        <v>21987</v>
      </c>
      <c r="C67" s="217">
        <v>21987</v>
      </c>
      <c r="D67" s="217"/>
      <c r="E67" s="217">
        <f>C67-SUM(F67:Q67)</f>
        <v>21987</v>
      </c>
      <c r="F67" s="217"/>
      <c r="G67" s="217"/>
      <c r="H67" s="217"/>
      <c r="I67" s="217"/>
      <c r="J67" s="217"/>
      <c r="K67" s="217"/>
      <c r="L67" s="217"/>
      <c r="M67" s="217"/>
      <c r="N67" s="217"/>
      <c r="O67" s="217"/>
      <c r="P67" s="217"/>
      <c r="Q67" s="217"/>
      <c r="R67" s="879">
        <f t="shared" si="26"/>
        <v>21987</v>
      </c>
      <c r="S67" s="217">
        <f>R67</f>
        <v>21987</v>
      </c>
      <c r="T67" s="217"/>
      <c r="U67" s="213"/>
    </row>
    <row r="68" spans="1:21" s="214" customFormat="1" ht="12" customHeight="1">
      <c r="A68" s="440" t="s">
        <v>1999</v>
      </c>
      <c r="B68" s="216">
        <f t="shared" si="25"/>
        <v>0</v>
      </c>
      <c r="C68" s="217"/>
      <c r="D68" s="217"/>
      <c r="E68" s="217">
        <f>C68-SUM(F68:Q68)</f>
        <v>0</v>
      </c>
      <c r="F68" s="217"/>
      <c r="G68" s="217"/>
      <c r="H68" s="217"/>
      <c r="I68" s="217"/>
      <c r="J68" s="217"/>
      <c r="K68" s="217"/>
      <c r="L68" s="217"/>
      <c r="M68" s="217"/>
      <c r="N68" s="217"/>
      <c r="O68" s="217"/>
      <c r="P68" s="217"/>
      <c r="Q68" s="217"/>
      <c r="R68" s="879">
        <f t="shared" si="26"/>
        <v>0</v>
      </c>
      <c r="S68" s="217"/>
      <c r="T68" s="217"/>
      <c r="U68" s="213"/>
    </row>
    <row r="69" spans="1:21" s="214" customFormat="1">
      <c r="A69" s="1870" t="s">
        <v>2636</v>
      </c>
      <c r="B69" s="216">
        <f t="shared" si="25"/>
        <v>65000</v>
      </c>
      <c r="C69" s="217">
        <f>50000+15000</f>
        <v>65000</v>
      </c>
      <c r="D69" s="217"/>
      <c r="E69" s="217">
        <f>C69-SUM(F69:Q69)</f>
        <v>65000</v>
      </c>
      <c r="F69" s="217"/>
      <c r="G69" s="217"/>
      <c r="H69" s="217"/>
      <c r="I69" s="217"/>
      <c r="J69" s="217"/>
      <c r="K69" s="217"/>
      <c r="L69" s="217"/>
      <c r="M69" s="217"/>
      <c r="N69" s="217"/>
      <c r="O69" s="217"/>
      <c r="P69" s="217"/>
      <c r="Q69" s="217"/>
      <c r="R69" s="879">
        <f>SUM(E69:Q69)</f>
        <v>65000</v>
      </c>
      <c r="S69" s="217">
        <v>50000</v>
      </c>
      <c r="T69" s="217"/>
      <c r="U69" s="213"/>
    </row>
    <row r="70" spans="1:21" s="214" customFormat="1">
      <c r="A70" s="219" t="s">
        <v>1996</v>
      </c>
      <c r="B70" s="216">
        <f>SUM(C70:D70)</f>
        <v>161987</v>
      </c>
      <c r="C70" s="216">
        <f>SUM(C65:C69)</f>
        <v>161987</v>
      </c>
      <c r="D70" s="216">
        <f>SUM(D65:D69)</f>
        <v>0</v>
      </c>
      <c r="E70" s="216">
        <f t="shared" ref="E70:T70" si="27">SUM(E65:E69)</f>
        <v>161987</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161987</v>
      </c>
      <c r="S70" s="220">
        <f t="shared" si="27"/>
        <v>98177</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ref="E73:E76" si="28">C73-SUM(F73:Q73)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662770</v>
      </c>
      <c r="C75" s="217">
        <v>662770</v>
      </c>
      <c r="D75" s="217"/>
      <c r="E75" s="217">
        <f t="shared" si="28"/>
        <v>662770</v>
      </c>
      <c r="F75" s="217"/>
      <c r="G75" s="217"/>
      <c r="H75" s="217"/>
      <c r="I75" s="217"/>
      <c r="J75" s="217"/>
      <c r="K75" s="217"/>
      <c r="L75" s="217"/>
      <c r="M75" s="217"/>
      <c r="N75" s="217"/>
      <c r="O75" s="217"/>
      <c r="P75" s="217"/>
      <c r="Q75" s="217"/>
      <c r="R75" s="879">
        <f>SUM(E75:Q75)</f>
        <v>662770</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662770</v>
      </c>
      <c r="C77" s="216">
        <f>SUM(C72:C76)</f>
        <v>662770</v>
      </c>
      <c r="D77" s="216">
        <f>SUM(D72:D76)</f>
        <v>0</v>
      </c>
      <c r="E77" s="216">
        <f t="shared" ref="E77:Q77" si="29">SUM(E72:E76)</f>
        <v>662770</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662770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1730520</v>
      </c>
      <c r="C79" s="217">
        <v>1730520</v>
      </c>
      <c r="D79" s="217"/>
      <c r="E79" s="217">
        <f>C79-SUM(F79:Q79)</f>
        <v>1730520</v>
      </c>
      <c r="F79" s="217"/>
      <c r="G79" s="217"/>
      <c r="H79" s="217"/>
      <c r="I79" s="217"/>
      <c r="J79" s="217"/>
      <c r="K79" s="217"/>
      <c r="L79" s="217"/>
      <c r="M79" s="217"/>
      <c r="N79" s="217"/>
      <c r="O79" s="217"/>
      <c r="P79" s="217"/>
      <c r="Q79" s="217"/>
      <c r="R79" s="879">
        <f>SUM(E79:Q79)</f>
        <v>1730520</v>
      </c>
      <c r="S79" s="217">
        <f>R79</f>
        <v>1730520</v>
      </c>
      <c r="T79" s="217"/>
      <c r="U79" s="213"/>
    </row>
    <row r="80" spans="1:21" s="214" customFormat="1">
      <c r="A80" s="440" t="s">
        <v>61</v>
      </c>
      <c r="B80" s="216">
        <f>SUM(C80:D80)</f>
        <v>239535</v>
      </c>
      <c r="C80" s="217">
        <v>239535</v>
      </c>
      <c r="D80" s="217"/>
      <c r="E80" s="217">
        <f>C80-SUM(F80:Q80)</f>
        <v>239535</v>
      </c>
      <c r="F80" s="217"/>
      <c r="G80" s="217"/>
      <c r="H80" s="217"/>
      <c r="I80" s="217"/>
      <c r="J80" s="217"/>
      <c r="K80" s="217"/>
      <c r="L80" s="217"/>
      <c r="M80" s="217"/>
      <c r="N80" s="217"/>
      <c r="O80" s="217"/>
      <c r="P80" s="217"/>
      <c r="Q80" s="217"/>
      <c r="R80" s="879">
        <f>SUM(E80:Q80)</f>
        <v>239535</v>
      </c>
      <c r="S80" s="217">
        <f>R80</f>
        <v>239535</v>
      </c>
      <c r="T80" s="217"/>
      <c r="U80" s="213"/>
    </row>
    <row r="81" spans="1:21" s="214" customFormat="1">
      <c r="A81" s="219" t="s">
        <v>1418</v>
      </c>
      <c r="B81" s="216">
        <f>SUM(C81:D81)</f>
        <v>1970055</v>
      </c>
      <c r="C81" s="859">
        <f>SUM(C79:C80)</f>
        <v>1970055</v>
      </c>
      <c r="D81" s="859">
        <f t="shared" ref="D81:T81" si="30">SUM(D79:D80)</f>
        <v>0</v>
      </c>
      <c r="E81" s="859">
        <f t="shared" si="30"/>
        <v>1970055</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1970055</v>
      </c>
      <c r="S81" s="859">
        <f t="shared" si="30"/>
        <v>1970055</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1">SUM(C83+D83)</f>
        <v>88896</v>
      </c>
      <c r="C83" s="217">
        <v>88896</v>
      </c>
      <c r="D83" s="217"/>
      <c r="E83" s="217">
        <f>C83-SUM(F83:Q83)</f>
        <v>88896</v>
      </c>
      <c r="F83" s="217"/>
      <c r="G83" s="217"/>
      <c r="H83" s="217"/>
      <c r="I83" s="217"/>
      <c r="J83" s="217"/>
      <c r="K83" s="217"/>
      <c r="L83" s="217"/>
      <c r="M83" s="217"/>
      <c r="N83" s="217"/>
      <c r="O83" s="217"/>
      <c r="P83" s="217"/>
      <c r="Q83" s="217"/>
      <c r="R83" s="879">
        <f t="shared" ref="R83:R95" si="32">SUM(E83:Q83)</f>
        <v>88896</v>
      </c>
      <c r="S83" s="218"/>
      <c r="T83" s="218"/>
      <c r="U83" s="213"/>
    </row>
    <row r="84" spans="1:21" s="214" customFormat="1">
      <c r="A84" s="215" t="s">
        <v>825</v>
      </c>
      <c r="B84" s="216">
        <f t="shared" si="31"/>
        <v>4000</v>
      </c>
      <c r="C84" s="217">
        <f>4000</f>
        <v>4000</v>
      </c>
      <c r="D84" s="217"/>
      <c r="E84" s="217">
        <f t="shared" ref="E84:E95" si="33">C84-SUM(F84:Q84)</f>
        <v>4000</v>
      </c>
      <c r="F84" s="217"/>
      <c r="G84" s="217"/>
      <c r="H84" s="217"/>
      <c r="I84" s="217"/>
      <c r="J84" s="217"/>
      <c r="K84" s="217"/>
      <c r="L84" s="217"/>
      <c r="M84" s="217"/>
      <c r="N84" s="217"/>
      <c r="O84" s="217"/>
      <c r="P84" s="217"/>
      <c r="Q84" s="217"/>
      <c r="R84" s="879">
        <f t="shared" si="32"/>
        <v>4000</v>
      </c>
      <c r="S84" s="217">
        <f>R84</f>
        <v>4000</v>
      </c>
      <c r="T84" s="217"/>
      <c r="U84" s="213"/>
    </row>
    <row r="85" spans="1:21" s="214" customFormat="1">
      <c r="A85" s="215" t="s">
        <v>826</v>
      </c>
      <c r="B85" s="216">
        <f t="shared" si="31"/>
        <v>2201859</v>
      </c>
      <c r="C85" s="217">
        <f>Application!AJ1004+Application!AO640</f>
        <v>2201859</v>
      </c>
      <c r="D85" s="217"/>
      <c r="E85" s="217">
        <f t="shared" si="33"/>
        <v>468800</v>
      </c>
      <c r="F85" s="217"/>
      <c r="G85" s="217"/>
      <c r="H85" s="217"/>
      <c r="I85" s="217">
        <f>I108</f>
        <v>1733059</v>
      </c>
      <c r="J85" s="217"/>
      <c r="K85" s="217"/>
      <c r="L85" s="217"/>
      <c r="M85" s="217"/>
      <c r="N85" s="217"/>
      <c r="O85" s="217"/>
      <c r="P85" s="217"/>
      <c r="Q85" s="217"/>
      <c r="R85" s="879">
        <f t="shared" si="32"/>
        <v>2201859</v>
      </c>
      <c r="S85" s="217">
        <f>Application!AJ1004</f>
        <v>468800</v>
      </c>
      <c r="T85" s="217"/>
      <c r="U85" s="213"/>
    </row>
    <row r="86" spans="1:21" s="214" customFormat="1">
      <c r="A86" s="215" t="s">
        <v>827</v>
      </c>
      <c r="B86" s="216">
        <f t="shared" si="31"/>
        <v>539810</v>
      </c>
      <c r="C86" s="217">
        <v>539810</v>
      </c>
      <c r="D86" s="217"/>
      <c r="E86" s="217">
        <f t="shared" si="33"/>
        <v>539810</v>
      </c>
      <c r="F86" s="217"/>
      <c r="G86" s="217"/>
      <c r="H86" s="217"/>
      <c r="I86" s="217"/>
      <c r="J86" s="217"/>
      <c r="K86" s="217"/>
      <c r="L86" s="217"/>
      <c r="M86" s="217"/>
      <c r="N86" s="217"/>
      <c r="O86" s="217"/>
      <c r="P86" s="217"/>
      <c r="Q86" s="217"/>
      <c r="R86" s="879">
        <f t="shared" si="32"/>
        <v>539810</v>
      </c>
      <c r="S86" s="217">
        <f>R86</f>
        <v>539810</v>
      </c>
      <c r="T86" s="217"/>
      <c r="U86" s="213"/>
    </row>
    <row r="87" spans="1:21" s="214" customFormat="1">
      <c r="A87" s="215" t="s">
        <v>828</v>
      </c>
      <c r="B87" s="216">
        <f t="shared" si="31"/>
        <v>0</v>
      </c>
      <c r="C87" s="217"/>
      <c r="D87" s="217"/>
      <c r="E87" s="217">
        <f t="shared" si="33"/>
        <v>0</v>
      </c>
      <c r="F87" s="217"/>
      <c r="G87" s="217"/>
      <c r="H87" s="217"/>
      <c r="I87" s="217"/>
      <c r="J87" s="217"/>
      <c r="K87" s="217"/>
      <c r="L87" s="217"/>
      <c r="M87" s="217"/>
      <c r="N87" s="217"/>
      <c r="O87" s="217"/>
      <c r="P87" s="217"/>
      <c r="Q87" s="217"/>
      <c r="R87" s="879">
        <f t="shared" si="32"/>
        <v>0</v>
      </c>
      <c r="S87" s="217"/>
      <c r="T87" s="217"/>
      <c r="U87" s="213"/>
    </row>
    <row r="88" spans="1:21" s="214" customFormat="1">
      <c r="A88" s="215" t="s">
        <v>829</v>
      </c>
      <c r="B88" s="216">
        <f t="shared" si="31"/>
        <v>173000</v>
      </c>
      <c r="C88" s="217">
        <v>173000</v>
      </c>
      <c r="D88" s="217"/>
      <c r="E88" s="217">
        <f t="shared" si="33"/>
        <v>173000</v>
      </c>
      <c r="F88" s="217"/>
      <c r="G88" s="217"/>
      <c r="H88" s="217"/>
      <c r="I88" s="217"/>
      <c r="J88" s="217"/>
      <c r="K88" s="217"/>
      <c r="L88" s="217"/>
      <c r="M88" s="217"/>
      <c r="N88" s="217"/>
      <c r="O88" s="217"/>
      <c r="P88" s="217"/>
      <c r="Q88" s="217"/>
      <c r="R88" s="879">
        <f t="shared" si="32"/>
        <v>173000</v>
      </c>
      <c r="S88" s="218"/>
      <c r="T88" s="218"/>
      <c r="U88" s="213"/>
    </row>
    <row r="89" spans="1:21" s="214" customFormat="1">
      <c r="A89" s="215" t="s">
        <v>830</v>
      </c>
      <c r="B89" s="216">
        <f t="shared" si="31"/>
        <v>20000</v>
      </c>
      <c r="C89" s="217">
        <v>20000</v>
      </c>
      <c r="D89" s="217"/>
      <c r="E89" s="217">
        <f t="shared" si="33"/>
        <v>20000</v>
      </c>
      <c r="F89" s="217"/>
      <c r="G89" s="217"/>
      <c r="H89" s="217"/>
      <c r="I89" s="217"/>
      <c r="J89" s="217"/>
      <c r="K89" s="217"/>
      <c r="L89" s="217"/>
      <c r="M89" s="217"/>
      <c r="N89" s="217"/>
      <c r="O89" s="217"/>
      <c r="P89" s="217"/>
      <c r="Q89" s="217"/>
      <c r="R89" s="879">
        <f t="shared" si="32"/>
        <v>20000</v>
      </c>
      <c r="S89" s="217">
        <f>R89</f>
        <v>20000</v>
      </c>
      <c r="T89" s="217"/>
      <c r="U89" s="213"/>
    </row>
    <row r="90" spans="1:21" s="214" customFormat="1">
      <c r="A90" s="215" t="s">
        <v>831</v>
      </c>
      <c r="B90" s="216">
        <f t="shared" si="31"/>
        <v>10500</v>
      </c>
      <c r="C90" s="217">
        <v>10500</v>
      </c>
      <c r="D90" s="217"/>
      <c r="E90" s="217">
        <f t="shared" si="33"/>
        <v>10500</v>
      </c>
      <c r="F90" s="217"/>
      <c r="G90" s="217"/>
      <c r="H90" s="217"/>
      <c r="I90" s="217"/>
      <c r="J90" s="217"/>
      <c r="K90" s="217"/>
      <c r="L90" s="217"/>
      <c r="M90" s="217"/>
      <c r="N90" s="217"/>
      <c r="O90" s="217"/>
      <c r="P90" s="217"/>
      <c r="Q90" s="217"/>
      <c r="R90" s="879">
        <f t="shared" si="32"/>
        <v>10500</v>
      </c>
      <c r="S90" s="217"/>
      <c r="T90" s="217"/>
      <c r="U90" s="213"/>
    </row>
    <row r="91" spans="1:21" s="214" customFormat="1">
      <c r="A91" s="1809" t="s">
        <v>390</v>
      </c>
      <c r="B91" s="216">
        <f t="shared" si="31"/>
        <v>0</v>
      </c>
      <c r="C91" s="217"/>
      <c r="D91" s="217"/>
      <c r="E91" s="217">
        <f t="shared" si="33"/>
        <v>0</v>
      </c>
      <c r="F91" s="217"/>
      <c r="G91" s="217"/>
      <c r="H91" s="217"/>
      <c r="I91" s="217"/>
      <c r="J91" s="217"/>
      <c r="K91" s="217"/>
      <c r="L91" s="217"/>
      <c r="M91" s="217"/>
      <c r="N91" s="217"/>
      <c r="O91" s="217"/>
      <c r="P91" s="217"/>
      <c r="Q91" s="217"/>
      <c r="R91" s="879">
        <f t="shared" si="32"/>
        <v>0</v>
      </c>
      <c r="S91" s="217"/>
      <c r="T91" s="217"/>
      <c r="U91" s="213"/>
    </row>
    <row r="92" spans="1:21" s="214" customFormat="1">
      <c r="A92" s="1808" t="s">
        <v>1420</v>
      </c>
      <c r="B92" s="216">
        <f t="shared" si="31"/>
        <v>3500</v>
      </c>
      <c r="C92" s="217">
        <v>3500</v>
      </c>
      <c r="D92" s="217"/>
      <c r="E92" s="217">
        <f t="shared" si="33"/>
        <v>3500</v>
      </c>
      <c r="F92" s="217"/>
      <c r="G92" s="217"/>
      <c r="H92" s="217"/>
      <c r="I92" s="217"/>
      <c r="J92" s="217"/>
      <c r="K92" s="217"/>
      <c r="L92" s="217"/>
      <c r="M92" s="217"/>
      <c r="N92" s="217"/>
      <c r="O92" s="217"/>
      <c r="P92" s="217"/>
      <c r="Q92" s="217"/>
      <c r="R92" s="879">
        <f t="shared" si="32"/>
        <v>3500</v>
      </c>
      <c r="S92" s="217"/>
      <c r="T92" s="217"/>
      <c r="U92" s="213"/>
    </row>
    <row r="93" spans="1:21" s="214" customFormat="1">
      <c r="A93" s="1870" t="s">
        <v>2674</v>
      </c>
      <c r="B93" s="216">
        <f t="shared" si="31"/>
        <v>6000</v>
      </c>
      <c r="C93" s="217">
        <v>6000</v>
      </c>
      <c r="D93" s="217"/>
      <c r="E93" s="217">
        <f t="shared" si="33"/>
        <v>6000</v>
      </c>
      <c r="F93" s="217"/>
      <c r="G93" s="217"/>
      <c r="H93" s="217"/>
      <c r="I93" s="217"/>
      <c r="J93" s="217"/>
      <c r="K93" s="217"/>
      <c r="L93" s="217"/>
      <c r="M93" s="217"/>
      <c r="N93" s="217"/>
      <c r="O93" s="217"/>
      <c r="P93" s="217"/>
      <c r="Q93" s="217"/>
      <c r="R93" s="879">
        <f t="shared" si="32"/>
        <v>6000</v>
      </c>
      <c r="S93" s="217">
        <f>C93</f>
        <v>6000</v>
      </c>
      <c r="T93" s="217"/>
      <c r="U93" s="213"/>
    </row>
    <row r="94" spans="1:21" s="214" customFormat="1">
      <c r="A94" s="222" t="s">
        <v>35</v>
      </c>
      <c r="B94" s="216">
        <f t="shared" si="31"/>
        <v>0</v>
      </c>
      <c r="C94" s="217"/>
      <c r="D94" s="217"/>
      <c r="E94" s="217">
        <f t="shared" si="33"/>
        <v>0</v>
      </c>
      <c r="F94" s="217"/>
      <c r="G94" s="217"/>
      <c r="H94" s="217"/>
      <c r="I94" s="217"/>
      <c r="J94" s="217"/>
      <c r="K94" s="217"/>
      <c r="L94" s="217"/>
      <c r="M94" s="217"/>
      <c r="N94" s="217"/>
      <c r="O94" s="217"/>
      <c r="P94" s="217"/>
      <c r="Q94" s="217"/>
      <c r="R94" s="879">
        <f t="shared" si="32"/>
        <v>0</v>
      </c>
      <c r="S94" s="217"/>
      <c r="T94" s="217"/>
      <c r="U94" s="213"/>
    </row>
    <row r="95" spans="1:21" s="214" customFormat="1">
      <c r="A95" s="222" t="s">
        <v>35</v>
      </c>
      <c r="B95" s="216">
        <f t="shared" si="31"/>
        <v>0</v>
      </c>
      <c r="C95" s="217"/>
      <c r="D95" s="217"/>
      <c r="E95" s="217">
        <f t="shared" si="33"/>
        <v>0</v>
      </c>
      <c r="F95" s="217"/>
      <c r="G95" s="217"/>
      <c r="H95" s="217"/>
      <c r="I95" s="217"/>
      <c r="J95" s="217"/>
      <c r="K95" s="217"/>
      <c r="L95" s="217"/>
      <c r="M95" s="217"/>
      <c r="N95" s="217"/>
      <c r="O95" s="217"/>
      <c r="P95" s="217"/>
      <c r="Q95" s="217"/>
      <c r="R95" s="879">
        <f t="shared" si="32"/>
        <v>0</v>
      </c>
      <c r="S95" s="217"/>
      <c r="T95" s="217"/>
      <c r="U95" s="213"/>
    </row>
    <row r="96" spans="1:21" s="214" customFormat="1">
      <c r="A96" s="219" t="s">
        <v>832</v>
      </c>
      <c r="B96" s="216">
        <f>SUM(C96:D96)</f>
        <v>3047565</v>
      </c>
      <c r="C96" s="216">
        <f t="shared" ref="C96:R96" si="34">SUM(C83:C95)</f>
        <v>3047565</v>
      </c>
      <c r="D96" s="216">
        <f t="shared" si="34"/>
        <v>0</v>
      </c>
      <c r="E96" s="216">
        <f t="shared" si="34"/>
        <v>1314506</v>
      </c>
      <c r="F96" s="216">
        <f t="shared" si="34"/>
        <v>0</v>
      </c>
      <c r="G96" s="216">
        <f t="shared" si="34"/>
        <v>0</v>
      </c>
      <c r="H96" s="216">
        <f t="shared" si="34"/>
        <v>0</v>
      </c>
      <c r="I96" s="216">
        <f t="shared" si="34"/>
        <v>1733059</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3047565</v>
      </c>
      <c r="S96" s="220">
        <f>SUM(S84:S87,S89:S95)</f>
        <v>1038610</v>
      </c>
      <c r="T96" s="216">
        <f>SUM(T84:T87,T89:T95)</f>
        <v>0</v>
      </c>
      <c r="U96" s="213"/>
    </row>
    <row r="97" spans="1:21" s="214" customFormat="1">
      <c r="A97" s="219" t="s">
        <v>833</v>
      </c>
      <c r="B97" s="216">
        <f>SUM(C97:D97)</f>
        <v>47003166</v>
      </c>
      <c r="C97" s="216">
        <f t="shared" ref="C97:R97" si="35">SUM(C63+C70+C77+C81+C96)</f>
        <v>47003166</v>
      </c>
      <c r="D97" s="216">
        <f t="shared" si="35"/>
        <v>0</v>
      </c>
      <c r="E97" s="216">
        <f t="shared" si="35"/>
        <v>18234707</v>
      </c>
      <c r="F97" s="216">
        <f t="shared" si="35"/>
        <v>5613000</v>
      </c>
      <c r="G97" s="216">
        <f t="shared" si="35"/>
        <v>3500000</v>
      </c>
      <c r="H97" s="216">
        <f t="shared" si="35"/>
        <v>12800000</v>
      </c>
      <c r="I97" s="216">
        <f t="shared" si="35"/>
        <v>1733059</v>
      </c>
      <c r="J97" s="216">
        <f t="shared" si="35"/>
        <v>2228000</v>
      </c>
      <c r="K97" s="216">
        <f t="shared" si="35"/>
        <v>94500</v>
      </c>
      <c r="L97" s="216">
        <f t="shared" si="35"/>
        <v>0</v>
      </c>
      <c r="M97" s="216">
        <f t="shared" si="35"/>
        <v>2799900</v>
      </c>
      <c r="N97" s="216">
        <f t="shared" si="35"/>
        <v>0</v>
      </c>
      <c r="O97" s="216">
        <f t="shared" si="35"/>
        <v>0</v>
      </c>
      <c r="P97" s="216">
        <f t="shared" si="35"/>
        <v>0</v>
      </c>
      <c r="Q97" s="216">
        <f t="shared" si="35"/>
        <v>0</v>
      </c>
      <c r="R97" s="216">
        <f t="shared" si="35"/>
        <v>47003166</v>
      </c>
      <c r="S97" s="216">
        <f>SUM(S63+S70+S81+S96)</f>
        <v>40461719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6069258</v>
      </c>
      <c r="C99" s="1701">
        <v>6069258</v>
      </c>
      <c r="D99" s="1701"/>
      <c r="E99" s="217">
        <f>C99-SUM(F99:Q99)</f>
        <v>3480000</v>
      </c>
      <c r="F99" s="217"/>
      <c r="G99" s="217"/>
      <c r="H99" s="217"/>
      <c r="I99" s="217"/>
      <c r="J99" s="217"/>
      <c r="K99" s="217"/>
      <c r="L99" s="217">
        <f>L108</f>
        <v>0</v>
      </c>
      <c r="M99" s="217"/>
      <c r="N99" s="217">
        <f>N108</f>
        <v>2589258</v>
      </c>
      <c r="O99" s="217"/>
      <c r="P99" s="217"/>
      <c r="Q99" s="217"/>
      <c r="R99" s="879">
        <f t="shared" ref="R99:R103" si="36">SUM(E99:Q99)</f>
        <v>6069258</v>
      </c>
      <c r="S99" s="217">
        <f>R99</f>
        <v>6069258</v>
      </c>
      <c r="T99" s="217"/>
      <c r="U99" s="213"/>
    </row>
    <row r="100" spans="1:21" s="214" customFormat="1">
      <c r="A100" s="440" t="s">
        <v>1997</v>
      </c>
      <c r="B100" s="216">
        <f t="shared" ref="B100:B103" si="37">SUM(C100+D100)</f>
        <v>0</v>
      </c>
      <c r="C100" s="217"/>
      <c r="D100" s="217"/>
      <c r="E100" s="217">
        <f t="shared" ref="E100:E103" si="38">C100-SUM(F100:Q100)</f>
        <v>0</v>
      </c>
      <c r="F100" s="217"/>
      <c r="G100" s="217"/>
      <c r="H100" s="217"/>
      <c r="I100" s="217"/>
      <c r="J100" s="217"/>
      <c r="K100" s="217"/>
      <c r="L100" s="217"/>
      <c r="M100" s="217"/>
      <c r="N100" s="217"/>
      <c r="O100" s="217"/>
      <c r="P100" s="217"/>
      <c r="Q100" s="217"/>
      <c r="R100" s="879">
        <f t="shared" si="36"/>
        <v>0</v>
      </c>
      <c r="S100" s="217"/>
      <c r="T100" s="217"/>
      <c r="U100" s="213"/>
    </row>
    <row r="101" spans="1:21" s="214" customFormat="1" ht="12" customHeight="1">
      <c r="A101" s="215" t="s">
        <v>836</v>
      </c>
      <c r="B101" s="216">
        <f t="shared" si="37"/>
        <v>0</v>
      </c>
      <c r="C101" s="217"/>
      <c r="D101" s="217"/>
      <c r="E101" s="217">
        <f t="shared" si="38"/>
        <v>0</v>
      </c>
      <c r="F101" s="217"/>
      <c r="G101" s="217"/>
      <c r="H101" s="217"/>
      <c r="I101" s="217"/>
      <c r="J101" s="217"/>
      <c r="K101" s="217"/>
      <c r="L101" s="217"/>
      <c r="M101" s="217"/>
      <c r="N101" s="217"/>
      <c r="O101" s="217"/>
      <c r="P101" s="217"/>
      <c r="Q101" s="217"/>
      <c r="R101" s="879">
        <f t="shared" si="36"/>
        <v>0</v>
      </c>
      <c r="S101" s="217"/>
      <c r="T101" s="217"/>
      <c r="U101" s="213"/>
    </row>
    <row r="102" spans="1:21" s="214" customFormat="1">
      <c r="A102" s="440" t="s">
        <v>1998</v>
      </c>
      <c r="B102" s="216">
        <f t="shared" si="37"/>
        <v>0</v>
      </c>
      <c r="C102" s="217"/>
      <c r="D102" s="217"/>
      <c r="E102" s="217">
        <f t="shared" si="38"/>
        <v>0</v>
      </c>
      <c r="F102" s="217"/>
      <c r="G102" s="217"/>
      <c r="H102" s="217"/>
      <c r="I102" s="217"/>
      <c r="J102" s="217"/>
      <c r="K102" s="217"/>
      <c r="L102" s="217"/>
      <c r="M102" s="217"/>
      <c r="N102" s="217"/>
      <c r="O102" s="217"/>
      <c r="P102" s="217"/>
      <c r="Q102" s="217"/>
      <c r="R102" s="879">
        <f t="shared" si="36"/>
        <v>0</v>
      </c>
      <c r="S102" s="217"/>
      <c r="T102" s="217"/>
      <c r="U102" s="213"/>
    </row>
    <row r="103" spans="1:21" s="214" customFormat="1">
      <c r="A103" s="222" t="s">
        <v>35</v>
      </c>
      <c r="B103" s="216">
        <f t="shared" si="37"/>
        <v>0</v>
      </c>
      <c r="C103" s="217"/>
      <c r="D103" s="217"/>
      <c r="E103" s="217">
        <f t="shared" si="38"/>
        <v>0</v>
      </c>
      <c r="F103" s="217"/>
      <c r="G103" s="217"/>
      <c r="H103" s="217"/>
      <c r="I103" s="217"/>
      <c r="J103" s="217"/>
      <c r="K103" s="217"/>
      <c r="L103" s="217"/>
      <c r="M103" s="217"/>
      <c r="N103" s="217"/>
      <c r="O103" s="217"/>
      <c r="P103" s="217"/>
      <c r="Q103" s="217"/>
      <c r="R103" s="879">
        <f t="shared" si="36"/>
        <v>0</v>
      </c>
      <c r="S103" s="217"/>
      <c r="T103" s="217"/>
      <c r="U103" s="213"/>
    </row>
    <row r="104" spans="1:21" s="214" customFormat="1">
      <c r="A104" s="219" t="s">
        <v>837</v>
      </c>
      <c r="B104" s="216">
        <f>SUM(C104:D104)</f>
        <v>6069258</v>
      </c>
      <c r="C104" s="216">
        <f>SUM(C99:C103)</f>
        <v>6069258</v>
      </c>
      <c r="D104" s="216">
        <f t="shared" ref="D104:T104" si="39">SUM(D99:D103)</f>
        <v>0</v>
      </c>
      <c r="E104" s="216">
        <f t="shared" si="39"/>
        <v>3480000</v>
      </c>
      <c r="F104" s="216">
        <f t="shared" si="39"/>
        <v>0</v>
      </c>
      <c r="G104" s="216">
        <f t="shared" si="39"/>
        <v>0</v>
      </c>
      <c r="H104" s="216">
        <f t="shared" si="39"/>
        <v>0</v>
      </c>
      <c r="I104" s="216">
        <f t="shared" si="39"/>
        <v>0</v>
      </c>
      <c r="J104" s="216">
        <f t="shared" si="39"/>
        <v>0</v>
      </c>
      <c r="K104" s="216">
        <f t="shared" si="39"/>
        <v>0</v>
      </c>
      <c r="L104" s="216">
        <f t="shared" si="39"/>
        <v>0</v>
      </c>
      <c r="M104" s="216">
        <f t="shared" si="39"/>
        <v>0</v>
      </c>
      <c r="N104" s="216">
        <f t="shared" si="39"/>
        <v>2589258</v>
      </c>
      <c r="O104" s="216">
        <f t="shared" si="39"/>
        <v>0</v>
      </c>
      <c r="P104" s="216">
        <f t="shared" si="39"/>
        <v>0</v>
      </c>
      <c r="Q104" s="216">
        <f t="shared" si="39"/>
        <v>0</v>
      </c>
      <c r="R104" s="534">
        <f t="shared" si="39"/>
        <v>6069258</v>
      </c>
      <c r="S104" s="220">
        <f t="shared" si="39"/>
        <v>6069258</v>
      </c>
      <c r="T104" s="220">
        <f t="shared" si="39"/>
        <v>0</v>
      </c>
      <c r="U104" s="213"/>
    </row>
    <row r="105" spans="1:21" s="214" customFormat="1">
      <c r="A105" s="219" t="s">
        <v>838</v>
      </c>
      <c r="B105" s="220">
        <f>SUM(C105:D105)</f>
        <v>53072424</v>
      </c>
      <c r="C105" s="220">
        <f t="shared" ref="C105:R105" si="40">SUM(C97+C104)</f>
        <v>53072424</v>
      </c>
      <c r="D105" s="220">
        <f t="shared" si="40"/>
        <v>0</v>
      </c>
      <c r="E105" s="220">
        <f t="shared" si="40"/>
        <v>21714707</v>
      </c>
      <c r="F105" s="220">
        <f t="shared" si="40"/>
        <v>5613000</v>
      </c>
      <c r="G105" s="220">
        <f t="shared" si="40"/>
        <v>3500000</v>
      </c>
      <c r="H105" s="220">
        <f t="shared" si="40"/>
        <v>12800000</v>
      </c>
      <c r="I105" s="220">
        <f t="shared" si="40"/>
        <v>1733059</v>
      </c>
      <c r="J105" s="220">
        <f t="shared" si="40"/>
        <v>2228000</v>
      </c>
      <c r="K105" s="220">
        <f t="shared" si="40"/>
        <v>94500</v>
      </c>
      <c r="L105" s="220">
        <f t="shared" si="40"/>
        <v>0</v>
      </c>
      <c r="M105" s="220">
        <f t="shared" si="40"/>
        <v>2799900</v>
      </c>
      <c r="N105" s="220">
        <f t="shared" si="40"/>
        <v>2589258</v>
      </c>
      <c r="O105" s="220">
        <f t="shared" si="40"/>
        <v>0</v>
      </c>
      <c r="P105" s="220">
        <f t="shared" si="40"/>
        <v>0</v>
      </c>
      <c r="Q105" s="220">
        <f t="shared" si="40"/>
        <v>0</v>
      </c>
      <c r="R105" s="534">
        <f t="shared" si="40"/>
        <v>53072424</v>
      </c>
      <c r="S105" s="220">
        <f>S97+S104</f>
        <v>46530977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46530977</v>
      </c>
      <c r="T107" s="234">
        <f>T105+T106</f>
        <v>0</v>
      </c>
    </row>
    <row r="108" spans="1:21" s="300" customFormat="1">
      <c r="A108" s="233" t="s">
        <v>944</v>
      </c>
      <c r="B108" s="228"/>
      <c r="C108" s="228"/>
      <c r="D108" s="228"/>
      <c r="E108" s="464">
        <f>Application!AO650</f>
        <v>21714707</v>
      </c>
      <c r="F108" s="464">
        <f>Application!AO637</f>
        <v>5613000</v>
      </c>
      <c r="G108" s="464">
        <f>Application!AO638</f>
        <v>3500000</v>
      </c>
      <c r="H108" s="464">
        <f>Application!AO639</f>
        <v>12800000</v>
      </c>
      <c r="I108" s="464">
        <f>Application!AO640</f>
        <v>1733059</v>
      </c>
      <c r="J108" s="464">
        <f>Application!AO641</f>
        <v>2228000</v>
      </c>
      <c r="K108" s="464">
        <f>Application!AO642</f>
        <v>94500</v>
      </c>
      <c r="L108" s="464">
        <f>Application!AO643</f>
        <v>0</v>
      </c>
      <c r="M108" s="464">
        <f>Application!AO644</f>
        <v>2799900</v>
      </c>
      <c r="N108" s="464">
        <f>Application!AO645</f>
        <v>2589258</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1" t="s">
        <v>1095</v>
      </c>
      <c r="E122" s="2591"/>
      <c r="F122" s="259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1" t="s">
        <v>1438</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1097</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1098</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9"/>
      <c r="E128" s="2589"/>
      <c r="F128" s="2589"/>
      <c r="G128" s="2589"/>
      <c r="H128" s="2589"/>
      <c r="I128" s="513"/>
      <c r="J128" s="2580"/>
      <c r="K128" s="2580"/>
      <c r="L128" s="513"/>
      <c r="M128" s="513"/>
      <c r="N128" s="513"/>
      <c r="O128" s="513"/>
      <c r="P128" s="513"/>
      <c r="Q128" s="513"/>
      <c r="R128" s="513"/>
      <c r="S128" s="513"/>
      <c r="T128" s="514"/>
      <c r="U128" s="516"/>
    </row>
    <row r="129" spans="1:21" ht="12.75">
      <c r="A129" s="513" t="s">
        <v>308</v>
      </c>
      <c r="B129" s="523"/>
      <c r="C129" s="513"/>
      <c r="D129" s="2590" t="s">
        <v>1102</v>
      </c>
      <c r="E129" s="2590"/>
      <c r="F129" s="2590"/>
      <c r="G129" s="2590"/>
      <c r="H129" s="259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77"/>
      <c r="E131" s="2077"/>
      <c r="F131" s="2077"/>
      <c r="G131" s="2077"/>
      <c r="H131" s="2077"/>
      <c r="I131" s="513"/>
      <c r="J131" s="2077"/>
      <c r="K131" s="2077"/>
      <c r="L131" s="2077"/>
      <c r="M131" s="2077"/>
      <c r="N131" s="513"/>
      <c r="O131" s="513"/>
      <c r="P131" s="513"/>
      <c r="Q131" s="513"/>
      <c r="R131" s="513"/>
      <c r="S131" s="513"/>
      <c r="T131" s="514"/>
      <c r="U131" s="516"/>
    </row>
    <row r="132" spans="1:21" ht="12" customHeight="1">
      <c r="A132" s="527"/>
      <c r="B132" s="513"/>
      <c r="C132" s="513"/>
      <c r="D132" s="2583" t="s">
        <v>1105</v>
      </c>
      <c r="E132" s="2583"/>
      <c r="F132" s="2583"/>
      <c r="G132" s="2583"/>
      <c r="H132" s="2583"/>
      <c r="I132" s="513"/>
      <c r="J132" s="2583" t="s">
        <v>1106</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80"/>
      <c r="F138" s="2580"/>
      <c r="G138" s="513"/>
      <c r="H138" s="513"/>
      <c r="I138" s="513"/>
      <c r="J138" s="513"/>
      <c r="K138" s="513"/>
      <c r="L138" s="513"/>
      <c r="M138" s="513"/>
      <c r="N138" s="513"/>
      <c r="O138" s="513"/>
      <c r="P138" s="513"/>
      <c r="Q138" s="513"/>
      <c r="R138" s="513"/>
      <c r="S138" s="513"/>
      <c r="T138" s="520"/>
      <c r="U138" s="521"/>
    </row>
    <row r="139" spans="1:21" ht="12.75">
      <c r="A139" s="2578" t="s">
        <v>1109</v>
      </c>
      <c r="B139" s="2579"/>
      <c r="C139" s="257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4" sqref="B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1441</v>
      </c>
      <c r="B1" s="2599"/>
      <c r="C1" s="2599"/>
      <c r="D1" s="2599"/>
      <c r="E1" s="2599"/>
      <c r="F1" s="2599"/>
      <c r="G1" s="2599"/>
      <c r="H1" s="2599"/>
      <c r="I1" s="2599"/>
      <c r="J1" s="260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2800000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2800000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108250</v>
      </c>
      <c r="C10" s="566"/>
      <c r="D10" s="566"/>
      <c r="E10" s="565">
        <f>'Sources and Uses Budget'!S10</f>
        <v>108250</v>
      </c>
      <c r="F10" s="566"/>
      <c r="G10" s="566"/>
      <c r="H10" s="565">
        <f>'Sources and Uses Budget'!T10</f>
        <v>0</v>
      </c>
      <c r="I10" s="566"/>
      <c r="J10" s="566"/>
      <c r="K10" s="563"/>
    </row>
    <row r="11" spans="1:11" s="564" customFormat="1">
      <c r="A11" s="569" t="s">
        <v>631</v>
      </c>
      <c r="B11" s="565">
        <f>'Sources and Uses Budget'!C11</f>
        <v>108250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2908250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3375000</v>
      </c>
      <c r="C29" s="566"/>
      <c r="D29" s="566"/>
      <c r="E29" s="565">
        <f>'Sources and Uses Budget'!S29</f>
        <v>3375000</v>
      </c>
      <c r="F29" s="566"/>
      <c r="G29" s="566"/>
      <c r="H29" s="565">
        <f>'Sources and Uses Budget'!T29</f>
        <v>0</v>
      </c>
      <c r="I29" s="566"/>
      <c r="J29" s="566"/>
      <c r="K29" s="563"/>
    </row>
    <row r="30" spans="1:11" s="564" customFormat="1">
      <c r="A30" s="215" t="s">
        <v>634</v>
      </c>
      <c r="B30" s="565">
        <f>'Sources and Uses Budget'!C30</f>
        <v>27480153</v>
      </c>
      <c r="C30" s="566"/>
      <c r="D30" s="566"/>
      <c r="E30" s="565">
        <f>'Sources and Uses Budget'!S30</f>
        <v>27480153</v>
      </c>
      <c r="F30" s="566"/>
      <c r="G30" s="566"/>
      <c r="H30" s="565">
        <f>'Sources and Uses Budget'!T30</f>
        <v>0</v>
      </c>
      <c r="I30" s="566"/>
      <c r="J30" s="566"/>
      <c r="K30" s="563"/>
    </row>
    <row r="31" spans="1:11" s="564" customFormat="1">
      <c r="A31" s="215" t="s">
        <v>635</v>
      </c>
      <c r="B31" s="565">
        <f>'Sources and Uses Budget'!C31</f>
        <v>1560000</v>
      </c>
      <c r="C31" s="566"/>
      <c r="D31" s="566"/>
      <c r="E31" s="565">
        <f>'Sources and Uses Budget'!S31</f>
        <v>1560000</v>
      </c>
      <c r="F31" s="566"/>
      <c r="G31" s="566"/>
      <c r="H31" s="565">
        <f>'Sources and Uses Budget'!T31</f>
        <v>0</v>
      </c>
      <c r="I31" s="566"/>
      <c r="J31" s="566"/>
      <c r="K31" s="563"/>
    </row>
    <row r="32" spans="1:11" s="564" customFormat="1">
      <c r="A32" s="215" t="s">
        <v>142</v>
      </c>
      <c r="B32" s="565">
        <f>'Sources and Uses Budget'!C32</f>
        <v>793500</v>
      </c>
      <c r="C32" s="566"/>
      <c r="D32" s="566"/>
      <c r="E32" s="565">
        <f>'Sources and Uses Budget'!S32</f>
        <v>793500</v>
      </c>
      <c r="F32" s="566"/>
      <c r="G32" s="566"/>
      <c r="H32" s="565">
        <f>'Sources and Uses Budget'!T32</f>
        <v>0</v>
      </c>
      <c r="I32" s="566"/>
      <c r="J32" s="566"/>
      <c r="K32" s="563"/>
    </row>
    <row r="33" spans="1:11" s="564" customFormat="1">
      <c r="A33" s="215" t="s">
        <v>143</v>
      </c>
      <c r="B33" s="565">
        <f>'Sources and Uses Budget'!C33</f>
        <v>793500</v>
      </c>
      <c r="C33" s="566"/>
      <c r="D33" s="566"/>
      <c r="E33" s="565">
        <f>'Sources and Uses Budget'!S33</f>
        <v>793500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500000</v>
      </c>
      <c r="C35" s="566"/>
      <c r="D35" s="566"/>
      <c r="E35" s="565">
        <f>'Sources and Uses Budget'!S35</f>
        <v>500000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Security in construction contract</v>
      </c>
      <c r="B37" s="565">
        <f>'Sources and Uses Budget'!C37</f>
        <v>113200</v>
      </c>
      <c r="C37" s="566"/>
      <c r="D37" s="566"/>
      <c r="E37" s="565">
        <f>'Sources and Uses Budget'!S37</f>
        <v>113200</v>
      </c>
      <c r="F37" s="566"/>
      <c r="G37" s="566"/>
      <c r="H37" s="565">
        <f>'Sources and Uses Budget'!T37</f>
        <v>0</v>
      </c>
      <c r="I37" s="566"/>
      <c r="J37" s="566"/>
      <c r="K37" s="563"/>
    </row>
    <row r="38" spans="1:11" s="564" customFormat="1">
      <c r="A38" s="573" t="s">
        <v>148</v>
      </c>
      <c r="B38" s="565">
        <f>'Sources and Uses Budget'!C38</f>
        <v>34615353</v>
      </c>
      <c r="C38" s="565">
        <f>SUM(C29:C37)</f>
        <v>0</v>
      </c>
      <c r="D38" s="565">
        <f>SUM(D29:D37)</f>
        <v>0</v>
      </c>
      <c r="E38" s="565">
        <f>'Sources and Uses Budget'!S38</f>
        <v>34615353</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1289244</v>
      </c>
      <c r="C40" s="566"/>
      <c r="D40" s="566"/>
      <c r="E40" s="565">
        <f>'Sources and Uses Budget'!S40</f>
        <v>1289244</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1289244</v>
      </c>
      <c r="C42" s="565">
        <f>SUM(C39:C41)</f>
        <v>0</v>
      </c>
      <c r="D42" s="565">
        <f>SUM(D39:D41)</f>
        <v>0</v>
      </c>
      <c r="E42" s="565">
        <f>'Sources and Uses Budget'!S42</f>
        <v>1289244</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1249356</v>
      </c>
      <c r="C45" s="566"/>
      <c r="D45" s="566"/>
      <c r="E45" s="565">
        <f>'Sources and Uses Budget'!S45</f>
        <v>654426</v>
      </c>
      <c r="F45" s="566"/>
      <c r="G45" s="566"/>
      <c r="H45" s="565">
        <f>'Sources and Uses Budget'!T45</f>
        <v>0</v>
      </c>
      <c r="I45" s="566"/>
      <c r="J45" s="566"/>
      <c r="K45" s="563"/>
    </row>
    <row r="46" spans="1:11" s="564" customFormat="1">
      <c r="A46" s="568" t="s">
        <v>156</v>
      </c>
      <c r="B46" s="565">
        <f>'Sources and Uses Budget'!C46</f>
        <v>199790</v>
      </c>
      <c r="C46" s="566"/>
      <c r="D46" s="566"/>
      <c r="E46" s="565">
        <f>'Sources and Uses Budget'!S46</f>
        <v>104652</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214698</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65000</v>
      </c>
      <c r="C50" s="566"/>
      <c r="D50" s="566"/>
      <c r="E50" s="565">
        <f>'Sources and Uses Budget'!S50</f>
        <v>65000</v>
      </c>
      <c r="F50" s="566"/>
      <c r="G50" s="566"/>
      <c r="H50" s="565">
        <f>'Sources and Uses Budget'!T50</f>
        <v>0</v>
      </c>
      <c r="I50" s="566"/>
      <c r="J50" s="566"/>
      <c r="K50" s="563"/>
    </row>
    <row r="51" spans="1:11" s="564" customFormat="1">
      <c r="A51" s="568" t="s">
        <v>159</v>
      </c>
      <c r="B51" s="565">
        <f>'Sources and Uses Budget'!C51</f>
        <v>90000</v>
      </c>
      <c r="C51" s="566"/>
      <c r="D51" s="566"/>
      <c r="E51" s="565">
        <f>'Sources and Uses Budget'!S51</f>
        <v>90000</v>
      </c>
      <c r="F51" s="566"/>
      <c r="G51" s="566"/>
      <c r="H51" s="565">
        <f>'Sources and Uses Budget'!T51</f>
        <v>0</v>
      </c>
      <c r="I51" s="566"/>
      <c r="J51" s="566"/>
      <c r="K51" s="563"/>
    </row>
    <row r="52" spans="1:11" s="564" customFormat="1">
      <c r="A52" s="568" t="s">
        <v>160</v>
      </c>
      <c r="B52" s="565">
        <f>'Sources and Uses Budget'!C52</f>
        <v>407000</v>
      </c>
      <c r="C52" s="566"/>
      <c r="D52" s="566"/>
      <c r="E52" s="565">
        <f>'Sources and Uses Budget'!S52</f>
        <v>407000</v>
      </c>
      <c r="F52" s="566"/>
      <c r="G52" s="566"/>
      <c r="H52" s="565">
        <f>'Sources and Uses Budget'!T52</f>
        <v>0</v>
      </c>
      <c r="I52" s="566"/>
      <c r="J52" s="566"/>
      <c r="K52" s="563"/>
    </row>
    <row r="53" spans="1:11" s="564" customFormat="1">
      <c r="A53" s="571" t="str">
        <f>'Sources and Uses Budget'!$A53</f>
        <v>Other: Construction Lender Expenses</v>
      </c>
      <c r="B53" s="565">
        <f>'Sources and Uses Budget'!C53</f>
        <v>40000</v>
      </c>
      <c r="C53" s="566"/>
      <c r="D53" s="566"/>
      <c r="E53" s="565">
        <f>'Sources and Uses Budget'!S53</f>
        <v>20952</v>
      </c>
      <c r="F53" s="566"/>
      <c r="G53" s="566"/>
      <c r="H53" s="565">
        <f>'Sources and Uses Budget'!T53</f>
        <v>0</v>
      </c>
      <c r="I53" s="566"/>
      <c r="J53" s="566"/>
      <c r="K53" s="563"/>
    </row>
    <row r="54" spans="1:11" s="575" customFormat="1">
      <c r="A54" s="569" t="s">
        <v>162</v>
      </c>
      <c r="B54" s="565">
        <f>'Sources and Uses Budget'!C54</f>
        <v>2265844</v>
      </c>
      <c r="C54" s="572">
        <f>SUM(C45:C53)</f>
        <v>0</v>
      </c>
      <c r="D54" s="572">
        <f>SUM(D45:D53)</f>
        <v>0</v>
      </c>
      <c r="E54" s="565">
        <f>'Sources and Uses Budget'!S54</f>
        <v>1342030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42098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30000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 customHeight="1">
      <c r="A62" s="569" t="s">
        <v>309</v>
      </c>
      <c r="B62" s="565">
        <f>'Sources and Uses Budget'!C62</f>
        <v>82098</v>
      </c>
      <c r="C62" s="565">
        <f>SUM(C56:C61)</f>
        <v>0</v>
      </c>
      <c r="D62" s="565">
        <f>SUM(D56:D61)</f>
        <v>0</v>
      </c>
      <c r="E62" s="567"/>
      <c r="F62" s="567"/>
      <c r="G62" s="567"/>
      <c r="H62" s="567"/>
      <c r="I62" s="567"/>
      <c r="J62" s="567"/>
      <c r="K62" s="563"/>
    </row>
    <row r="63" spans="1:11" s="564" customFormat="1">
      <c r="A63" s="576" t="s">
        <v>310</v>
      </c>
      <c r="B63" s="565">
        <f>'Sources and Uses Budget'!C63</f>
        <v>41160789</v>
      </c>
      <c r="C63" s="565">
        <f>SUM(C8+C11+C13+C14+C15+C26+C27+C38+C42+C43+C54+C62)</f>
        <v>0</v>
      </c>
      <c r="D63" s="565">
        <f>SUM(D8+D11+D13+D14+D15+D26+D27+D38+D42+D43+D54+D62)</f>
        <v>0</v>
      </c>
      <c r="E63" s="565">
        <f>'Sources and Uses Budget'!S63</f>
        <v>37354877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75000</v>
      </c>
      <c r="C65" s="566"/>
      <c r="D65" s="566"/>
      <c r="E65" s="565">
        <f>'Sources and Uses Budget'!S65</f>
        <v>26190</v>
      </c>
      <c r="F65" s="566"/>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21987</v>
      </c>
      <c r="C67" s="566"/>
      <c r="D67" s="566"/>
      <c r="E67" s="565">
        <f>'Sources and Uses Budget'!S67</f>
        <v>21987</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65000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161987</v>
      </c>
      <c r="C70" s="565">
        <f>SUM(C64:C69)</f>
        <v>0</v>
      </c>
      <c r="D70" s="565">
        <f>SUM(D64:D69)</f>
        <v>0</v>
      </c>
      <c r="E70" s="565">
        <f>'Sources and Uses Budget'!S70</f>
        <v>98177</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662770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662770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1730520</v>
      </c>
      <c r="C79" s="566"/>
      <c r="D79" s="566"/>
      <c r="E79" s="565">
        <f>'Sources and Uses Budget'!S79</f>
        <v>1730520</v>
      </c>
      <c r="F79" s="566"/>
      <c r="G79" s="566"/>
      <c r="H79" s="565">
        <f>'Sources and Uses Budget'!T79</f>
        <v>0</v>
      </c>
      <c r="I79" s="566"/>
      <c r="J79" s="566"/>
      <c r="K79" s="563"/>
    </row>
    <row r="80" spans="1:11" s="564" customFormat="1">
      <c r="A80" s="568" t="s">
        <v>61</v>
      </c>
      <c r="B80" s="565">
        <f>'Sources and Uses Budget'!C80</f>
        <v>239535</v>
      </c>
      <c r="C80" s="566"/>
      <c r="D80" s="566"/>
      <c r="E80" s="565">
        <f>'Sources and Uses Budget'!S80</f>
        <v>239535</v>
      </c>
      <c r="F80" s="566"/>
      <c r="G80" s="566"/>
      <c r="H80" s="565">
        <f>'Sources and Uses Budget'!T80</f>
        <v>0</v>
      </c>
      <c r="I80" s="566"/>
      <c r="J80" s="566"/>
      <c r="K80" s="563"/>
    </row>
    <row r="81" spans="1:11" s="564" customFormat="1">
      <c r="A81" s="569" t="s">
        <v>1418</v>
      </c>
      <c r="B81" s="565">
        <f>'Sources and Uses Budget'!C81</f>
        <v>1970055</v>
      </c>
      <c r="C81" s="565">
        <f>SUM(C79:C80)</f>
        <v>0</v>
      </c>
      <c r="D81" s="565">
        <f>SUM(D79:D80)</f>
        <v>0</v>
      </c>
      <c r="E81" s="565">
        <f>'Sources and Uses Budget'!S81</f>
        <v>1970055</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88896</v>
      </c>
      <c r="C83" s="566"/>
      <c r="D83" s="566"/>
      <c r="E83" s="567"/>
      <c r="F83" s="567"/>
      <c r="G83" s="567"/>
      <c r="H83" s="567"/>
      <c r="I83" s="567"/>
      <c r="J83" s="567"/>
      <c r="K83" s="563"/>
    </row>
    <row r="84" spans="1:11" s="564" customFormat="1">
      <c r="A84" s="215" t="s">
        <v>825</v>
      </c>
      <c r="B84" s="565">
        <f>'Sources and Uses Budget'!C84</f>
        <v>4000</v>
      </c>
      <c r="C84" s="566"/>
      <c r="D84" s="566"/>
      <c r="E84" s="565">
        <f>'Sources and Uses Budget'!S84</f>
        <v>4000</v>
      </c>
      <c r="F84" s="566"/>
      <c r="G84" s="566"/>
      <c r="H84" s="565">
        <f>'Sources and Uses Budget'!T84</f>
        <v>0</v>
      </c>
      <c r="I84" s="566"/>
      <c r="J84" s="566"/>
      <c r="K84" s="563"/>
    </row>
    <row r="85" spans="1:11" s="564" customFormat="1">
      <c r="A85" s="215" t="s">
        <v>826</v>
      </c>
      <c r="B85" s="565">
        <f>'Sources and Uses Budget'!C85</f>
        <v>2201859</v>
      </c>
      <c r="C85" s="566"/>
      <c r="D85" s="566"/>
      <c r="E85" s="565">
        <f>'Sources and Uses Budget'!S85</f>
        <v>468800</v>
      </c>
      <c r="F85" s="566"/>
      <c r="G85" s="566"/>
      <c r="H85" s="565">
        <f>'Sources and Uses Budget'!T85</f>
        <v>0</v>
      </c>
      <c r="I85" s="566"/>
      <c r="J85" s="566"/>
      <c r="K85" s="563"/>
    </row>
    <row r="86" spans="1:11" s="564" customFormat="1">
      <c r="A86" s="215" t="s">
        <v>827</v>
      </c>
      <c r="B86" s="565">
        <f>'Sources and Uses Budget'!C86</f>
        <v>539810</v>
      </c>
      <c r="C86" s="566"/>
      <c r="D86" s="566"/>
      <c r="E86" s="565">
        <f>'Sources and Uses Budget'!S86</f>
        <v>539810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173000</v>
      </c>
      <c r="C88" s="566"/>
      <c r="D88" s="566"/>
      <c r="E88" s="567"/>
      <c r="F88" s="567"/>
      <c r="G88" s="567"/>
      <c r="H88" s="567"/>
      <c r="I88" s="567"/>
      <c r="J88" s="567"/>
      <c r="K88" s="563"/>
    </row>
    <row r="89" spans="1:11" s="564" customFormat="1">
      <c r="A89" s="215" t="s">
        <v>830</v>
      </c>
      <c r="B89" s="565">
        <f>'Sources and Uses Budget'!C89</f>
        <v>20000</v>
      </c>
      <c r="C89" s="566"/>
      <c r="D89" s="566"/>
      <c r="E89" s="565">
        <f>'Sources and Uses Budget'!S89</f>
        <v>20000</v>
      </c>
      <c r="F89" s="566"/>
      <c r="G89" s="566"/>
      <c r="H89" s="565">
        <f>'Sources and Uses Budget'!T89</f>
        <v>0</v>
      </c>
      <c r="I89" s="566"/>
      <c r="J89" s="566"/>
      <c r="K89" s="563"/>
    </row>
    <row r="90" spans="1:11" s="564" customFormat="1">
      <c r="A90" s="215" t="s">
        <v>831</v>
      </c>
      <c r="B90" s="565">
        <f>'Sources and Uses Budget'!C90</f>
        <v>10500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3500</v>
      </c>
      <c r="C92" s="566"/>
      <c r="D92" s="566"/>
      <c r="E92" s="565">
        <f>'Sources and Uses Budget'!S92</f>
        <v>0</v>
      </c>
      <c r="F92" s="566"/>
      <c r="G92" s="566"/>
      <c r="H92" s="565">
        <f>'Sources and Uses Budget'!T92</f>
        <v>0</v>
      </c>
      <c r="I92" s="566"/>
      <c r="J92" s="566"/>
      <c r="K92" s="563"/>
    </row>
    <row r="93" spans="1:11" s="564" customFormat="1">
      <c r="A93" s="571" t="str">
        <f>'Sources and Uses Budget'!$A93</f>
        <v>Other: LEED/HERS Rater</v>
      </c>
      <c r="B93" s="565">
        <f>'Sources and Uses Budget'!C93</f>
        <v>6000</v>
      </c>
      <c r="C93" s="566"/>
      <c r="D93" s="566"/>
      <c r="E93" s="565">
        <f>'Sources and Uses Budget'!S93</f>
        <v>6000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3047565</v>
      </c>
      <c r="C96" s="565">
        <f>SUM(C83:C95)</f>
        <v>0</v>
      </c>
      <c r="D96" s="565">
        <f>SUM(D83:D95)</f>
        <v>0</v>
      </c>
      <c r="E96" s="565">
        <f>'Sources and Uses Budget'!S96</f>
        <v>1038610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47003166</v>
      </c>
      <c r="C97" s="565">
        <f>SUM(C63+C70+C77+C81+C96)</f>
        <v>0</v>
      </c>
      <c r="D97" s="565">
        <f>SUM(D63+D70+D77+D81+D96)</f>
        <v>0</v>
      </c>
      <c r="E97" s="565">
        <f>'Sources and Uses Budget'!S97</f>
        <v>40461719</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6069258</v>
      </c>
      <c r="C99" s="566"/>
      <c r="D99" s="566"/>
      <c r="E99" s="565">
        <f>'Sources and Uses Budget'!S99</f>
        <v>6069258</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6069258</v>
      </c>
      <c r="C104" s="565">
        <f>SUM(C99:C103)</f>
        <v>0</v>
      </c>
      <c r="D104" s="565">
        <f>SUM(D99:D103)</f>
        <v>0</v>
      </c>
      <c r="E104" s="565">
        <f>'Sources and Uses Budget'!S104</f>
        <v>6069258</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53072424</v>
      </c>
      <c r="C105" s="572">
        <f>SUM(C97+C104)</f>
        <v>0</v>
      </c>
      <c r="D105" s="572">
        <f>SUM(D97+D104)</f>
        <v>0</v>
      </c>
      <c r="E105" s="565">
        <f>'Sources and Uses Budget'!S105</f>
        <v>46530977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46530977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2601" t="s">
        <v>2030</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02"/>
      <c r="AW1" s="2602"/>
      <c r="AX1" s="2602"/>
      <c r="AY1" s="2602"/>
      <c r="AZ1" s="2602"/>
      <c r="BA1" s="2602"/>
      <c r="BB1" s="2602"/>
      <c r="BC1" s="2602"/>
      <c r="BD1" s="2602"/>
      <c r="BE1" s="2603"/>
    </row>
    <row r="2" spans="1:58" ht="15.75" customHeight="1">
      <c r="A2" s="2604" t="s">
        <v>2031</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7" t="str">
        <f>IF(Application!H18="","",Application!H18)</f>
        <v>The Wong Center</v>
      </c>
      <c r="M4" s="2608"/>
      <c r="N4" s="2608"/>
      <c r="O4" s="2608"/>
      <c r="P4" s="2608"/>
      <c r="Q4" s="2608"/>
      <c r="R4" s="2608"/>
      <c r="S4" s="2608"/>
      <c r="T4" s="2608"/>
      <c r="U4" s="2608"/>
      <c r="V4" s="2608"/>
      <c r="W4" s="2608"/>
      <c r="X4" s="2608"/>
      <c r="Y4" s="2608"/>
      <c r="Z4" s="2608"/>
      <c r="AA4" s="2608"/>
      <c r="AB4" s="2608"/>
      <c r="AC4" s="2609"/>
      <c r="AD4" s="1528"/>
      <c r="AE4" s="1528"/>
      <c r="AF4" s="2610" t="s">
        <v>2032</v>
      </c>
      <c r="AG4" s="2611"/>
      <c r="AH4" s="2611"/>
      <c r="AI4" s="2611"/>
      <c r="AJ4" s="2611"/>
      <c r="AK4" s="2611"/>
      <c r="AL4" s="2611"/>
      <c r="AM4" s="2611"/>
      <c r="AN4" s="2611"/>
      <c r="AO4" s="2611"/>
      <c r="AP4" s="2612">
        <v>44197</v>
      </c>
      <c r="AQ4" s="2613"/>
      <c r="AR4" s="2613"/>
      <c r="AS4" s="2613"/>
      <c r="AT4" s="2613"/>
      <c r="AU4" s="2614"/>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5" t="s">
        <v>2033</v>
      </c>
      <c r="AG5" s="2616"/>
      <c r="AH5" s="2616"/>
      <c r="AI5" s="2616"/>
      <c r="AJ5" s="2616"/>
      <c r="AK5" s="2616"/>
      <c r="AL5" s="2616"/>
      <c r="AM5" s="2616"/>
      <c r="AN5" s="2616"/>
      <c r="AO5" s="2616"/>
      <c r="AP5" s="2612">
        <v>44197</v>
      </c>
      <c r="AQ5" s="2613"/>
      <c r="AR5" s="2613"/>
      <c r="AS5" s="2613"/>
      <c r="AT5" s="2613"/>
      <c r="AU5" s="2614"/>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31" t="str">
        <f>IF(Application!H16="","",Application!H16)</f>
        <v>Wong Center at the Railyard, L.P.</v>
      </c>
      <c r="M6" s="2632"/>
      <c r="N6" s="2632"/>
      <c r="O6" s="2632"/>
      <c r="P6" s="2632"/>
      <c r="Q6" s="2632"/>
      <c r="R6" s="2632"/>
      <c r="S6" s="2632"/>
      <c r="T6" s="2632"/>
      <c r="U6" s="2632"/>
      <c r="V6" s="2632"/>
      <c r="W6" s="2632"/>
      <c r="X6" s="2632"/>
      <c r="Y6" s="2632"/>
      <c r="Z6" s="2632"/>
      <c r="AA6" s="2632"/>
      <c r="AB6" s="2632"/>
      <c r="AC6" s="2633"/>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4" t="str">
        <f>Application!T196</f>
        <v>No</v>
      </c>
      <c r="AC8" s="2635"/>
      <c r="AD8" s="2636"/>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637" t="e">
        <f>VLOOKUP("CalHFA Permanent Loan",Application!C564:AS575,37,TRUE)</f>
        <v>#N/A</v>
      </c>
      <c r="O10" s="2638"/>
      <c r="P10" s="2638"/>
      <c r="Q10" s="2638"/>
      <c r="R10" s="2638"/>
      <c r="S10" s="2638"/>
      <c r="T10" s="2639"/>
      <c r="U10" s="1528"/>
      <c r="V10" s="1528"/>
      <c r="W10" s="1528"/>
      <c r="X10" s="2617" t="s">
        <v>2038</v>
      </c>
      <c r="Y10" s="2618"/>
      <c r="Z10" s="2618"/>
      <c r="AA10" s="2618"/>
      <c r="AB10" s="2618"/>
      <c r="AC10" s="2618"/>
      <c r="AD10" s="2618"/>
      <c r="AE10" s="2618"/>
      <c r="AF10" s="2618"/>
      <c r="AG10" s="2618"/>
      <c r="AH10" s="2618"/>
      <c r="AI10" s="2618"/>
      <c r="AJ10" s="2618"/>
      <c r="AK10" s="2619"/>
      <c r="AL10" s="2623">
        <f>Application!W471</f>
        <v>38</v>
      </c>
      <c r="AM10" s="2624"/>
      <c r="AN10" s="2624"/>
      <c r="AO10" s="2624"/>
      <c r="AP10" s="2625"/>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640">
        <f>Application!AA925</f>
        <v>0</v>
      </c>
      <c r="O11" s="2641"/>
      <c r="P11" s="2641"/>
      <c r="Q11" s="2641"/>
      <c r="R11" s="2641"/>
      <c r="S11" s="2641"/>
      <c r="T11" s="2642"/>
      <c r="U11" s="1528"/>
      <c r="V11" s="1528"/>
      <c r="W11" s="1528"/>
      <c r="X11" s="2643" t="s">
        <v>2040</v>
      </c>
      <c r="Y11" s="2644"/>
      <c r="Z11" s="2644"/>
      <c r="AA11" s="2644"/>
      <c r="AB11" s="2644"/>
      <c r="AC11" s="2644"/>
      <c r="AD11" s="2644"/>
      <c r="AE11" s="2644"/>
      <c r="AF11" s="2644"/>
      <c r="AG11" s="2644"/>
      <c r="AH11" s="2644"/>
      <c r="AI11" s="2644"/>
      <c r="AJ11" s="2644"/>
      <c r="AK11" s="2645"/>
      <c r="AL11" s="2620">
        <v>44197</v>
      </c>
      <c r="AM11" s="2621"/>
      <c r="AN11" s="2621"/>
      <c r="AO11" s="2621"/>
      <c r="AP11" s="2622"/>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7" t="s">
        <v>2041</v>
      </c>
      <c r="Y12" s="2618"/>
      <c r="Z12" s="2618"/>
      <c r="AA12" s="2618"/>
      <c r="AB12" s="2618"/>
      <c r="AC12" s="2618"/>
      <c r="AD12" s="2618"/>
      <c r="AE12" s="2618"/>
      <c r="AF12" s="2618"/>
      <c r="AG12" s="2618"/>
      <c r="AH12" s="2618"/>
      <c r="AI12" s="2618"/>
      <c r="AJ12" s="2618"/>
      <c r="AK12" s="2619"/>
      <c r="AL12" s="2620">
        <v>44197</v>
      </c>
      <c r="AM12" s="2621"/>
      <c r="AN12" s="2621"/>
      <c r="AO12" s="2621"/>
      <c r="AP12" s="2622"/>
      <c r="AQ12" s="1531"/>
      <c r="AR12" s="1531"/>
      <c r="AS12" s="1531"/>
      <c r="AT12" s="1531"/>
      <c r="AU12" s="1531"/>
      <c r="AV12" s="1528"/>
      <c r="AW12" s="1528"/>
      <c r="AX12" s="1528"/>
      <c r="AY12" s="1528"/>
      <c r="AZ12" s="1528"/>
      <c r="BA12" s="1528"/>
      <c r="BB12" s="1528"/>
      <c r="BC12" s="1528"/>
      <c r="BD12" s="1528"/>
      <c r="BE12" s="1534"/>
    </row>
    <row r="13" spans="1:58" thickBot="1">
      <c r="A13" s="1817"/>
      <c r="B13" s="2617" t="s">
        <v>2042</v>
      </c>
      <c r="C13" s="2618"/>
      <c r="D13" s="2618"/>
      <c r="E13" s="2618"/>
      <c r="F13" s="2618"/>
      <c r="G13" s="2618"/>
      <c r="H13" s="2618"/>
      <c r="I13" s="2618"/>
      <c r="J13" s="2618"/>
      <c r="K13" s="2618"/>
      <c r="L13" s="2618"/>
      <c r="M13" s="2618"/>
      <c r="N13" s="2618"/>
      <c r="O13" s="2618"/>
      <c r="P13" s="2619"/>
      <c r="Q13" s="2626" t="s">
        <v>2036</v>
      </c>
      <c r="R13" s="2613"/>
      <c r="S13" s="2613"/>
      <c r="T13" s="2614"/>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7" t="s">
        <v>2043</v>
      </c>
      <c r="C15" s="2627"/>
      <c r="D15" s="2627"/>
      <c r="E15" s="2627"/>
      <c r="F15" s="2627"/>
      <c r="G15" s="2627"/>
      <c r="H15" s="2627"/>
      <c r="I15" s="2627"/>
      <c r="J15" s="2627"/>
      <c r="K15" s="2627"/>
      <c r="L15" s="2628"/>
      <c r="M15" s="2610" t="s">
        <v>2044</v>
      </c>
      <c r="N15" s="2611"/>
      <c r="O15" s="2611"/>
      <c r="P15" s="2611"/>
      <c r="Q15" s="2611"/>
      <c r="R15" s="2611"/>
      <c r="S15" s="2629" t="str">
        <f>IF(Application!AB214="","",Application!AB214)</f>
        <v/>
      </c>
      <c r="T15" s="2629"/>
      <c r="U15" s="2629"/>
      <c r="V15" s="2629"/>
      <c r="W15" s="2630"/>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6" t="s">
        <v>2045</v>
      </c>
      <c r="C17" s="2647"/>
      <c r="D17" s="2647"/>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c r="AS17" s="2647"/>
      <c r="AT17" s="2647"/>
      <c r="AU17" s="2647"/>
      <c r="AV17" s="2647"/>
      <c r="AW17" s="2647"/>
      <c r="AX17" s="2647"/>
      <c r="AY17" s="2648"/>
      <c r="AZ17" s="1528"/>
      <c r="BA17" s="1528"/>
      <c r="BB17" s="1528"/>
      <c r="BC17" s="1528"/>
      <c r="BD17" s="1528"/>
      <c r="BE17" s="1534"/>
      <c r="BF17" s="1526"/>
    </row>
    <row r="18" spans="1:58" ht="15.75" customHeight="1">
      <c r="A18" s="1817"/>
      <c r="B18" s="2649" t="s">
        <v>2046</v>
      </c>
      <c r="C18" s="2650"/>
      <c r="D18" s="2650"/>
      <c r="E18" s="2650"/>
      <c r="F18" s="2650"/>
      <c r="G18" s="2650"/>
      <c r="H18" s="2650"/>
      <c r="I18" s="2651"/>
      <c r="J18" s="2652" t="s">
        <v>1880</v>
      </c>
      <c r="K18" s="2653"/>
      <c r="L18" s="2653"/>
      <c r="M18" s="2653"/>
      <c r="N18" s="2653"/>
      <c r="O18" s="2654"/>
      <c r="P18" s="2652" t="s">
        <v>333</v>
      </c>
      <c r="Q18" s="2653"/>
      <c r="R18" s="2653"/>
      <c r="S18" s="2653"/>
      <c r="T18" s="2653"/>
      <c r="U18" s="2654"/>
      <c r="V18" s="2652" t="s">
        <v>334</v>
      </c>
      <c r="W18" s="2653"/>
      <c r="X18" s="2653"/>
      <c r="Y18" s="2653"/>
      <c r="Z18" s="2653"/>
      <c r="AA18" s="2654"/>
      <c r="AB18" s="2652" t="s">
        <v>168</v>
      </c>
      <c r="AC18" s="2653"/>
      <c r="AD18" s="2653"/>
      <c r="AE18" s="2653"/>
      <c r="AF18" s="2653"/>
      <c r="AG18" s="2654"/>
      <c r="AH18" s="2652" t="s">
        <v>169</v>
      </c>
      <c r="AI18" s="2653"/>
      <c r="AJ18" s="2653"/>
      <c r="AK18" s="2653"/>
      <c r="AL18" s="2653"/>
      <c r="AM18" s="2654"/>
      <c r="AN18" s="2652" t="s">
        <v>170</v>
      </c>
      <c r="AO18" s="2653"/>
      <c r="AP18" s="2653"/>
      <c r="AQ18" s="2653"/>
      <c r="AR18" s="2653"/>
      <c r="AS18" s="2654"/>
      <c r="AT18" s="2652" t="s">
        <v>2047</v>
      </c>
      <c r="AU18" s="2653"/>
      <c r="AV18" s="2653"/>
      <c r="AW18" s="2653"/>
      <c r="AX18" s="2653"/>
      <c r="AY18" s="2655"/>
      <c r="AZ18" s="1528"/>
      <c r="BA18" s="1528"/>
      <c r="BB18" s="1528"/>
      <c r="BC18" s="1528"/>
      <c r="BD18" s="1528"/>
      <c r="BE18" s="1534"/>
    </row>
    <row r="19" spans="1:58" ht="15">
      <c r="A19" s="1817"/>
      <c r="B19" s="2662">
        <v>0.2</v>
      </c>
      <c r="C19" s="2663"/>
      <c r="D19" s="2663"/>
      <c r="E19" s="2663"/>
      <c r="F19" s="2663"/>
      <c r="G19" s="2663"/>
      <c r="H19" s="2663"/>
      <c r="I19" s="2663"/>
      <c r="J19" s="2652">
        <f>SUM(P19:AS19)</f>
        <v>0</v>
      </c>
      <c r="K19" s="2653"/>
      <c r="L19" s="2653"/>
      <c r="M19" s="2653"/>
      <c r="N19" s="2653"/>
      <c r="O19" s="2654"/>
      <c r="P19" s="2656" cm="1">
        <f t="array" ref="P19">SUMPRODUCT((Application!$B$728:$B$752 = 'CalHFA Addendum'!P$18)*(Application!$AH$728:$AH$752 = 'CalHFA Addendum'!$B19),Application!$G$728:$G$752)</f>
        <v>0</v>
      </c>
      <c r="Q19" s="2657"/>
      <c r="R19" s="2657"/>
      <c r="S19" s="2657"/>
      <c r="T19" s="2657"/>
      <c r="U19" s="2658"/>
      <c r="V19" s="2656" cm="1">
        <f t="array" ref="V19">SUMPRODUCT((Application!$B$728:$B$752 = 'CalHFA Addendum'!V$18)*(Application!$AH$728:$AH$752 = 'CalHFA Addendum'!$B19),Application!$G$728:$G$752)</f>
        <v>0</v>
      </c>
      <c r="W19" s="2657"/>
      <c r="X19" s="2657"/>
      <c r="Y19" s="2657"/>
      <c r="Z19" s="2657"/>
      <c r="AA19" s="2658"/>
      <c r="AB19" s="2656" cm="1">
        <f t="array" ref="AB19">SUMPRODUCT((Application!$B$728:$B$752 = 'CalHFA Addendum'!AB$18)*(Application!$AH$728:$AH$752 = 'CalHFA Addendum'!$B19),Application!$G$728:$G$752)</f>
        <v>0</v>
      </c>
      <c r="AC19" s="2657"/>
      <c r="AD19" s="2657"/>
      <c r="AE19" s="2657"/>
      <c r="AF19" s="2657"/>
      <c r="AG19" s="2658"/>
      <c r="AH19" s="2656" cm="1">
        <f t="array" ref="AH19">SUMPRODUCT((Application!$B$728:$B$752 = 'CalHFA Addendum'!AH$18)*(Application!$AH$728:$AH$752 = 'CalHFA Addendum'!$B19),Application!$G$728:$G$752)</f>
        <v>0</v>
      </c>
      <c r="AI19" s="2657"/>
      <c r="AJ19" s="2657"/>
      <c r="AK19" s="2657"/>
      <c r="AL19" s="2657"/>
      <c r="AM19" s="2658"/>
      <c r="AN19" s="2656" cm="1">
        <f t="array" ref="AN19">SUMPRODUCT((Application!$B$728:$B$752 = 'CalHFA Addendum'!AN$18)*(Application!$AH$728:$AH$752 = 'CalHFA Addendum'!$B19),Application!$G$728:$G$752)</f>
        <v>0</v>
      </c>
      <c r="AO19" s="2657"/>
      <c r="AP19" s="2657"/>
      <c r="AQ19" s="2657"/>
      <c r="AR19" s="2657"/>
      <c r="AS19" s="2658"/>
      <c r="AT19" s="2659">
        <f t="shared" ref="AT19:AT27" si="0">J19/$J$29</f>
        <v>0</v>
      </c>
      <c r="AU19" s="2660"/>
      <c r="AV19" s="2660"/>
      <c r="AW19" s="2660"/>
      <c r="AX19" s="2660"/>
      <c r="AY19" s="2661"/>
      <c r="AZ19" s="1535"/>
      <c r="BA19" s="1528"/>
      <c r="BB19" s="1528"/>
      <c r="BC19" s="1528"/>
      <c r="BD19" s="1528"/>
      <c r="BE19" s="1534"/>
    </row>
    <row r="20" spans="1:58" ht="15" customHeight="1">
      <c r="A20" s="1817"/>
      <c r="B20" s="2662">
        <v>0.3</v>
      </c>
      <c r="C20" s="2663"/>
      <c r="D20" s="2663"/>
      <c r="E20" s="2663"/>
      <c r="F20" s="2663"/>
      <c r="G20" s="2663"/>
      <c r="H20" s="2663"/>
      <c r="I20" s="2663"/>
      <c r="J20" s="2652">
        <f t="shared" ref="J20:J27" si="1">SUM(P20:AS20)</f>
        <v>0</v>
      </c>
      <c r="K20" s="2653"/>
      <c r="L20" s="2653"/>
      <c r="M20" s="2653"/>
      <c r="N20" s="2653"/>
      <c r="O20" s="2654"/>
      <c r="P20" s="2656" cm="1">
        <f t="array" ref="P20">SUMPRODUCT((Application!$B$728:$B$752 = 'CalHFA Addendum'!P$18)*(Application!$AH$728:$AH$752 = 'CalHFA Addendum'!$B20),Application!$G$728:$G$752)</f>
        <v>0</v>
      </c>
      <c r="Q20" s="2657"/>
      <c r="R20" s="2657"/>
      <c r="S20" s="2657"/>
      <c r="T20" s="2657"/>
      <c r="U20" s="2658"/>
      <c r="V20" s="2656" cm="1">
        <f t="array" ref="V20">SUMPRODUCT((Application!$B$728:$B$752 = 'CalHFA Addendum'!V$18)*(Application!$AH$728:$AH$752 = 'CalHFA Addendum'!$B20),Application!$G$728:$G$752)</f>
        <v>0</v>
      </c>
      <c r="W20" s="2657"/>
      <c r="X20" s="2657"/>
      <c r="Y20" s="2657"/>
      <c r="Z20" s="2657"/>
      <c r="AA20" s="2658"/>
      <c r="AB20" s="2656" cm="1">
        <f t="array" ref="AB20">SUMPRODUCT((Application!$B$728:$B$752 = 'CalHFA Addendum'!AB$18)*(Application!$AH$728:$AH$752 = 'CalHFA Addendum'!$B20),Application!$G$728:$G$752)</f>
        <v>0</v>
      </c>
      <c r="AC20" s="2657"/>
      <c r="AD20" s="2657"/>
      <c r="AE20" s="2657"/>
      <c r="AF20" s="2657"/>
      <c r="AG20" s="2658"/>
      <c r="AH20" s="2656" cm="1">
        <f t="array" ref="AH20">SUMPRODUCT((Application!$B$728:$B$752 = 'CalHFA Addendum'!AH$18)*(Application!$AH$728:$AH$752 = 'CalHFA Addendum'!$B20),Application!$G$728:$G$752)</f>
        <v>0</v>
      </c>
      <c r="AI20" s="2657"/>
      <c r="AJ20" s="2657"/>
      <c r="AK20" s="2657"/>
      <c r="AL20" s="2657"/>
      <c r="AM20" s="2658"/>
      <c r="AN20" s="2656" cm="1">
        <f t="array" ref="AN20">SUMPRODUCT((Application!$B$728:$B$752 = 'CalHFA Addendum'!AN$18)*(Application!$AH$728:$AH$752 = 'CalHFA Addendum'!$B20),Application!$G$728:$G$752)</f>
        <v>0</v>
      </c>
      <c r="AO20" s="2657"/>
      <c r="AP20" s="2657"/>
      <c r="AQ20" s="2657"/>
      <c r="AR20" s="2657"/>
      <c r="AS20" s="2658"/>
      <c r="AT20" s="2659">
        <f t="shared" si="0"/>
        <v>0</v>
      </c>
      <c r="AU20" s="2660"/>
      <c r="AV20" s="2660"/>
      <c r="AW20" s="2660"/>
      <c r="AX20" s="2660"/>
      <c r="AY20" s="2661"/>
      <c r="AZ20" s="1528"/>
      <c r="BA20" s="1528"/>
      <c r="BB20" s="1528"/>
      <c r="BC20" s="1528"/>
      <c r="BD20" s="1528"/>
      <c r="BE20" s="1534"/>
    </row>
    <row r="21" spans="1:58" ht="15">
      <c r="A21" s="1817"/>
      <c r="B21" s="2662">
        <v>0.4</v>
      </c>
      <c r="C21" s="2663"/>
      <c r="D21" s="2663"/>
      <c r="E21" s="2663"/>
      <c r="F21" s="2663"/>
      <c r="G21" s="2663"/>
      <c r="H21" s="2663"/>
      <c r="I21" s="2663"/>
      <c r="J21" s="2652">
        <f t="shared" si="1"/>
        <v>30</v>
      </c>
      <c r="K21" s="2653"/>
      <c r="L21" s="2653"/>
      <c r="M21" s="2653"/>
      <c r="N21" s="2653"/>
      <c r="O21" s="2654"/>
      <c r="P21" s="2656" cm="1">
        <f t="array" ref="P21">SUMPRODUCT((Application!$B$728:$B$752 = 'CalHFA Addendum'!P$18)*(Application!$AH$728:$AH$752 = 'CalHFA Addendum'!$B21),Application!$G$728:$G$752)</f>
        <v>0</v>
      </c>
      <c r="Q21" s="2657"/>
      <c r="R21" s="2657"/>
      <c r="S21" s="2657"/>
      <c r="T21" s="2657"/>
      <c r="U21" s="2658"/>
      <c r="V21" s="2656" cm="1">
        <f t="array" ref="V21">SUMPRODUCT((Application!$B$728:$B$752 = 'CalHFA Addendum'!V$18)*(Application!$AH$728:$AH$752 = 'CalHFA Addendum'!$B21),Application!$G$728:$G$752)</f>
        <v>27</v>
      </c>
      <c r="W21" s="2657"/>
      <c r="X21" s="2657"/>
      <c r="Y21" s="2657"/>
      <c r="Z21" s="2657"/>
      <c r="AA21" s="2658"/>
      <c r="AB21" s="2656" cm="1">
        <f t="array" ref="AB21">SUMPRODUCT((Application!$B$728:$B$752 = 'CalHFA Addendum'!AB$18)*(Application!$AH$728:$AH$752 = 'CalHFA Addendum'!$B21),Application!$G$728:$G$752)</f>
        <v>3</v>
      </c>
      <c r="AC21" s="2657"/>
      <c r="AD21" s="2657"/>
      <c r="AE21" s="2657"/>
      <c r="AF21" s="2657"/>
      <c r="AG21" s="2658"/>
      <c r="AH21" s="2656" cm="1">
        <f t="array" ref="AH21">SUMPRODUCT((Application!$B$728:$B$752 = 'CalHFA Addendum'!AH$18)*(Application!$AH$728:$AH$752 = 'CalHFA Addendum'!$B21),Application!$G$728:$G$752)</f>
        <v>0</v>
      </c>
      <c r="AI21" s="2657"/>
      <c r="AJ21" s="2657"/>
      <c r="AK21" s="2657"/>
      <c r="AL21" s="2657"/>
      <c r="AM21" s="2658"/>
      <c r="AN21" s="2656" cm="1">
        <f t="array" ref="AN21">SUMPRODUCT((Application!$B$728:$B$752 = 'CalHFA Addendum'!AN$18)*(Application!$AH$728:$AH$752 = 'CalHFA Addendum'!$B21),Application!$G$728:$G$752)</f>
        <v>0</v>
      </c>
      <c r="AO21" s="2657"/>
      <c r="AP21" s="2657"/>
      <c r="AQ21" s="2657"/>
      <c r="AR21" s="2657"/>
      <c r="AS21" s="2658"/>
      <c r="AT21" s="2659">
        <f t="shared" si="0"/>
        <v>0.2</v>
      </c>
      <c r="AU21" s="2660"/>
      <c r="AV21" s="2660"/>
      <c r="AW21" s="2660"/>
      <c r="AX21" s="2660"/>
      <c r="AY21" s="2661"/>
      <c r="AZ21" s="1528"/>
      <c r="BA21" s="1528"/>
      <c r="BB21" s="1528"/>
      <c r="BC21" s="1528"/>
      <c r="BD21" s="1528"/>
      <c r="BE21" s="1534"/>
    </row>
    <row r="22" spans="1:58" ht="15">
      <c r="A22" s="1817"/>
      <c r="B22" s="2662">
        <v>0.5</v>
      </c>
      <c r="C22" s="2663"/>
      <c r="D22" s="2663"/>
      <c r="E22" s="2663"/>
      <c r="F22" s="2663"/>
      <c r="G22" s="2663"/>
      <c r="H22" s="2663"/>
      <c r="I22" s="2663"/>
      <c r="J22" s="2652">
        <f t="shared" si="1"/>
        <v>89</v>
      </c>
      <c r="K22" s="2653"/>
      <c r="L22" s="2653"/>
      <c r="M22" s="2653"/>
      <c r="N22" s="2653"/>
      <c r="O22" s="2654"/>
      <c r="P22" s="2656" cm="1">
        <f t="array" ref="P22">SUMPRODUCT((Application!$B$728:$B$752 = 'CalHFA Addendum'!P$18)*(Application!$AH$728:$AH$752 = 'CalHFA Addendum'!$B22),Application!$G$728:$G$752)</f>
        <v>0</v>
      </c>
      <c r="Q22" s="2657"/>
      <c r="R22" s="2657"/>
      <c r="S22" s="2657"/>
      <c r="T22" s="2657"/>
      <c r="U22" s="2658"/>
      <c r="V22" s="2656" cm="1">
        <f t="array" ref="V22">SUMPRODUCT((Application!$B$728:$B$752 = 'CalHFA Addendum'!V$18)*(Application!$AH$728:$AH$752 = 'CalHFA Addendum'!$B22),Application!$G$728:$G$752)</f>
        <v>81</v>
      </c>
      <c r="W22" s="2657"/>
      <c r="X22" s="2657"/>
      <c r="Y22" s="2657"/>
      <c r="Z22" s="2657"/>
      <c r="AA22" s="2658"/>
      <c r="AB22" s="2656" cm="1">
        <f t="array" ref="AB22">SUMPRODUCT((Application!$B$728:$B$752 = 'CalHFA Addendum'!AB$18)*(Application!$AH$728:$AH$752 = 'CalHFA Addendum'!$B22),Application!$G$728:$G$752)</f>
        <v>8</v>
      </c>
      <c r="AC22" s="2657"/>
      <c r="AD22" s="2657"/>
      <c r="AE22" s="2657"/>
      <c r="AF22" s="2657"/>
      <c r="AG22" s="2658"/>
      <c r="AH22" s="2656" cm="1">
        <f t="array" ref="AH22">SUMPRODUCT((Application!$B$728:$B$752 = 'CalHFA Addendum'!AH$18)*(Application!$AH$728:$AH$752 = 'CalHFA Addendum'!$B22),Application!$G$728:$G$752)</f>
        <v>0</v>
      </c>
      <c r="AI22" s="2657"/>
      <c r="AJ22" s="2657"/>
      <c r="AK22" s="2657"/>
      <c r="AL22" s="2657"/>
      <c r="AM22" s="2658"/>
      <c r="AN22" s="2656" cm="1">
        <f t="array" ref="AN22">SUMPRODUCT((Application!$B$728:$B$752 = 'CalHFA Addendum'!AN$18)*(Application!$AH$728:$AH$752 = 'CalHFA Addendum'!$B22),Application!$G$728:$G$752)</f>
        <v>0</v>
      </c>
      <c r="AO22" s="2657"/>
      <c r="AP22" s="2657"/>
      <c r="AQ22" s="2657"/>
      <c r="AR22" s="2657"/>
      <c r="AS22" s="2658"/>
      <c r="AT22" s="2659">
        <f t="shared" si="0"/>
        <v>0.59333333333333338</v>
      </c>
      <c r="AU22" s="2660"/>
      <c r="AV22" s="2660"/>
      <c r="AW22" s="2660"/>
      <c r="AX22" s="2660"/>
      <c r="AY22" s="2661"/>
      <c r="AZ22" s="1528"/>
      <c r="BA22" s="1528"/>
      <c r="BB22" s="1528"/>
      <c r="BC22" s="1528"/>
      <c r="BD22" s="1528"/>
      <c r="BE22" s="1534"/>
    </row>
    <row r="23" spans="1:58" ht="15">
      <c r="A23" s="1817"/>
      <c r="B23" s="2662">
        <v>0.6</v>
      </c>
      <c r="C23" s="2663"/>
      <c r="D23" s="2663"/>
      <c r="E23" s="2663"/>
      <c r="F23" s="2663"/>
      <c r="G23" s="2663"/>
      <c r="H23" s="2663"/>
      <c r="I23" s="2663"/>
      <c r="J23" s="2652">
        <f t="shared" si="1"/>
        <v>30</v>
      </c>
      <c r="K23" s="2653"/>
      <c r="L23" s="2653"/>
      <c r="M23" s="2653"/>
      <c r="N23" s="2653"/>
      <c r="O23" s="2654"/>
      <c r="P23" s="2656" cm="1">
        <f t="array" ref="P23">SUMPRODUCT((Application!$B$728:$B$752 = 'CalHFA Addendum'!P$18)*(Application!$AH$728:$AH$752 = 'CalHFA Addendum'!$B23),Application!$G$728:$G$752)</f>
        <v>0</v>
      </c>
      <c r="Q23" s="2657"/>
      <c r="R23" s="2657"/>
      <c r="S23" s="2657"/>
      <c r="T23" s="2657"/>
      <c r="U23" s="2658"/>
      <c r="V23" s="2656" cm="1">
        <f t="array" ref="V23">SUMPRODUCT((Application!$B$728:$B$752 = 'CalHFA Addendum'!V$18)*(Application!$AH$728:$AH$752 = 'CalHFA Addendum'!$B23),Application!$G$728:$G$752)</f>
        <v>27</v>
      </c>
      <c r="W23" s="2657"/>
      <c r="X23" s="2657"/>
      <c r="Y23" s="2657"/>
      <c r="Z23" s="2657"/>
      <c r="AA23" s="2658"/>
      <c r="AB23" s="2656" cm="1">
        <f t="array" ref="AB23">SUMPRODUCT((Application!$B$728:$B$752 = 'CalHFA Addendum'!AB$18)*(Application!$AH$728:$AH$752 = 'CalHFA Addendum'!$B23),Application!$G$728:$G$752)</f>
        <v>3</v>
      </c>
      <c r="AC23" s="2657"/>
      <c r="AD23" s="2657"/>
      <c r="AE23" s="2657"/>
      <c r="AF23" s="2657"/>
      <c r="AG23" s="2658"/>
      <c r="AH23" s="2656" cm="1">
        <f t="array" ref="AH23">SUMPRODUCT((Application!$B$728:$B$752 = 'CalHFA Addendum'!AH$18)*(Application!$AH$728:$AH$752 = 'CalHFA Addendum'!$B23),Application!$G$728:$G$752)</f>
        <v>0</v>
      </c>
      <c r="AI23" s="2657"/>
      <c r="AJ23" s="2657"/>
      <c r="AK23" s="2657"/>
      <c r="AL23" s="2657"/>
      <c r="AM23" s="2658"/>
      <c r="AN23" s="2656" cm="1">
        <f t="array" ref="AN23">SUMPRODUCT((Application!$B$728:$B$752 = 'CalHFA Addendum'!AN$18)*(Application!$AH$728:$AH$752 = 'CalHFA Addendum'!$B23),Application!$G$728:$G$752)</f>
        <v>0</v>
      </c>
      <c r="AO23" s="2657"/>
      <c r="AP23" s="2657"/>
      <c r="AQ23" s="2657"/>
      <c r="AR23" s="2657"/>
      <c r="AS23" s="2658"/>
      <c r="AT23" s="2659">
        <f t="shared" si="0"/>
        <v>0.2</v>
      </c>
      <c r="AU23" s="2660"/>
      <c r="AV23" s="2660"/>
      <c r="AW23" s="2660"/>
      <c r="AX23" s="2660"/>
      <c r="AY23" s="2661"/>
      <c r="AZ23" s="1528"/>
      <c r="BA23" s="1528"/>
      <c r="BB23" s="1528"/>
      <c r="BC23" s="1528"/>
      <c r="BD23" s="1528"/>
      <c r="BE23" s="1534"/>
    </row>
    <row r="24" spans="1:58" ht="15">
      <c r="A24" s="1817"/>
      <c r="B24" s="2662">
        <v>0.7</v>
      </c>
      <c r="C24" s="2663"/>
      <c r="D24" s="2663"/>
      <c r="E24" s="2663"/>
      <c r="F24" s="2663"/>
      <c r="G24" s="2663"/>
      <c r="H24" s="2663"/>
      <c r="I24" s="2663"/>
      <c r="J24" s="2652">
        <f t="shared" si="1"/>
        <v>0</v>
      </c>
      <c r="K24" s="2653"/>
      <c r="L24" s="2653"/>
      <c r="M24" s="2653"/>
      <c r="N24" s="2653"/>
      <c r="O24" s="2654"/>
      <c r="P24" s="2656" cm="1">
        <f t="array" ref="P24">SUMPRODUCT((Application!$B$728:$B$752 = 'CalHFA Addendum'!P$18)*(Application!$AH$728:$AH$752 = 'CalHFA Addendum'!$B24),Application!$G$728:$G$752)</f>
        <v>0</v>
      </c>
      <c r="Q24" s="2657"/>
      <c r="R24" s="2657"/>
      <c r="S24" s="2657"/>
      <c r="T24" s="2657"/>
      <c r="U24" s="2658"/>
      <c r="V24" s="2656" cm="1">
        <f t="array" ref="V24">SUMPRODUCT((Application!$B$728:$B$752 = 'CalHFA Addendum'!V$18)*(Application!$AH$728:$AH$752 = 'CalHFA Addendum'!$B24),Application!$G$728:$G$752)</f>
        <v>0</v>
      </c>
      <c r="W24" s="2657"/>
      <c r="X24" s="2657"/>
      <c r="Y24" s="2657"/>
      <c r="Z24" s="2657"/>
      <c r="AA24" s="2658"/>
      <c r="AB24" s="2656" cm="1">
        <f t="array" ref="AB24">SUMPRODUCT((Application!$B$728:$B$752 = 'CalHFA Addendum'!AB$18)*(Application!$AH$728:$AH$752 = 'CalHFA Addendum'!$B24),Application!$G$728:$G$752)</f>
        <v>0</v>
      </c>
      <c r="AC24" s="2657"/>
      <c r="AD24" s="2657"/>
      <c r="AE24" s="2657"/>
      <c r="AF24" s="2657"/>
      <c r="AG24" s="2658"/>
      <c r="AH24" s="2656" cm="1">
        <f t="array" ref="AH24">SUMPRODUCT((Application!$B$728:$B$752 = 'CalHFA Addendum'!AH$18)*(Application!$AH$728:$AH$752 = 'CalHFA Addendum'!$B24),Application!$G$728:$G$752)</f>
        <v>0</v>
      </c>
      <c r="AI24" s="2657"/>
      <c r="AJ24" s="2657"/>
      <c r="AK24" s="2657"/>
      <c r="AL24" s="2657"/>
      <c r="AM24" s="2658"/>
      <c r="AN24" s="2656" cm="1">
        <f t="array" ref="AN24">SUMPRODUCT((Application!$B$728:$B$752 = 'CalHFA Addendum'!AN$18)*(Application!$AH$728:$AH$752 = 'CalHFA Addendum'!$B24),Application!$G$728:$G$752)</f>
        <v>0</v>
      </c>
      <c r="AO24" s="2657"/>
      <c r="AP24" s="2657"/>
      <c r="AQ24" s="2657"/>
      <c r="AR24" s="2657"/>
      <c r="AS24" s="2658"/>
      <c r="AT24" s="2659">
        <f t="shared" si="0"/>
        <v>0</v>
      </c>
      <c r="AU24" s="2660"/>
      <c r="AV24" s="2660"/>
      <c r="AW24" s="2660"/>
      <c r="AX24" s="2660"/>
      <c r="AY24" s="2661"/>
      <c r="AZ24" s="1528"/>
      <c r="BA24" s="1528"/>
      <c r="BB24" s="1528"/>
      <c r="BC24" s="1528"/>
      <c r="BD24" s="1528"/>
      <c r="BE24" s="1534"/>
    </row>
    <row r="25" spans="1:58" ht="15">
      <c r="A25" s="1817"/>
      <c r="B25" s="2662">
        <v>0.8</v>
      </c>
      <c r="C25" s="2663"/>
      <c r="D25" s="2663"/>
      <c r="E25" s="2663"/>
      <c r="F25" s="2663"/>
      <c r="G25" s="2663"/>
      <c r="H25" s="2663"/>
      <c r="I25" s="2663"/>
      <c r="J25" s="2652">
        <f t="shared" si="1"/>
        <v>0</v>
      </c>
      <c r="K25" s="2653"/>
      <c r="L25" s="2653"/>
      <c r="M25" s="2653"/>
      <c r="N25" s="2653"/>
      <c r="O25" s="2654"/>
      <c r="P25" s="2656" cm="1">
        <f t="array" ref="P25">SUMPRODUCT((Application!$B$728:$B$752 = 'CalHFA Addendum'!P$18)*(Application!$AH$728:$AH$752 = 'CalHFA Addendum'!$B25),Application!$G$728:$G$752)</f>
        <v>0</v>
      </c>
      <c r="Q25" s="2657"/>
      <c r="R25" s="2657"/>
      <c r="S25" s="2657"/>
      <c r="T25" s="2657"/>
      <c r="U25" s="2658"/>
      <c r="V25" s="2656" cm="1">
        <f t="array" ref="V25">SUMPRODUCT((Application!$B$728:$B$752 = 'CalHFA Addendum'!V$18)*(Application!$AH$728:$AH$752 = 'CalHFA Addendum'!$B25),Application!$G$728:$G$752)</f>
        <v>0</v>
      </c>
      <c r="W25" s="2657"/>
      <c r="X25" s="2657"/>
      <c r="Y25" s="2657"/>
      <c r="Z25" s="2657"/>
      <c r="AA25" s="2658"/>
      <c r="AB25" s="2656" cm="1">
        <f t="array" ref="AB25">SUMPRODUCT((Application!$B$728:$B$752 = 'CalHFA Addendum'!AB$18)*(Application!$AH$728:$AH$752 = 'CalHFA Addendum'!$B25),Application!$G$728:$G$752)</f>
        <v>0</v>
      </c>
      <c r="AC25" s="2657"/>
      <c r="AD25" s="2657"/>
      <c r="AE25" s="2657"/>
      <c r="AF25" s="2657"/>
      <c r="AG25" s="2658"/>
      <c r="AH25" s="2656" cm="1">
        <f t="array" ref="AH25">SUMPRODUCT((Application!$B$728:$B$752 = 'CalHFA Addendum'!AH$18)*(Application!$AH$728:$AH$752 = 'CalHFA Addendum'!$B25),Application!$G$728:$G$752)</f>
        <v>0</v>
      </c>
      <c r="AI25" s="2657"/>
      <c r="AJ25" s="2657"/>
      <c r="AK25" s="2657"/>
      <c r="AL25" s="2657"/>
      <c r="AM25" s="2658"/>
      <c r="AN25" s="2656" cm="1">
        <f t="array" ref="AN25">SUMPRODUCT((Application!$B$728:$B$752 = 'CalHFA Addendum'!AN$18)*(Application!$AH$728:$AH$752 = 'CalHFA Addendum'!$B25),Application!$G$728:$G$752)</f>
        <v>0</v>
      </c>
      <c r="AO25" s="2657"/>
      <c r="AP25" s="2657"/>
      <c r="AQ25" s="2657"/>
      <c r="AR25" s="2657"/>
      <c r="AS25" s="2658"/>
      <c r="AT25" s="2659">
        <f t="shared" si="0"/>
        <v>0</v>
      </c>
      <c r="AU25" s="2660"/>
      <c r="AV25" s="2660"/>
      <c r="AW25" s="2660"/>
      <c r="AX25" s="2660"/>
      <c r="AY25" s="2661"/>
      <c r="AZ25" s="1528"/>
      <c r="BA25" s="1528"/>
      <c r="BB25" s="1528"/>
      <c r="BC25" s="1528"/>
      <c r="BD25" s="1528"/>
      <c r="BE25" s="1534"/>
    </row>
    <row r="26" spans="1:58" ht="15">
      <c r="A26" s="1817"/>
      <c r="B26" s="2662">
        <v>0.9</v>
      </c>
      <c r="C26" s="2663"/>
      <c r="D26" s="2663"/>
      <c r="E26" s="2663"/>
      <c r="F26" s="2663"/>
      <c r="G26" s="2663"/>
      <c r="H26" s="2663"/>
      <c r="I26" s="2663"/>
      <c r="J26" s="2652">
        <f t="shared" si="1"/>
        <v>0</v>
      </c>
      <c r="K26" s="2653"/>
      <c r="L26" s="2653"/>
      <c r="M26" s="2653"/>
      <c r="N26" s="2653"/>
      <c r="O26" s="2654"/>
      <c r="P26" s="2656" cm="1">
        <f t="array" ref="P26">SUMPRODUCT((Application!$B$728:$B$752 = 'CalHFA Addendum'!P$18)*(Application!$AH$728:$AH$752 = 'CalHFA Addendum'!$B26),Application!$G$728:$G$752)</f>
        <v>0</v>
      </c>
      <c r="Q26" s="2657"/>
      <c r="R26" s="2657"/>
      <c r="S26" s="2657"/>
      <c r="T26" s="2657"/>
      <c r="U26" s="2658"/>
      <c r="V26" s="2656" cm="1">
        <f t="array" ref="V26">SUMPRODUCT((Application!$B$728:$B$752 = 'CalHFA Addendum'!V$18)*(Application!$AH$728:$AH$752 = 'CalHFA Addendum'!$B26),Application!$G$728:$G$752)</f>
        <v>0</v>
      </c>
      <c r="W26" s="2657"/>
      <c r="X26" s="2657"/>
      <c r="Y26" s="2657"/>
      <c r="Z26" s="2657"/>
      <c r="AA26" s="2658"/>
      <c r="AB26" s="2656" cm="1">
        <f t="array" ref="AB26">SUMPRODUCT((Application!$B$728:$B$752 = 'CalHFA Addendum'!AB$18)*(Application!$AH$728:$AH$752 = 'CalHFA Addendum'!$B26),Application!$G$728:$G$752)</f>
        <v>0</v>
      </c>
      <c r="AC26" s="2657"/>
      <c r="AD26" s="2657"/>
      <c r="AE26" s="2657"/>
      <c r="AF26" s="2657"/>
      <c r="AG26" s="2658"/>
      <c r="AH26" s="2656" cm="1">
        <f t="array" ref="AH26">SUMPRODUCT((Application!$B$728:$B$752 = 'CalHFA Addendum'!AH$18)*(Application!$AH$728:$AH$752 = 'CalHFA Addendum'!$B26),Application!$G$728:$G$752)</f>
        <v>0</v>
      </c>
      <c r="AI26" s="2657"/>
      <c r="AJ26" s="2657"/>
      <c r="AK26" s="2657"/>
      <c r="AL26" s="2657"/>
      <c r="AM26" s="2658"/>
      <c r="AN26" s="2656" cm="1">
        <f t="array" ref="AN26">SUMPRODUCT((Application!$B$728:$B$752 = 'CalHFA Addendum'!AN$18)*(Application!$AH$728:$AH$752 = 'CalHFA Addendum'!$B26),Application!$G$728:$G$752)</f>
        <v>0</v>
      </c>
      <c r="AO26" s="2657"/>
      <c r="AP26" s="2657"/>
      <c r="AQ26" s="2657"/>
      <c r="AR26" s="2657"/>
      <c r="AS26" s="2658"/>
      <c r="AT26" s="2659">
        <f t="shared" si="0"/>
        <v>0</v>
      </c>
      <c r="AU26" s="2660"/>
      <c r="AV26" s="2660"/>
      <c r="AW26" s="2660"/>
      <c r="AX26" s="2660"/>
      <c r="AY26" s="2661"/>
      <c r="AZ26" s="1528"/>
      <c r="BA26" s="1528"/>
      <c r="BB26" s="1528"/>
      <c r="BC26" s="1528"/>
      <c r="BD26" s="1528"/>
      <c r="BE26" s="1534"/>
    </row>
    <row r="27" spans="1:58" ht="15">
      <c r="A27" s="1817"/>
      <c r="B27" s="2662">
        <v>1</v>
      </c>
      <c r="C27" s="2663"/>
      <c r="D27" s="2663"/>
      <c r="E27" s="2663"/>
      <c r="F27" s="2663"/>
      <c r="G27" s="2663"/>
      <c r="H27" s="2663"/>
      <c r="I27" s="2663"/>
      <c r="J27" s="2652">
        <f t="shared" si="1"/>
        <v>0</v>
      </c>
      <c r="K27" s="2653"/>
      <c r="L27" s="2653"/>
      <c r="M27" s="2653"/>
      <c r="N27" s="2653"/>
      <c r="O27" s="2654"/>
      <c r="P27" s="2656" cm="1">
        <f t="array" ref="P27">SUMPRODUCT((Application!$B$728:$B$752 = 'CalHFA Addendum'!P$18)*(Application!$AH$728:$AH$752 = 'CalHFA Addendum'!$B27),Application!$G$728:$G$752)</f>
        <v>0</v>
      </c>
      <c r="Q27" s="2657"/>
      <c r="R27" s="2657"/>
      <c r="S27" s="2657"/>
      <c r="T27" s="2657"/>
      <c r="U27" s="2658"/>
      <c r="V27" s="2656" cm="1">
        <f t="array" ref="V27">SUMPRODUCT((Application!$B$728:$B$752 = 'CalHFA Addendum'!V$18)*(Application!$AH$728:$AH$752 = 'CalHFA Addendum'!$B27),Application!$G$728:$G$752)</f>
        <v>0</v>
      </c>
      <c r="W27" s="2657"/>
      <c r="X27" s="2657"/>
      <c r="Y27" s="2657"/>
      <c r="Z27" s="2657"/>
      <c r="AA27" s="2658"/>
      <c r="AB27" s="2656" cm="1">
        <f t="array" ref="AB27">SUMPRODUCT((Application!$B$728:$B$752 = 'CalHFA Addendum'!AB$18)*(Application!$AH$728:$AH$752 = 'CalHFA Addendum'!$B27),Application!$G$728:$G$752)</f>
        <v>0</v>
      </c>
      <c r="AC27" s="2657"/>
      <c r="AD27" s="2657"/>
      <c r="AE27" s="2657"/>
      <c r="AF27" s="2657"/>
      <c r="AG27" s="2658"/>
      <c r="AH27" s="2656" cm="1">
        <f t="array" ref="AH27">SUMPRODUCT((Application!$B$728:$B$752 = 'CalHFA Addendum'!AH$18)*(Application!$AH$728:$AH$752 = 'CalHFA Addendum'!$B27),Application!$G$728:$G$752)</f>
        <v>0</v>
      </c>
      <c r="AI27" s="2657"/>
      <c r="AJ27" s="2657"/>
      <c r="AK27" s="2657"/>
      <c r="AL27" s="2657"/>
      <c r="AM27" s="2658"/>
      <c r="AN27" s="2656" cm="1">
        <f t="array" ref="AN27">SUMPRODUCT((Application!$B$728:$B$752 = 'CalHFA Addendum'!AN$18)*(Application!$AH$728:$AH$752 = 'CalHFA Addendum'!$B27),Application!$G$728:$G$752)</f>
        <v>0</v>
      </c>
      <c r="AO27" s="2657"/>
      <c r="AP27" s="2657"/>
      <c r="AQ27" s="2657"/>
      <c r="AR27" s="2657"/>
      <c r="AS27" s="2658"/>
      <c r="AT27" s="2659">
        <f t="shared" si="0"/>
        <v>0</v>
      </c>
      <c r="AU27" s="2660"/>
      <c r="AV27" s="2660"/>
      <c r="AW27" s="2660"/>
      <c r="AX27" s="2660"/>
      <c r="AY27" s="2661"/>
      <c r="AZ27" s="1528"/>
      <c r="BA27" s="1528"/>
      <c r="BB27" s="1528"/>
      <c r="BC27" s="1528"/>
      <c r="BD27" s="1528"/>
      <c r="BE27" s="1534"/>
      <c r="BF27" s="1699"/>
    </row>
    <row r="28" spans="1:58" thickBot="1">
      <c r="A28" s="1817"/>
      <c r="B28" s="2674" t="s">
        <v>2048</v>
      </c>
      <c r="C28" s="2675"/>
      <c r="D28" s="2675"/>
      <c r="E28" s="2675"/>
      <c r="F28" s="2675"/>
      <c r="G28" s="2675"/>
      <c r="H28" s="2675"/>
      <c r="I28" s="2676"/>
      <c r="J28" s="2652">
        <f t="shared" ref="J28" si="2">SUM(P28:AS28)</f>
        <v>1</v>
      </c>
      <c r="K28" s="2653"/>
      <c r="L28" s="2653"/>
      <c r="M28" s="2653"/>
      <c r="N28" s="2653"/>
      <c r="O28" s="2654"/>
      <c r="P28" s="2664">
        <f>_xlfn.IFNA(VLOOKUP(P$18,Application!$J$772:$S$775,6,FALSE), 0)</f>
        <v>0</v>
      </c>
      <c r="Q28" s="2665"/>
      <c r="R28" s="2665"/>
      <c r="S28" s="2665"/>
      <c r="T28" s="2665"/>
      <c r="U28" s="2666"/>
      <c r="V28" s="2664">
        <f>_xlfn.IFNA(VLOOKUP(V$18,Application!$J$772:$S$775,6,FALSE), 0)</f>
        <v>0</v>
      </c>
      <c r="W28" s="2665"/>
      <c r="X28" s="2665"/>
      <c r="Y28" s="2665"/>
      <c r="Z28" s="2665"/>
      <c r="AA28" s="2666"/>
      <c r="AB28" s="2664">
        <f>_xlfn.IFNA(VLOOKUP(AB$18,Application!$J$772:$S$775,6,FALSE), 0)</f>
        <v>1</v>
      </c>
      <c r="AC28" s="2665"/>
      <c r="AD28" s="2665"/>
      <c r="AE28" s="2665"/>
      <c r="AF28" s="2665"/>
      <c r="AG28" s="2666"/>
      <c r="AH28" s="2664">
        <f>_xlfn.IFNA(VLOOKUP(AH$18,Application!$J$772:$S$775,6,FALSE), 0)</f>
        <v>0</v>
      </c>
      <c r="AI28" s="2665"/>
      <c r="AJ28" s="2665"/>
      <c r="AK28" s="2665"/>
      <c r="AL28" s="2665"/>
      <c r="AM28" s="2666"/>
      <c r="AN28" s="2664">
        <f>_xlfn.IFNA(VLOOKUP(AN$18,Application!$J$772:$S$775,6,FALSE), 0)</f>
        <v>0</v>
      </c>
      <c r="AO28" s="2665"/>
      <c r="AP28" s="2665"/>
      <c r="AQ28" s="2665"/>
      <c r="AR28" s="2665"/>
      <c r="AS28" s="2666"/>
      <c r="AT28" s="2659">
        <f t="shared" ref="AT28" si="3">J28/$J$29</f>
        <v>6.6666666666666671E-3</v>
      </c>
      <c r="AU28" s="2660"/>
      <c r="AV28" s="2660"/>
      <c r="AW28" s="2660"/>
      <c r="AX28" s="2660"/>
      <c r="AY28" s="2661"/>
      <c r="AZ28" s="1528"/>
      <c r="BA28" s="1528"/>
      <c r="BB28" s="1528"/>
      <c r="BC28" s="1528"/>
      <c r="BD28" s="1528"/>
      <c r="BE28" s="1534"/>
    </row>
    <row r="29" spans="1:58" thickBot="1">
      <c r="A29" s="1817"/>
      <c r="B29" s="2667" t="s">
        <v>1880</v>
      </c>
      <c r="C29" s="2668"/>
      <c r="D29" s="2668"/>
      <c r="E29" s="2668"/>
      <c r="F29" s="2668"/>
      <c r="G29" s="2668"/>
      <c r="H29" s="2668"/>
      <c r="I29" s="2669"/>
      <c r="J29" s="2670">
        <f>SUM(J19:O28)</f>
        <v>150</v>
      </c>
      <c r="K29" s="2668"/>
      <c r="L29" s="2668"/>
      <c r="M29" s="2668"/>
      <c r="N29" s="2668"/>
      <c r="O29" s="2669"/>
      <c r="P29" s="2670">
        <f>SUM(P19:U28)</f>
        <v>0</v>
      </c>
      <c r="Q29" s="2668"/>
      <c r="R29" s="2668"/>
      <c r="S29" s="2668"/>
      <c r="T29" s="2668"/>
      <c r="U29" s="2669"/>
      <c r="V29" s="2670">
        <f>SUM(V19:AA28)</f>
        <v>135</v>
      </c>
      <c r="W29" s="2668"/>
      <c r="X29" s="2668"/>
      <c r="Y29" s="2668"/>
      <c r="Z29" s="2668"/>
      <c r="AA29" s="2669"/>
      <c r="AB29" s="2670">
        <f>SUM(AB19:AG28)</f>
        <v>15</v>
      </c>
      <c r="AC29" s="2668"/>
      <c r="AD29" s="2668"/>
      <c r="AE29" s="2668"/>
      <c r="AF29" s="2668"/>
      <c r="AG29" s="2669"/>
      <c r="AH29" s="2670">
        <f>SUM(AH19:AM28)</f>
        <v>0</v>
      </c>
      <c r="AI29" s="2668"/>
      <c r="AJ29" s="2668"/>
      <c r="AK29" s="2668"/>
      <c r="AL29" s="2668"/>
      <c r="AM29" s="2669"/>
      <c r="AN29" s="2670">
        <f>SUM(AN19:AS28)</f>
        <v>0</v>
      </c>
      <c r="AO29" s="2668"/>
      <c r="AP29" s="2668"/>
      <c r="AQ29" s="2668"/>
      <c r="AR29" s="2668"/>
      <c r="AS29" s="2669"/>
      <c r="AT29" s="2671">
        <f>J29/$J$29</f>
        <v>1</v>
      </c>
      <c r="AU29" s="2672"/>
      <c r="AV29" s="2672"/>
      <c r="AW29" s="2672"/>
      <c r="AX29" s="2672"/>
      <c r="AY29" s="2673"/>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7" t="s">
        <v>2049</v>
      </c>
      <c r="C31" s="2678"/>
      <c r="D31" s="2678"/>
      <c r="E31" s="2678"/>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8"/>
      <c r="AK31" s="2678"/>
      <c r="AL31" s="2678"/>
      <c r="AM31" s="2678"/>
      <c r="AN31" s="2678"/>
      <c r="AO31" s="2678"/>
      <c r="AP31" s="2678"/>
      <c r="AQ31" s="2678"/>
      <c r="AR31" s="2678"/>
      <c r="AS31" s="2678"/>
      <c r="AT31" s="2678"/>
      <c r="AU31" s="2678"/>
      <c r="AV31" s="2678"/>
      <c r="AW31" s="2678"/>
      <c r="AX31" s="2678"/>
      <c r="AY31" s="2678"/>
      <c r="AZ31" s="2679"/>
      <c r="BA31" s="1528"/>
      <c r="BB31" s="1528"/>
      <c r="BC31" s="1528"/>
      <c r="BD31" s="1528"/>
      <c r="BE31" s="1534"/>
    </row>
    <row r="32" spans="1:58" thickBot="1">
      <c r="A32" s="1817"/>
      <c r="B32" s="2680" t="s">
        <v>2050</v>
      </c>
      <c r="C32" s="2681"/>
      <c r="D32" s="2681"/>
      <c r="E32" s="2681"/>
      <c r="F32" s="2681"/>
      <c r="G32" s="2681"/>
      <c r="H32" s="2681"/>
      <c r="I32" s="2682"/>
      <c r="J32" s="2684" t="s">
        <v>2051</v>
      </c>
      <c r="K32" s="2685"/>
      <c r="L32" s="2685"/>
      <c r="M32" s="2686"/>
      <c r="N32" s="2684" t="s">
        <v>2052</v>
      </c>
      <c r="O32" s="2685"/>
      <c r="P32" s="2685"/>
      <c r="Q32" s="2685"/>
      <c r="R32" s="2688" t="s">
        <v>2053</v>
      </c>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c r="AO32" s="2689"/>
      <c r="AP32" s="2689"/>
      <c r="AQ32" s="2689"/>
      <c r="AR32" s="2689"/>
      <c r="AS32" s="2689"/>
      <c r="AT32" s="2689"/>
      <c r="AU32" s="2689"/>
      <c r="AV32" s="2689"/>
      <c r="AW32" s="2689"/>
      <c r="AX32" s="2689"/>
      <c r="AY32" s="2689"/>
      <c r="AZ32" s="2690"/>
      <c r="BA32" s="1528"/>
      <c r="BB32" s="1528"/>
      <c r="BC32" s="1528"/>
      <c r="BD32" s="1528"/>
      <c r="BE32" s="1534"/>
    </row>
    <row r="33" spans="1:58" ht="15" customHeight="1">
      <c r="A33" s="1817"/>
      <c r="B33" s="2683"/>
      <c r="C33" s="2681"/>
      <c r="D33" s="2681"/>
      <c r="E33" s="2681"/>
      <c r="F33" s="2681"/>
      <c r="G33" s="2681"/>
      <c r="H33" s="2681"/>
      <c r="I33" s="2682"/>
      <c r="J33" s="2687"/>
      <c r="K33" s="2685"/>
      <c r="L33" s="2685"/>
      <c r="M33" s="2686"/>
      <c r="N33" s="2687"/>
      <c r="O33" s="2685"/>
      <c r="P33" s="2685"/>
      <c r="Q33" s="2685"/>
      <c r="R33" s="2691" t="s">
        <v>2054</v>
      </c>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3"/>
      <c r="BA33" s="1535"/>
      <c r="BB33" s="1528"/>
      <c r="BC33" s="1528"/>
      <c r="BD33" s="1528"/>
      <c r="BE33" s="1534"/>
    </row>
    <row r="34" spans="1:58" ht="15.75" customHeight="1" thickBot="1">
      <c r="A34" s="1817"/>
      <c r="B34" s="2683"/>
      <c r="C34" s="2681"/>
      <c r="D34" s="2681"/>
      <c r="E34" s="2681"/>
      <c r="F34" s="2681"/>
      <c r="G34" s="2681"/>
      <c r="H34" s="2681"/>
      <c r="I34" s="2682"/>
      <c r="J34" s="2687"/>
      <c r="K34" s="2685"/>
      <c r="L34" s="2685"/>
      <c r="M34" s="2686"/>
      <c r="N34" s="2687"/>
      <c r="O34" s="2685"/>
      <c r="P34" s="2685"/>
      <c r="Q34" s="2685"/>
      <c r="R34" s="2694"/>
      <c r="S34" s="2695"/>
      <c r="T34" s="2695"/>
      <c r="U34" s="2695"/>
      <c r="V34" s="2695"/>
      <c r="W34" s="2695"/>
      <c r="X34" s="2695"/>
      <c r="Y34" s="2695"/>
      <c r="Z34" s="2695"/>
      <c r="AA34" s="2695"/>
      <c r="AB34" s="2695"/>
      <c r="AC34" s="2695"/>
      <c r="AD34" s="2695"/>
      <c r="AE34" s="2695"/>
      <c r="AF34" s="2695"/>
      <c r="AG34" s="2695"/>
      <c r="AH34" s="2695"/>
      <c r="AI34" s="2695"/>
      <c r="AJ34" s="2695"/>
      <c r="AK34" s="2695"/>
      <c r="AL34" s="2695"/>
      <c r="AM34" s="2695"/>
      <c r="AN34" s="2695"/>
      <c r="AO34" s="2695"/>
      <c r="AP34" s="2695"/>
      <c r="AQ34" s="2695"/>
      <c r="AR34" s="2695"/>
      <c r="AS34" s="2695"/>
      <c r="AT34" s="2695"/>
      <c r="AU34" s="2695"/>
      <c r="AV34" s="2695"/>
      <c r="AW34" s="2695"/>
      <c r="AX34" s="2695"/>
      <c r="AY34" s="2695"/>
      <c r="AZ34" s="2696"/>
      <c r="BA34" s="1535"/>
      <c r="BB34" s="1528"/>
      <c r="BC34" s="1528"/>
      <c r="BD34" s="1528"/>
      <c r="BE34" s="1534"/>
    </row>
    <row r="35" spans="1:58" ht="15.75" customHeight="1" thickBot="1">
      <c r="A35" s="1817"/>
      <c r="B35" s="2683"/>
      <c r="C35" s="2681"/>
      <c r="D35" s="2681"/>
      <c r="E35" s="2681"/>
      <c r="F35" s="2681"/>
      <c r="G35" s="2681"/>
      <c r="H35" s="2681"/>
      <c r="I35" s="2682"/>
      <c r="J35" s="2687"/>
      <c r="K35" s="2685"/>
      <c r="L35" s="2685"/>
      <c r="M35" s="2686"/>
      <c r="N35" s="2687"/>
      <c r="O35" s="2685"/>
      <c r="P35" s="2685"/>
      <c r="Q35" s="2685"/>
      <c r="R35" s="2697">
        <v>0.5</v>
      </c>
      <c r="S35" s="2698"/>
      <c r="T35" s="2698"/>
      <c r="U35" s="2699"/>
      <c r="V35" s="2697">
        <v>0.6</v>
      </c>
      <c r="W35" s="2698"/>
      <c r="X35" s="2698"/>
      <c r="Y35" s="2699"/>
      <c r="Z35" s="2697">
        <v>0.7</v>
      </c>
      <c r="AA35" s="2698"/>
      <c r="AB35" s="2698"/>
      <c r="AC35" s="2699"/>
      <c r="AD35" s="2697">
        <v>0.8</v>
      </c>
      <c r="AE35" s="2698"/>
      <c r="AF35" s="2698"/>
      <c r="AG35" s="2699"/>
      <c r="AH35" s="2697">
        <v>1</v>
      </c>
      <c r="AI35" s="2698"/>
      <c r="AJ35" s="2698"/>
      <c r="AK35" s="2699"/>
      <c r="AL35" s="2697">
        <v>1.2</v>
      </c>
      <c r="AM35" s="2698"/>
      <c r="AN35" s="2699"/>
      <c r="AO35" s="2709" t="s">
        <v>2055</v>
      </c>
      <c r="AP35" s="2710"/>
      <c r="AQ35" s="2710"/>
      <c r="AR35" s="2710"/>
      <c r="AS35" s="2710"/>
      <c r="AT35" s="2711"/>
      <c r="AU35" s="2709" t="s">
        <v>2056</v>
      </c>
      <c r="AV35" s="2710"/>
      <c r="AW35" s="2710"/>
      <c r="AX35" s="2710"/>
      <c r="AY35" s="2710"/>
      <c r="AZ35" s="2711"/>
      <c r="BA35" s="1535"/>
      <c r="BB35" s="1528"/>
      <c r="BC35" s="1528"/>
      <c r="BD35" s="1528"/>
      <c r="BE35" s="1534"/>
      <c r="BF35" s="1526"/>
    </row>
    <row r="36" spans="1:58" ht="15.75" customHeight="1">
      <c r="A36" s="1817"/>
      <c r="B36" s="2712" t="s">
        <v>2057</v>
      </c>
      <c r="C36" s="2713"/>
      <c r="D36" s="2713"/>
      <c r="E36" s="2713"/>
      <c r="F36" s="2713"/>
      <c r="G36" s="2713"/>
      <c r="H36" s="2713"/>
      <c r="I36" s="2714"/>
      <c r="J36" s="2715" t="s">
        <v>2058</v>
      </c>
      <c r="K36" s="2716"/>
      <c r="L36" s="2716"/>
      <c r="M36" s="2717"/>
      <c r="N36" s="2718">
        <v>55</v>
      </c>
      <c r="O36" s="2719"/>
      <c r="P36" s="2719"/>
      <c r="Q36" s="2720"/>
      <c r="R36" s="2721">
        <v>10</v>
      </c>
      <c r="S36" s="2721"/>
      <c r="T36" s="2721"/>
      <c r="U36" s="2721"/>
      <c r="V36" s="2721">
        <v>30</v>
      </c>
      <c r="W36" s="2721"/>
      <c r="X36" s="2721"/>
      <c r="Y36" s="2721"/>
      <c r="Z36" s="2721"/>
      <c r="AA36" s="2721"/>
      <c r="AB36" s="2721"/>
      <c r="AC36" s="2721"/>
      <c r="AD36" s="2721">
        <v>59</v>
      </c>
      <c r="AE36" s="2721"/>
      <c r="AF36" s="2721"/>
      <c r="AG36" s="2721"/>
      <c r="AH36" s="2724"/>
      <c r="AI36" s="2724"/>
      <c r="AJ36" s="2724"/>
      <c r="AK36" s="2724"/>
      <c r="AL36" s="2724"/>
      <c r="AM36" s="2724"/>
      <c r="AN36" s="2724"/>
      <c r="AO36" s="2722">
        <f>SUM(R36:AN36)</f>
        <v>99</v>
      </c>
      <c r="AP36" s="2722"/>
      <c r="AQ36" s="2722"/>
      <c r="AR36" s="2722"/>
      <c r="AS36" s="2722"/>
      <c r="AT36" s="2722"/>
      <c r="AU36" s="2723">
        <f>AO36/$J$29</f>
        <v>0.66</v>
      </c>
      <c r="AV36" s="2723"/>
      <c r="AW36" s="2723"/>
      <c r="AX36" s="2723"/>
      <c r="AY36" s="2723"/>
      <c r="AZ36" s="2723"/>
      <c r="BA36" s="1528"/>
      <c r="BB36" s="1528"/>
      <c r="BC36" s="1528"/>
      <c r="BD36" s="1528"/>
      <c r="BE36" s="1534"/>
      <c r="BF36" s="1526"/>
    </row>
    <row r="37" spans="1:58" ht="15.75" customHeight="1">
      <c r="A37" s="1817"/>
      <c r="B37" s="2700" t="s">
        <v>2059</v>
      </c>
      <c r="C37" s="2701"/>
      <c r="D37" s="2701"/>
      <c r="E37" s="2701"/>
      <c r="F37" s="2701"/>
      <c r="G37" s="2701"/>
      <c r="H37" s="2701"/>
      <c r="I37" s="2702"/>
      <c r="J37" s="2703" t="s">
        <v>2060</v>
      </c>
      <c r="K37" s="2704"/>
      <c r="L37" s="2704"/>
      <c r="M37" s="2705"/>
      <c r="N37" s="2706">
        <v>55</v>
      </c>
      <c r="O37" s="2704"/>
      <c r="P37" s="2704"/>
      <c r="Q37" s="2707"/>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2708"/>
      <c r="AM37" s="2708"/>
      <c r="AN37" s="2708"/>
      <c r="AO37" s="2722">
        <f t="shared" ref="AO37:AO47" si="4">SUM(R37:AN37)</f>
        <v>0</v>
      </c>
      <c r="AP37" s="2722"/>
      <c r="AQ37" s="2722"/>
      <c r="AR37" s="2722"/>
      <c r="AS37" s="2722"/>
      <c r="AT37" s="2722"/>
      <c r="AU37" s="2723">
        <f t="shared" ref="AU37:AU47" si="5">AO37/$J$29</f>
        <v>0</v>
      </c>
      <c r="AV37" s="2723"/>
      <c r="AW37" s="2723"/>
      <c r="AX37" s="2723"/>
      <c r="AY37" s="2723"/>
      <c r="AZ37" s="2723"/>
      <c r="BA37" s="1528"/>
      <c r="BB37" s="1528"/>
      <c r="BC37" s="1528"/>
      <c r="BD37" s="1528"/>
      <c r="BE37" s="1534"/>
      <c r="BF37" s="1526"/>
    </row>
    <row r="38" spans="1:58" ht="15.75" customHeight="1">
      <c r="A38" s="1817"/>
      <c r="B38" s="2700" t="s">
        <v>2061</v>
      </c>
      <c r="C38" s="2701"/>
      <c r="D38" s="2701"/>
      <c r="E38" s="2701"/>
      <c r="F38" s="2701"/>
      <c r="G38" s="2701"/>
      <c r="H38" s="2701"/>
      <c r="I38" s="2702"/>
      <c r="J38" s="2703" t="s">
        <v>2062</v>
      </c>
      <c r="K38" s="2704"/>
      <c r="L38" s="2704"/>
      <c r="M38" s="2705"/>
      <c r="N38" s="2706">
        <v>55</v>
      </c>
      <c r="O38" s="2704"/>
      <c r="P38" s="2704"/>
      <c r="Q38" s="2707"/>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c r="AO38" s="2722">
        <f t="shared" si="4"/>
        <v>0</v>
      </c>
      <c r="AP38" s="2722"/>
      <c r="AQ38" s="2722"/>
      <c r="AR38" s="2722"/>
      <c r="AS38" s="2722"/>
      <c r="AT38" s="2722"/>
      <c r="AU38" s="2723">
        <f t="shared" si="5"/>
        <v>0</v>
      </c>
      <c r="AV38" s="2723"/>
      <c r="AW38" s="2723"/>
      <c r="AX38" s="2723"/>
      <c r="AY38" s="2723"/>
      <c r="AZ38" s="2723"/>
      <c r="BA38" s="1528"/>
      <c r="BB38" s="1528"/>
      <c r="BC38" s="1528"/>
      <c r="BD38" s="1528"/>
      <c r="BE38" s="1534"/>
      <c r="BF38" s="1526"/>
    </row>
    <row r="39" spans="1:58" ht="15.75" customHeight="1">
      <c r="A39" s="1817"/>
      <c r="B39" s="2700" t="s">
        <v>2063</v>
      </c>
      <c r="C39" s="2701"/>
      <c r="D39" s="2701"/>
      <c r="E39" s="2701"/>
      <c r="F39" s="2701"/>
      <c r="G39" s="2701"/>
      <c r="H39" s="2701"/>
      <c r="I39" s="2702"/>
      <c r="J39" s="2725"/>
      <c r="K39" s="2726"/>
      <c r="L39" s="2726"/>
      <c r="M39" s="2727"/>
      <c r="N39" s="2728"/>
      <c r="O39" s="2726"/>
      <c r="P39" s="2726"/>
      <c r="Q39" s="2729"/>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2708"/>
      <c r="AM39" s="2708"/>
      <c r="AN39" s="2708"/>
      <c r="AO39" s="2722">
        <f t="shared" si="4"/>
        <v>0</v>
      </c>
      <c r="AP39" s="2722"/>
      <c r="AQ39" s="2722"/>
      <c r="AR39" s="2722"/>
      <c r="AS39" s="2722"/>
      <c r="AT39" s="2722"/>
      <c r="AU39" s="2723">
        <f t="shared" si="5"/>
        <v>0</v>
      </c>
      <c r="AV39" s="2723"/>
      <c r="AW39" s="2723"/>
      <c r="AX39" s="2723"/>
      <c r="AY39" s="2723"/>
      <c r="AZ39" s="2723"/>
      <c r="BA39" s="1528"/>
      <c r="BB39" s="1528"/>
      <c r="BC39" s="1528"/>
      <c r="BD39" s="1528"/>
      <c r="BE39" s="1534"/>
    </row>
    <row r="40" spans="1:58" ht="15.75" customHeight="1">
      <c r="A40" s="1817"/>
      <c r="B40" s="2700" t="s">
        <v>2063</v>
      </c>
      <c r="C40" s="2701"/>
      <c r="D40" s="2701"/>
      <c r="E40" s="2701"/>
      <c r="F40" s="2701"/>
      <c r="G40" s="2701"/>
      <c r="H40" s="2701"/>
      <c r="I40" s="2702"/>
      <c r="J40" s="2725"/>
      <c r="K40" s="2726"/>
      <c r="L40" s="2726"/>
      <c r="M40" s="2727"/>
      <c r="N40" s="2728"/>
      <c r="O40" s="2726"/>
      <c r="P40" s="2726"/>
      <c r="Q40" s="2729"/>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2708"/>
      <c r="AM40" s="2708"/>
      <c r="AN40" s="2708"/>
      <c r="AO40" s="2722">
        <f t="shared" si="4"/>
        <v>0</v>
      </c>
      <c r="AP40" s="2722"/>
      <c r="AQ40" s="2722"/>
      <c r="AR40" s="2722"/>
      <c r="AS40" s="2722"/>
      <c r="AT40" s="2722"/>
      <c r="AU40" s="2723">
        <f t="shared" si="5"/>
        <v>0</v>
      </c>
      <c r="AV40" s="2723"/>
      <c r="AW40" s="2723"/>
      <c r="AX40" s="2723"/>
      <c r="AY40" s="2723"/>
      <c r="AZ40" s="2723"/>
      <c r="BA40" s="1528"/>
      <c r="BB40" s="1528"/>
      <c r="BC40" s="1528"/>
      <c r="BD40" s="1528"/>
      <c r="BE40" s="1534"/>
    </row>
    <row r="41" spans="1:58" ht="15.75" customHeight="1">
      <c r="A41" s="1817"/>
      <c r="B41" s="2730" t="s">
        <v>2064</v>
      </c>
      <c r="C41" s="2731"/>
      <c r="D41" s="2731"/>
      <c r="E41" s="2731"/>
      <c r="F41" s="2731"/>
      <c r="G41" s="2731"/>
      <c r="H41" s="2731"/>
      <c r="I41" s="2732"/>
      <c r="J41" s="2725"/>
      <c r="K41" s="2726"/>
      <c r="L41" s="2726"/>
      <c r="M41" s="2727"/>
      <c r="N41" s="2728"/>
      <c r="O41" s="2726"/>
      <c r="P41" s="2726"/>
      <c r="Q41" s="2729"/>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2708"/>
      <c r="AM41" s="2708"/>
      <c r="AN41" s="2708"/>
      <c r="AO41" s="2722">
        <f t="shared" si="4"/>
        <v>0</v>
      </c>
      <c r="AP41" s="2722"/>
      <c r="AQ41" s="2722"/>
      <c r="AR41" s="2722"/>
      <c r="AS41" s="2722"/>
      <c r="AT41" s="2722"/>
      <c r="AU41" s="2723">
        <f t="shared" si="5"/>
        <v>0</v>
      </c>
      <c r="AV41" s="2723"/>
      <c r="AW41" s="2723"/>
      <c r="AX41" s="2723"/>
      <c r="AY41" s="2723"/>
      <c r="AZ41" s="2723"/>
      <c r="BA41" s="1528"/>
      <c r="BB41" s="1528"/>
      <c r="BC41" s="1528"/>
      <c r="BD41" s="1528"/>
      <c r="BE41" s="1534"/>
    </row>
    <row r="42" spans="1:58" ht="15.75" customHeight="1">
      <c r="A42" s="1817"/>
      <c r="B42" s="2730" t="s">
        <v>2064</v>
      </c>
      <c r="C42" s="2731"/>
      <c r="D42" s="2731"/>
      <c r="E42" s="2731"/>
      <c r="F42" s="2731"/>
      <c r="G42" s="2731"/>
      <c r="H42" s="2731"/>
      <c r="I42" s="2732"/>
      <c r="J42" s="2725"/>
      <c r="K42" s="2726"/>
      <c r="L42" s="2726"/>
      <c r="M42" s="2727"/>
      <c r="N42" s="2728"/>
      <c r="O42" s="2726"/>
      <c r="P42" s="2726"/>
      <c r="Q42" s="2729"/>
      <c r="R42" s="2708"/>
      <c r="S42" s="2708"/>
      <c r="T42" s="2708"/>
      <c r="U42" s="2708"/>
      <c r="V42" s="2708"/>
      <c r="W42" s="2708"/>
      <c r="X42" s="2708"/>
      <c r="Y42" s="2708"/>
      <c r="Z42" s="2708"/>
      <c r="AA42" s="2708"/>
      <c r="AB42" s="2708"/>
      <c r="AC42" s="2708"/>
      <c r="AD42" s="2708"/>
      <c r="AE42" s="2708"/>
      <c r="AF42" s="2708"/>
      <c r="AG42" s="2708"/>
      <c r="AH42" s="2708"/>
      <c r="AI42" s="2708"/>
      <c r="AJ42" s="2708"/>
      <c r="AK42" s="2708"/>
      <c r="AL42" s="2708"/>
      <c r="AM42" s="2708"/>
      <c r="AN42" s="2708"/>
      <c r="AO42" s="2722">
        <f t="shared" si="4"/>
        <v>0</v>
      </c>
      <c r="AP42" s="2722"/>
      <c r="AQ42" s="2722"/>
      <c r="AR42" s="2722"/>
      <c r="AS42" s="2722"/>
      <c r="AT42" s="2722"/>
      <c r="AU42" s="2723">
        <f t="shared" si="5"/>
        <v>0</v>
      </c>
      <c r="AV42" s="2723"/>
      <c r="AW42" s="2723"/>
      <c r="AX42" s="2723"/>
      <c r="AY42" s="2723"/>
      <c r="AZ42" s="2723"/>
      <c r="BA42" s="1528"/>
      <c r="BB42" s="1528"/>
      <c r="BC42" s="1528"/>
      <c r="BD42" s="1528"/>
      <c r="BE42" s="1534"/>
    </row>
    <row r="43" spans="1:58" ht="15.75" customHeight="1">
      <c r="A43" s="1817"/>
      <c r="B43" s="2733" t="s">
        <v>2065</v>
      </c>
      <c r="C43" s="2734"/>
      <c r="D43" s="2734"/>
      <c r="E43" s="2734"/>
      <c r="F43" s="2734"/>
      <c r="G43" s="2734"/>
      <c r="H43" s="2734"/>
      <c r="I43" s="2735"/>
      <c r="J43" s="2725"/>
      <c r="K43" s="2726"/>
      <c r="L43" s="2726"/>
      <c r="M43" s="2727"/>
      <c r="N43" s="2728"/>
      <c r="O43" s="2726"/>
      <c r="P43" s="2726"/>
      <c r="Q43" s="2729"/>
      <c r="R43" s="2708"/>
      <c r="S43" s="2708"/>
      <c r="T43" s="2708"/>
      <c r="U43" s="2708"/>
      <c r="V43" s="2708"/>
      <c r="W43" s="2708"/>
      <c r="X43" s="2708"/>
      <c r="Y43" s="2708"/>
      <c r="Z43" s="2708"/>
      <c r="AA43" s="2708"/>
      <c r="AB43" s="2708"/>
      <c r="AC43" s="2708"/>
      <c r="AD43" s="2708"/>
      <c r="AE43" s="2708"/>
      <c r="AF43" s="2708"/>
      <c r="AG43" s="2708"/>
      <c r="AH43" s="2708"/>
      <c r="AI43" s="2708"/>
      <c r="AJ43" s="2708"/>
      <c r="AK43" s="2708"/>
      <c r="AL43" s="2708"/>
      <c r="AM43" s="2708"/>
      <c r="AN43" s="2708"/>
      <c r="AO43" s="2722">
        <f t="shared" si="4"/>
        <v>0</v>
      </c>
      <c r="AP43" s="2722"/>
      <c r="AQ43" s="2722"/>
      <c r="AR43" s="2722"/>
      <c r="AS43" s="2722"/>
      <c r="AT43" s="2722"/>
      <c r="AU43" s="2723">
        <f t="shared" si="5"/>
        <v>0</v>
      </c>
      <c r="AV43" s="2723"/>
      <c r="AW43" s="2723"/>
      <c r="AX43" s="2723"/>
      <c r="AY43" s="2723"/>
      <c r="AZ43" s="2723"/>
      <c r="BA43" s="1528"/>
      <c r="BB43" s="1528"/>
      <c r="BC43" s="1528"/>
      <c r="BD43" s="1528"/>
      <c r="BE43" s="1534"/>
    </row>
    <row r="44" spans="1:58" ht="15.75" customHeight="1">
      <c r="A44" s="1817"/>
      <c r="B44" s="2733" t="s">
        <v>2066</v>
      </c>
      <c r="C44" s="2734"/>
      <c r="D44" s="2734"/>
      <c r="E44" s="2734"/>
      <c r="F44" s="2734"/>
      <c r="G44" s="2734"/>
      <c r="H44" s="2734"/>
      <c r="I44" s="2735"/>
      <c r="J44" s="2725"/>
      <c r="K44" s="2726"/>
      <c r="L44" s="2726"/>
      <c r="M44" s="2727"/>
      <c r="N44" s="2728"/>
      <c r="O44" s="2726"/>
      <c r="P44" s="2726"/>
      <c r="Q44" s="2729"/>
      <c r="R44" s="2708"/>
      <c r="S44" s="2708"/>
      <c r="T44" s="2708"/>
      <c r="U44" s="2708"/>
      <c r="V44" s="2708"/>
      <c r="W44" s="2708"/>
      <c r="X44" s="2708"/>
      <c r="Y44" s="2708"/>
      <c r="Z44" s="2708"/>
      <c r="AA44" s="2708"/>
      <c r="AB44" s="2708"/>
      <c r="AC44" s="2708"/>
      <c r="AD44" s="2708"/>
      <c r="AE44" s="2708"/>
      <c r="AF44" s="2708"/>
      <c r="AG44" s="2708"/>
      <c r="AH44" s="2708"/>
      <c r="AI44" s="2708"/>
      <c r="AJ44" s="2708"/>
      <c r="AK44" s="2708"/>
      <c r="AL44" s="2708"/>
      <c r="AM44" s="2708"/>
      <c r="AN44" s="2708"/>
      <c r="AO44" s="2722">
        <f t="shared" si="4"/>
        <v>0</v>
      </c>
      <c r="AP44" s="2722"/>
      <c r="AQ44" s="2722"/>
      <c r="AR44" s="2722"/>
      <c r="AS44" s="2722"/>
      <c r="AT44" s="2722"/>
      <c r="AU44" s="2723">
        <f t="shared" si="5"/>
        <v>0</v>
      </c>
      <c r="AV44" s="2723"/>
      <c r="AW44" s="2723"/>
      <c r="AX44" s="2723"/>
      <c r="AY44" s="2723"/>
      <c r="AZ44" s="2723"/>
      <c r="BA44" s="1528"/>
      <c r="BB44" s="1528"/>
      <c r="BC44" s="1528"/>
      <c r="BD44" s="1528"/>
      <c r="BE44" s="1534"/>
    </row>
    <row r="45" spans="1:58" ht="15.75" customHeight="1">
      <c r="A45" s="1817"/>
      <c r="B45" s="2736" t="s">
        <v>2067</v>
      </c>
      <c r="C45" s="2737"/>
      <c r="D45" s="2737"/>
      <c r="E45" s="2737"/>
      <c r="F45" s="2737"/>
      <c r="G45" s="2737"/>
      <c r="H45" s="2737"/>
      <c r="I45" s="2738"/>
      <c r="J45" s="2725"/>
      <c r="K45" s="2726"/>
      <c r="L45" s="2726"/>
      <c r="M45" s="2727"/>
      <c r="N45" s="2728"/>
      <c r="O45" s="2726"/>
      <c r="P45" s="2726"/>
      <c r="Q45" s="2729"/>
      <c r="R45" s="2708"/>
      <c r="S45" s="2708"/>
      <c r="T45" s="2708"/>
      <c r="U45" s="2708"/>
      <c r="V45" s="2708"/>
      <c r="W45" s="2708"/>
      <c r="X45" s="2708"/>
      <c r="Y45" s="2708"/>
      <c r="Z45" s="2708"/>
      <c r="AA45" s="2708"/>
      <c r="AB45" s="2708"/>
      <c r="AC45" s="2708"/>
      <c r="AD45" s="2708"/>
      <c r="AE45" s="2708"/>
      <c r="AF45" s="2708"/>
      <c r="AG45" s="2708"/>
      <c r="AH45" s="2708"/>
      <c r="AI45" s="2708"/>
      <c r="AJ45" s="2708"/>
      <c r="AK45" s="2708"/>
      <c r="AL45" s="2708"/>
      <c r="AM45" s="2708"/>
      <c r="AN45" s="2708"/>
      <c r="AO45" s="2722">
        <f t="shared" si="4"/>
        <v>0</v>
      </c>
      <c r="AP45" s="2722"/>
      <c r="AQ45" s="2722"/>
      <c r="AR45" s="2722"/>
      <c r="AS45" s="2722"/>
      <c r="AT45" s="2722"/>
      <c r="AU45" s="2723">
        <f t="shared" si="5"/>
        <v>0</v>
      </c>
      <c r="AV45" s="2723"/>
      <c r="AW45" s="2723"/>
      <c r="AX45" s="2723"/>
      <c r="AY45" s="2723"/>
      <c r="AZ45" s="2723"/>
      <c r="BA45" s="1528"/>
      <c r="BB45" s="1528"/>
      <c r="BC45" s="1528"/>
      <c r="BD45" s="1528"/>
      <c r="BE45" s="1534"/>
    </row>
    <row r="46" spans="1:58" ht="15.75" customHeight="1">
      <c r="A46" s="1817"/>
      <c r="B46" s="2736" t="s">
        <v>2068</v>
      </c>
      <c r="C46" s="2737"/>
      <c r="D46" s="2737"/>
      <c r="E46" s="2737"/>
      <c r="F46" s="2737"/>
      <c r="G46" s="2737"/>
      <c r="H46" s="2737"/>
      <c r="I46" s="2738"/>
      <c r="J46" s="2725"/>
      <c r="K46" s="2726"/>
      <c r="L46" s="2726"/>
      <c r="M46" s="2727"/>
      <c r="N46" s="2706">
        <v>99</v>
      </c>
      <c r="O46" s="2704"/>
      <c r="P46" s="2704"/>
      <c r="Q46" s="2707"/>
      <c r="R46" s="2708"/>
      <c r="S46" s="2708"/>
      <c r="T46" s="2708"/>
      <c r="U46" s="2708"/>
      <c r="V46" s="2708"/>
      <c r="W46" s="2708"/>
      <c r="X46" s="2708"/>
      <c r="Y46" s="2708"/>
      <c r="Z46" s="2708"/>
      <c r="AA46" s="2708"/>
      <c r="AB46" s="2708"/>
      <c r="AC46" s="2708"/>
      <c r="AD46" s="2708"/>
      <c r="AE46" s="2708"/>
      <c r="AF46" s="2708"/>
      <c r="AG46" s="2708"/>
      <c r="AH46" s="2708"/>
      <c r="AI46" s="2708"/>
      <c r="AJ46" s="2708"/>
      <c r="AK46" s="2708"/>
      <c r="AL46" s="2708"/>
      <c r="AM46" s="2708"/>
      <c r="AN46" s="2708"/>
      <c r="AO46" s="2722">
        <f t="shared" si="4"/>
        <v>0</v>
      </c>
      <c r="AP46" s="2722"/>
      <c r="AQ46" s="2722"/>
      <c r="AR46" s="2722"/>
      <c r="AS46" s="2722"/>
      <c r="AT46" s="2722"/>
      <c r="AU46" s="2723">
        <f t="shared" si="5"/>
        <v>0</v>
      </c>
      <c r="AV46" s="2723"/>
      <c r="AW46" s="2723"/>
      <c r="AX46" s="2723"/>
      <c r="AY46" s="2723"/>
      <c r="AZ46" s="2723"/>
      <c r="BA46" s="1528"/>
      <c r="BB46" s="1528"/>
      <c r="BC46" s="1528"/>
      <c r="BD46" s="1528"/>
      <c r="BE46" s="1534"/>
    </row>
    <row r="47" spans="1:58" ht="15.75" customHeight="1" thickBot="1">
      <c r="A47" s="1817"/>
      <c r="B47" s="2739" t="s">
        <v>308</v>
      </c>
      <c r="C47" s="2740"/>
      <c r="D47" s="2740"/>
      <c r="E47" s="2740"/>
      <c r="F47" s="2740"/>
      <c r="G47" s="2740"/>
      <c r="H47" s="2740"/>
      <c r="I47" s="2741"/>
      <c r="J47" s="2742"/>
      <c r="K47" s="2743"/>
      <c r="L47" s="2743"/>
      <c r="M47" s="2744"/>
      <c r="N47" s="2745"/>
      <c r="O47" s="2743"/>
      <c r="P47" s="2743"/>
      <c r="Q47" s="2746"/>
      <c r="R47" s="2708"/>
      <c r="S47" s="2708"/>
      <c r="T47" s="2708"/>
      <c r="U47" s="2708"/>
      <c r="V47" s="2708"/>
      <c r="W47" s="2708"/>
      <c r="X47" s="2708"/>
      <c r="Y47" s="2708"/>
      <c r="Z47" s="2708"/>
      <c r="AA47" s="2708"/>
      <c r="AB47" s="2708"/>
      <c r="AC47" s="2708"/>
      <c r="AD47" s="2708"/>
      <c r="AE47" s="2708"/>
      <c r="AF47" s="2708"/>
      <c r="AG47" s="2708"/>
      <c r="AH47" s="2708"/>
      <c r="AI47" s="2708"/>
      <c r="AJ47" s="2708"/>
      <c r="AK47" s="2708"/>
      <c r="AL47" s="2708"/>
      <c r="AM47" s="2708"/>
      <c r="AN47" s="2708"/>
      <c r="AO47" s="2722">
        <f t="shared" si="4"/>
        <v>0</v>
      </c>
      <c r="AP47" s="2722"/>
      <c r="AQ47" s="2722"/>
      <c r="AR47" s="2722"/>
      <c r="AS47" s="2722"/>
      <c r="AT47" s="2722"/>
      <c r="AU47" s="2723">
        <f t="shared" si="5"/>
        <v>0</v>
      </c>
      <c r="AV47" s="2723"/>
      <c r="AW47" s="2723"/>
      <c r="AX47" s="2723"/>
      <c r="AY47" s="2723"/>
      <c r="AZ47" s="2723"/>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7" t="s">
        <v>2071</v>
      </c>
      <c r="C50" s="2748"/>
      <c r="D50" s="2748"/>
      <c r="E50" s="2748"/>
      <c r="F50" s="2748"/>
      <c r="G50" s="2748"/>
      <c r="H50" s="2748"/>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9"/>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50" t="s">
        <v>2072</v>
      </c>
      <c r="C51" s="2751"/>
      <c r="D51" s="2751"/>
      <c r="E51" s="2751"/>
      <c r="F51" s="2751"/>
      <c r="G51" s="2751"/>
      <c r="H51" s="2751"/>
      <c r="I51" s="2752"/>
      <c r="J51" s="2750" t="s">
        <v>2073</v>
      </c>
      <c r="K51" s="2751"/>
      <c r="L51" s="2751"/>
      <c r="M51" s="2751"/>
      <c r="N51" s="2751"/>
      <c r="O51" s="2751"/>
      <c r="P51" s="2751"/>
      <c r="Q51" s="2752"/>
      <c r="R51" s="2753" t="s">
        <v>2074</v>
      </c>
      <c r="S51" s="2754"/>
      <c r="T51" s="2754"/>
      <c r="U51" s="2754"/>
      <c r="V51" s="2754"/>
      <c r="W51" s="2754"/>
      <c r="X51" s="2754"/>
      <c r="Y51" s="2755"/>
      <c r="Z51" s="2756" t="s">
        <v>2075</v>
      </c>
      <c r="AA51" s="2757"/>
      <c r="AB51" s="2757"/>
      <c r="AC51" s="2757"/>
      <c r="AD51" s="2757"/>
      <c r="AE51" s="2757"/>
      <c r="AF51" s="2757"/>
      <c r="AG51" s="2758"/>
      <c r="AH51" s="2756" t="s">
        <v>2076</v>
      </c>
      <c r="AI51" s="2757"/>
      <c r="AJ51" s="2757"/>
      <c r="AK51" s="2757"/>
      <c r="AL51" s="2757"/>
      <c r="AM51" s="2757"/>
      <c r="AN51" s="2757"/>
      <c r="AO51" s="2758"/>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9"/>
      <c r="C52" s="2760"/>
      <c r="D52" s="2760"/>
      <c r="E52" s="2760"/>
      <c r="F52" s="2760"/>
      <c r="G52" s="2760"/>
      <c r="H52" s="2760"/>
      <c r="I52" s="2760"/>
      <c r="J52" s="2760"/>
      <c r="K52" s="2760"/>
      <c r="L52" s="2760"/>
      <c r="M52" s="2760"/>
      <c r="N52" s="2760"/>
      <c r="O52" s="2760"/>
      <c r="P52" s="2760"/>
      <c r="Q52" s="2760"/>
      <c r="R52" s="2761"/>
      <c r="S52" s="2761"/>
      <c r="T52" s="2761"/>
      <c r="U52" s="2761"/>
      <c r="V52" s="2761"/>
      <c r="W52" s="2761"/>
      <c r="X52" s="2761"/>
      <c r="Y52" s="2761"/>
      <c r="Z52" s="2760"/>
      <c r="AA52" s="2760"/>
      <c r="AB52" s="2760"/>
      <c r="AC52" s="2760"/>
      <c r="AD52" s="2760"/>
      <c r="AE52" s="2760"/>
      <c r="AF52" s="2760"/>
      <c r="AG52" s="2760"/>
      <c r="AH52" s="2760"/>
      <c r="AI52" s="2760"/>
      <c r="AJ52" s="2760"/>
      <c r="AK52" s="2760"/>
      <c r="AL52" s="2760"/>
      <c r="AM52" s="2760"/>
      <c r="AN52" s="2760"/>
      <c r="AO52" s="2762"/>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9"/>
      <c r="C53" s="2760"/>
      <c r="D53" s="2760"/>
      <c r="E53" s="2760"/>
      <c r="F53" s="2760"/>
      <c r="G53" s="2760"/>
      <c r="H53" s="2760"/>
      <c r="I53" s="2760"/>
      <c r="J53" s="2760"/>
      <c r="K53" s="2760"/>
      <c r="L53" s="2760"/>
      <c r="M53" s="2760"/>
      <c r="N53" s="2760"/>
      <c r="O53" s="2760"/>
      <c r="P53" s="2760"/>
      <c r="Q53" s="2760"/>
      <c r="R53" s="2761"/>
      <c r="S53" s="2761"/>
      <c r="T53" s="2761"/>
      <c r="U53" s="2761"/>
      <c r="V53" s="2761"/>
      <c r="W53" s="2761"/>
      <c r="X53" s="2761"/>
      <c r="Y53" s="2761"/>
      <c r="Z53" s="2760"/>
      <c r="AA53" s="2760"/>
      <c r="AB53" s="2760"/>
      <c r="AC53" s="2760"/>
      <c r="AD53" s="2760"/>
      <c r="AE53" s="2760"/>
      <c r="AF53" s="2760"/>
      <c r="AG53" s="2760"/>
      <c r="AH53" s="2760"/>
      <c r="AI53" s="2760"/>
      <c r="AJ53" s="2760"/>
      <c r="AK53" s="2760"/>
      <c r="AL53" s="2760"/>
      <c r="AM53" s="2760"/>
      <c r="AN53" s="2760"/>
      <c r="AO53" s="2762"/>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9"/>
      <c r="C54" s="2760"/>
      <c r="D54" s="2760"/>
      <c r="E54" s="2760"/>
      <c r="F54" s="2760"/>
      <c r="G54" s="2760"/>
      <c r="H54" s="2760"/>
      <c r="I54" s="2760"/>
      <c r="J54" s="2760"/>
      <c r="K54" s="2760"/>
      <c r="L54" s="2760"/>
      <c r="M54" s="2760"/>
      <c r="N54" s="2760"/>
      <c r="O54" s="2760"/>
      <c r="P54" s="2760"/>
      <c r="Q54" s="2760"/>
      <c r="R54" s="2761"/>
      <c r="S54" s="2761"/>
      <c r="T54" s="2761"/>
      <c r="U54" s="2761"/>
      <c r="V54" s="2761"/>
      <c r="W54" s="2761"/>
      <c r="X54" s="2761"/>
      <c r="Y54" s="2761"/>
      <c r="Z54" s="2760"/>
      <c r="AA54" s="2760"/>
      <c r="AB54" s="2760"/>
      <c r="AC54" s="2760"/>
      <c r="AD54" s="2760"/>
      <c r="AE54" s="2760"/>
      <c r="AF54" s="2760"/>
      <c r="AG54" s="2760"/>
      <c r="AH54" s="2760"/>
      <c r="AI54" s="2760"/>
      <c r="AJ54" s="2760"/>
      <c r="AK54" s="2760"/>
      <c r="AL54" s="2760"/>
      <c r="AM54" s="2760"/>
      <c r="AN54" s="2760"/>
      <c r="AO54" s="2762"/>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9"/>
      <c r="C55" s="2760"/>
      <c r="D55" s="2760"/>
      <c r="E55" s="2760"/>
      <c r="F55" s="2760"/>
      <c r="G55" s="2760"/>
      <c r="H55" s="2760"/>
      <c r="I55" s="2760"/>
      <c r="J55" s="2760"/>
      <c r="K55" s="2760"/>
      <c r="L55" s="2760"/>
      <c r="M55" s="2760"/>
      <c r="N55" s="2760"/>
      <c r="O55" s="2760"/>
      <c r="P55" s="2760"/>
      <c r="Q55" s="2760"/>
      <c r="R55" s="2761"/>
      <c r="S55" s="2761"/>
      <c r="T55" s="2761"/>
      <c r="U55" s="2761"/>
      <c r="V55" s="2761"/>
      <c r="W55" s="2761"/>
      <c r="X55" s="2761"/>
      <c r="Y55" s="2761"/>
      <c r="Z55" s="2760"/>
      <c r="AA55" s="2760"/>
      <c r="AB55" s="2760"/>
      <c r="AC55" s="2760"/>
      <c r="AD55" s="2760"/>
      <c r="AE55" s="2760"/>
      <c r="AF55" s="2760"/>
      <c r="AG55" s="2760"/>
      <c r="AH55" s="2760"/>
      <c r="AI55" s="2760"/>
      <c r="AJ55" s="2760"/>
      <c r="AK55" s="2760"/>
      <c r="AL55" s="2760"/>
      <c r="AM55" s="2760"/>
      <c r="AN55" s="2760"/>
      <c r="AO55" s="2762"/>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2"/>
      <c r="C56" s="2773"/>
      <c r="D56" s="2773"/>
      <c r="E56" s="2773"/>
      <c r="F56" s="2773"/>
      <c r="G56" s="2773"/>
      <c r="H56" s="2773"/>
      <c r="I56" s="2773"/>
      <c r="J56" s="2773"/>
      <c r="K56" s="2773"/>
      <c r="L56" s="2773"/>
      <c r="M56" s="2773"/>
      <c r="N56" s="2773"/>
      <c r="O56" s="2773"/>
      <c r="P56" s="2773"/>
      <c r="Q56" s="2773"/>
      <c r="R56" s="2774"/>
      <c r="S56" s="2774"/>
      <c r="T56" s="2774"/>
      <c r="U56" s="2774"/>
      <c r="V56" s="2774"/>
      <c r="W56" s="2774"/>
      <c r="X56" s="2774"/>
      <c r="Y56" s="2774"/>
      <c r="Z56" s="2773"/>
      <c r="AA56" s="2773"/>
      <c r="AB56" s="2773"/>
      <c r="AC56" s="2773"/>
      <c r="AD56" s="2773"/>
      <c r="AE56" s="2773"/>
      <c r="AF56" s="2773"/>
      <c r="AG56" s="2773"/>
      <c r="AH56" s="2773"/>
      <c r="AI56" s="2773"/>
      <c r="AJ56" s="2773"/>
      <c r="AK56" s="2773"/>
      <c r="AL56" s="2773"/>
      <c r="AM56" s="2773"/>
      <c r="AN56" s="2773"/>
      <c r="AO56" s="2775"/>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6" t="s">
        <v>1880</v>
      </c>
      <c r="C57" s="2777"/>
      <c r="D57" s="2777"/>
      <c r="E57" s="2777"/>
      <c r="F57" s="2777"/>
      <c r="G57" s="2777"/>
      <c r="H57" s="2777"/>
      <c r="I57" s="2777"/>
      <c r="J57" s="2777"/>
      <c r="K57" s="2777"/>
      <c r="L57" s="2777"/>
      <c r="M57" s="2777"/>
      <c r="N57" s="2777"/>
      <c r="O57" s="2777"/>
      <c r="P57" s="2777"/>
      <c r="Q57" s="2777"/>
      <c r="R57" s="2778">
        <f>SUM(R52:Y56)</f>
        <v>0</v>
      </c>
      <c r="S57" s="2778"/>
      <c r="T57" s="2778"/>
      <c r="U57" s="2778"/>
      <c r="V57" s="2778"/>
      <c r="W57" s="2778"/>
      <c r="X57" s="2778"/>
      <c r="Y57" s="2778"/>
      <c r="Z57" s="2778">
        <f t="shared" ref="Z57" si="6">SUM(Z52:AG56)</f>
        <v>0</v>
      </c>
      <c r="AA57" s="2778"/>
      <c r="AB57" s="2778"/>
      <c r="AC57" s="2778"/>
      <c r="AD57" s="2778"/>
      <c r="AE57" s="2778"/>
      <c r="AF57" s="2778"/>
      <c r="AG57" s="2778"/>
      <c r="AH57" s="2778">
        <f t="shared" ref="AH57" si="7">SUM(AH52:AO56)</f>
        <v>0</v>
      </c>
      <c r="AI57" s="2778"/>
      <c r="AJ57" s="2778"/>
      <c r="AK57" s="2778"/>
      <c r="AL57" s="2778"/>
      <c r="AM57" s="2778"/>
      <c r="AN57" s="2778"/>
      <c r="AO57" s="277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3" t="s">
        <v>2072</v>
      </c>
      <c r="C59" s="2764"/>
      <c r="D59" s="2764"/>
      <c r="E59" s="2764"/>
      <c r="F59" s="2764"/>
      <c r="G59" s="2764"/>
      <c r="H59" s="2764"/>
      <c r="I59" s="2765"/>
      <c r="J59" s="2766" t="s">
        <v>2077</v>
      </c>
      <c r="K59" s="2766"/>
      <c r="L59" s="2766"/>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6"/>
      <c r="AK59" s="2766"/>
      <c r="AL59" s="2766"/>
      <c r="AM59" s="2766"/>
      <c r="AN59" s="2766"/>
      <c r="AO59" s="2766"/>
      <c r="AP59" s="2766"/>
      <c r="AQ59" s="2766"/>
      <c r="AR59" s="2766"/>
      <c r="AS59" s="2766"/>
      <c r="AT59" s="2766"/>
      <c r="AU59" s="2766"/>
      <c r="AV59" s="2766"/>
      <c r="AW59" s="2767"/>
      <c r="AX59" s="1528"/>
      <c r="AY59" s="1528"/>
      <c r="AZ59" s="1528"/>
      <c r="BA59" s="1528"/>
      <c r="BB59" s="1528"/>
      <c r="BC59" s="1528"/>
      <c r="BD59" s="1528"/>
      <c r="BE59" s="1534"/>
    </row>
    <row r="60" spans="1:58" ht="15.75" customHeight="1">
      <c r="A60" s="1817"/>
      <c r="B60" s="2768" t="str">
        <f>IF(B52="", "", B52)</f>
        <v/>
      </c>
      <c r="C60" s="2769"/>
      <c r="D60" s="2769"/>
      <c r="E60" s="2769"/>
      <c r="F60" s="2769"/>
      <c r="G60" s="2769"/>
      <c r="H60" s="2769"/>
      <c r="I60" s="2770"/>
      <c r="J60" s="2771"/>
      <c r="K60" s="2760"/>
      <c r="L60" s="2760"/>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c r="AS60" s="2760"/>
      <c r="AT60" s="2760"/>
      <c r="AU60" s="2760"/>
      <c r="AV60" s="2760"/>
      <c r="AW60" s="2762"/>
      <c r="AX60" s="1528"/>
      <c r="AY60" s="1528"/>
      <c r="AZ60" s="1528"/>
      <c r="BA60" s="1528"/>
      <c r="BB60" s="1528"/>
      <c r="BC60" s="1528"/>
      <c r="BD60" s="1528"/>
      <c r="BE60" s="1534"/>
    </row>
    <row r="61" spans="1:58" ht="15.75" customHeight="1">
      <c r="A61" s="1817"/>
      <c r="B61" s="2768" t="str">
        <f t="shared" ref="B61:B64" si="8">IF(B53="", "", B53)</f>
        <v/>
      </c>
      <c r="C61" s="2769"/>
      <c r="D61" s="2769"/>
      <c r="E61" s="2769"/>
      <c r="F61" s="2769"/>
      <c r="G61" s="2769"/>
      <c r="H61" s="2769"/>
      <c r="I61" s="2770"/>
      <c r="J61" s="2771"/>
      <c r="K61" s="2760"/>
      <c r="L61" s="2760"/>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c r="AS61" s="2760"/>
      <c r="AT61" s="2760"/>
      <c r="AU61" s="2760"/>
      <c r="AV61" s="2760"/>
      <c r="AW61" s="2762"/>
      <c r="AX61" s="1528"/>
      <c r="AY61" s="1528"/>
      <c r="AZ61" s="1528"/>
      <c r="BA61" s="1528"/>
      <c r="BB61" s="1528"/>
      <c r="BC61" s="1528"/>
      <c r="BD61" s="1528"/>
      <c r="BE61" s="1534"/>
    </row>
    <row r="62" spans="1:58" ht="15.75" customHeight="1">
      <c r="A62" s="1817"/>
      <c r="B62" s="2768" t="str">
        <f t="shared" si="8"/>
        <v/>
      </c>
      <c r="C62" s="2769"/>
      <c r="D62" s="2769"/>
      <c r="E62" s="2769"/>
      <c r="F62" s="2769"/>
      <c r="G62" s="2769"/>
      <c r="H62" s="2769"/>
      <c r="I62" s="2770"/>
      <c r="J62" s="2771"/>
      <c r="K62" s="2760"/>
      <c r="L62" s="2760"/>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c r="AS62" s="2760"/>
      <c r="AT62" s="2760"/>
      <c r="AU62" s="2760"/>
      <c r="AV62" s="2760"/>
      <c r="AW62" s="2762"/>
      <c r="AX62" s="1528"/>
      <c r="AY62" s="1528"/>
      <c r="AZ62" s="1528"/>
      <c r="BA62" s="1528"/>
      <c r="BB62" s="1528"/>
      <c r="BC62" s="1528"/>
      <c r="BD62" s="1528"/>
      <c r="BE62" s="1534"/>
    </row>
    <row r="63" spans="1:58" ht="15.75" customHeight="1">
      <c r="A63" s="1817"/>
      <c r="B63" s="2768" t="str">
        <f t="shared" si="8"/>
        <v/>
      </c>
      <c r="C63" s="2769"/>
      <c r="D63" s="2769"/>
      <c r="E63" s="2769"/>
      <c r="F63" s="2769"/>
      <c r="G63" s="2769"/>
      <c r="H63" s="2769"/>
      <c r="I63" s="2770"/>
      <c r="J63" s="2771"/>
      <c r="K63" s="2760"/>
      <c r="L63" s="2760"/>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c r="AS63" s="2760"/>
      <c r="AT63" s="2760"/>
      <c r="AU63" s="2760"/>
      <c r="AV63" s="2760"/>
      <c r="AW63" s="2762"/>
      <c r="AX63" s="1528"/>
      <c r="AY63" s="1528"/>
      <c r="AZ63" s="1528"/>
      <c r="BA63" s="1528"/>
      <c r="BB63" s="1528"/>
      <c r="BC63" s="1528"/>
      <c r="BD63" s="1528"/>
      <c r="BE63" s="1534"/>
    </row>
    <row r="64" spans="1:58" ht="15.75" customHeight="1" thickBot="1">
      <c r="A64" s="1817"/>
      <c r="B64" s="2791" t="str">
        <f t="shared" si="8"/>
        <v/>
      </c>
      <c r="C64" s="2792"/>
      <c r="D64" s="2792"/>
      <c r="E64" s="2792"/>
      <c r="F64" s="2792"/>
      <c r="G64" s="2792"/>
      <c r="H64" s="2792"/>
      <c r="I64" s="2793"/>
      <c r="J64" s="2794"/>
      <c r="K64" s="2773"/>
      <c r="L64" s="2773"/>
      <c r="M64" s="2773"/>
      <c r="N64" s="2773"/>
      <c r="O64" s="2773"/>
      <c r="P64" s="2773"/>
      <c r="Q64" s="2773"/>
      <c r="R64" s="2773"/>
      <c r="S64" s="2773"/>
      <c r="T64" s="2773"/>
      <c r="U64" s="2773"/>
      <c r="V64" s="2773"/>
      <c r="W64" s="2773"/>
      <c r="X64" s="2773"/>
      <c r="Y64" s="2773"/>
      <c r="Z64" s="2773"/>
      <c r="AA64" s="2773"/>
      <c r="AB64" s="2773"/>
      <c r="AC64" s="2773"/>
      <c r="AD64" s="2773"/>
      <c r="AE64" s="2773"/>
      <c r="AF64" s="2773"/>
      <c r="AG64" s="2773"/>
      <c r="AH64" s="2773"/>
      <c r="AI64" s="2773"/>
      <c r="AJ64" s="2773"/>
      <c r="AK64" s="2773"/>
      <c r="AL64" s="2773"/>
      <c r="AM64" s="2773"/>
      <c r="AN64" s="2773"/>
      <c r="AO64" s="2773"/>
      <c r="AP64" s="2773"/>
      <c r="AQ64" s="2773"/>
      <c r="AR64" s="2773"/>
      <c r="AS64" s="2773"/>
      <c r="AT64" s="2773"/>
      <c r="AU64" s="2773"/>
      <c r="AV64" s="2773"/>
      <c r="AW64" s="2775"/>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6" t="s">
        <v>2079</v>
      </c>
      <c r="C68" s="2647"/>
      <c r="D68" s="2647"/>
      <c r="E68" s="2647"/>
      <c r="F68" s="2647"/>
      <c r="G68" s="2647"/>
      <c r="H68" s="2647"/>
      <c r="I68" s="2647"/>
      <c r="J68" s="2647"/>
      <c r="K68" s="2647"/>
      <c r="L68" s="2647"/>
      <c r="M68" s="2647"/>
      <c r="N68" s="2647"/>
      <c r="O68" s="2647"/>
      <c r="P68" s="2647"/>
      <c r="Q68" s="2647"/>
      <c r="R68" s="2647"/>
      <c r="S68" s="2647"/>
      <c r="T68" s="2647"/>
      <c r="U68" s="2647"/>
      <c r="V68" s="2647"/>
      <c r="W68" s="2647"/>
      <c r="X68" s="2647"/>
      <c r="Y68" s="2647"/>
      <c r="Z68" s="2647"/>
      <c r="AA68" s="2648"/>
      <c r="AB68" s="1528"/>
      <c r="AC68" s="2805" t="s">
        <v>2080</v>
      </c>
      <c r="AD68" s="2806"/>
      <c r="AE68" s="2806"/>
      <c r="AF68" s="2806"/>
      <c r="AG68" s="2806"/>
      <c r="AH68" s="2806"/>
      <c r="AI68" s="2806"/>
      <c r="AJ68" s="2806"/>
      <c r="AK68" s="2806"/>
      <c r="AL68" s="2806"/>
      <c r="AM68" s="2806"/>
      <c r="AN68" s="2806"/>
      <c r="AO68" s="2806"/>
      <c r="AP68" s="2806"/>
      <c r="AQ68" s="2806"/>
      <c r="AR68" s="2806"/>
      <c r="AS68" s="2806"/>
      <c r="AT68" s="2806"/>
      <c r="AU68" s="2806"/>
      <c r="AV68" s="2779" t="s">
        <v>2036</v>
      </c>
      <c r="AW68" s="2779"/>
      <c r="AX68" s="2779"/>
      <c r="AY68" s="2779"/>
      <c r="AZ68" s="2779"/>
      <c r="BA68" s="2779"/>
      <c r="BB68" s="2779"/>
      <c r="BC68" s="2780"/>
      <c r="BD68" s="1528"/>
      <c r="BE68" s="1534"/>
    </row>
    <row r="69" spans="1:57" ht="15.75" customHeight="1" thickBot="1">
      <c r="A69" s="1817"/>
      <c r="B69" s="2781" t="s">
        <v>2081</v>
      </c>
      <c r="C69" s="2782"/>
      <c r="D69" s="2782"/>
      <c r="E69" s="2782"/>
      <c r="F69" s="2782"/>
      <c r="G69" s="2782"/>
      <c r="H69" s="2782"/>
      <c r="I69" s="2782"/>
      <c r="J69" s="2782"/>
      <c r="K69" s="2782"/>
      <c r="L69" s="2782"/>
      <c r="M69" s="2782"/>
      <c r="N69" s="2782"/>
      <c r="O69" s="2783" t="s">
        <v>2082</v>
      </c>
      <c r="P69" s="2784"/>
      <c r="Q69" s="2784"/>
      <c r="R69" s="2784"/>
      <c r="S69" s="2784"/>
      <c r="T69" s="2784"/>
      <c r="U69" s="2784"/>
      <c r="V69" s="2784"/>
      <c r="W69" s="2784"/>
      <c r="X69" s="2784"/>
      <c r="Y69" s="2784"/>
      <c r="Z69" s="2784"/>
      <c r="AA69" s="2785"/>
      <c r="AB69" s="1528"/>
      <c r="AC69" s="2786" t="s">
        <v>2083</v>
      </c>
      <c r="AD69" s="2787"/>
      <c r="AE69" s="2787"/>
      <c r="AF69" s="2787"/>
      <c r="AG69" s="2787"/>
      <c r="AH69" s="2787"/>
      <c r="AI69" s="2787"/>
      <c r="AJ69" s="2787"/>
      <c r="AK69" s="2787"/>
      <c r="AL69" s="2787"/>
      <c r="AM69" s="2787"/>
      <c r="AN69" s="2787"/>
      <c r="AO69" s="2787"/>
      <c r="AP69" s="2787"/>
      <c r="AQ69" s="2787"/>
      <c r="AR69" s="2787"/>
      <c r="AS69" s="2787"/>
      <c r="AT69" s="2787"/>
      <c r="AU69" s="2787"/>
      <c r="AV69" s="2788">
        <v>44197</v>
      </c>
      <c r="AW69" s="2789"/>
      <c r="AX69" s="2789"/>
      <c r="AY69" s="2789"/>
      <c r="AZ69" s="2789"/>
      <c r="BA69" s="2789"/>
      <c r="BB69" s="2789"/>
      <c r="BC69" s="2790"/>
      <c r="BD69" s="1528"/>
      <c r="BE69" s="1534"/>
    </row>
    <row r="70" spans="1:57" ht="15.75" customHeight="1">
      <c r="A70" s="1817"/>
      <c r="B70" s="2795"/>
      <c r="C70" s="2796"/>
      <c r="D70" s="2796"/>
      <c r="E70" s="2796"/>
      <c r="F70" s="2796"/>
      <c r="G70" s="2796"/>
      <c r="H70" s="2796"/>
      <c r="I70" s="2796"/>
      <c r="J70" s="2796"/>
      <c r="K70" s="2796"/>
      <c r="L70" s="2796"/>
      <c r="M70" s="2796"/>
      <c r="N70" s="2796"/>
      <c r="O70" s="2797"/>
      <c r="P70" s="2797"/>
      <c r="Q70" s="2797"/>
      <c r="R70" s="2797"/>
      <c r="S70" s="2797"/>
      <c r="T70" s="2797"/>
      <c r="U70" s="2797"/>
      <c r="V70" s="2797"/>
      <c r="W70" s="2797"/>
      <c r="X70" s="2797"/>
      <c r="Y70" s="2797"/>
      <c r="Z70" s="2797"/>
      <c r="AA70" s="2798"/>
      <c r="AB70" s="1528"/>
      <c r="AC70" s="2799" t="s">
        <v>2084</v>
      </c>
      <c r="AD70" s="2800"/>
      <c r="AE70" s="2800"/>
      <c r="AF70" s="2801"/>
      <c r="AG70" s="2801"/>
      <c r="AH70" s="2801"/>
      <c r="AI70" s="2801"/>
      <c r="AJ70" s="2801"/>
      <c r="AK70" s="2801"/>
      <c r="AL70" s="2801"/>
      <c r="AM70" s="2801"/>
      <c r="AN70" s="2801"/>
      <c r="AO70" s="2801"/>
      <c r="AP70" s="2801"/>
      <c r="AQ70" s="2801"/>
      <c r="AR70" s="2801"/>
      <c r="AS70" s="2801"/>
      <c r="AT70" s="2801"/>
      <c r="AU70" s="2802"/>
      <c r="AV70" s="1528"/>
      <c r="AW70" s="1528"/>
      <c r="AX70" s="1528"/>
      <c r="AY70" s="1528"/>
      <c r="AZ70" s="1528"/>
      <c r="BA70" s="1528"/>
      <c r="BB70" s="1528"/>
      <c r="BC70" s="1528"/>
      <c r="BD70" s="1528"/>
      <c r="BE70" s="1534"/>
    </row>
    <row r="71" spans="1:57" ht="15.75" customHeight="1" thickBot="1">
      <c r="A71" s="1817"/>
      <c r="B71" s="2728"/>
      <c r="C71" s="2726"/>
      <c r="D71" s="2726"/>
      <c r="E71" s="2726"/>
      <c r="F71" s="2726"/>
      <c r="G71" s="2726"/>
      <c r="H71" s="2726"/>
      <c r="I71" s="2726"/>
      <c r="J71" s="2726"/>
      <c r="K71" s="2726"/>
      <c r="L71" s="2726"/>
      <c r="M71" s="2726"/>
      <c r="N71" s="2726"/>
      <c r="O71" s="2797"/>
      <c r="P71" s="2797"/>
      <c r="Q71" s="2797"/>
      <c r="R71" s="2797"/>
      <c r="S71" s="2797"/>
      <c r="T71" s="2797"/>
      <c r="U71" s="2797"/>
      <c r="V71" s="2797"/>
      <c r="W71" s="2797"/>
      <c r="X71" s="2797"/>
      <c r="Y71" s="2797"/>
      <c r="Z71" s="2797"/>
      <c r="AA71" s="2798"/>
      <c r="AB71" s="1528"/>
      <c r="AC71" s="2803" t="s">
        <v>2085</v>
      </c>
      <c r="AD71" s="2804"/>
      <c r="AE71" s="2804"/>
      <c r="AF71" s="2743"/>
      <c r="AG71" s="2743"/>
      <c r="AH71" s="2743"/>
      <c r="AI71" s="2743"/>
      <c r="AJ71" s="2743"/>
      <c r="AK71" s="2743"/>
      <c r="AL71" s="2743"/>
      <c r="AM71" s="2743"/>
      <c r="AN71" s="2743"/>
      <c r="AO71" s="2743"/>
      <c r="AP71" s="2743"/>
      <c r="AQ71" s="2743"/>
      <c r="AR71" s="2743"/>
      <c r="AS71" s="2743"/>
      <c r="AT71" s="2743"/>
      <c r="AU71" s="2744"/>
      <c r="AV71" s="1528"/>
      <c r="AW71" s="1528"/>
      <c r="AX71" s="1528"/>
      <c r="AY71" s="1528"/>
      <c r="AZ71" s="1528"/>
      <c r="BA71" s="1528"/>
      <c r="BB71" s="1528"/>
      <c r="BC71" s="1528"/>
      <c r="BD71" s="1528"/>
      <c r="BE71" s="1534"/>
    </row>
    <row r="72" spans="1:57" ht="15.75" customHeight="1">
      <c r="A72" s="1817"/>
      <c r="B72" s="2728"/>
      <c r="C72" s="2726"/>
      <c r="D72" s="2726"/>
      <c r="E72" s="2726"/>
      <c r="F72" s="2726"/>
      <c r="G72" s="2726"/>
      <c r="H72" s="2726"/>
      <c r="I72" s="2726"/>
      <c r="J72" s="2726"/>
      <c r="K72" s="2726"/>
      <c r="L72" s="2726"/>
      <c r="M72" s="2726"/>
      <c r="N72" s="2726"/>
      <c r="O72" s="2797"/>
      <c r="P72" s="2797"/>
      <c r="Q72" s="2797"/>
      <c r="R72" s="2797"/>
      <c r="S72" s="2797"/>
      <c r="T72" s="2797"/>
      <c r="U72" s="2797"/>
      <c r="V72" s="2797"/>
      <c r="W72" s="2797"/>
      <c r="X72" s="2797"/>
      <c r="Y72" s="2797"/>
      <c r="Z72" s="2797"/>
      <c r="AA72" s="2798"/>
      <c r="AB72" s="1528"/>
      <c r="AC72" s="2812" t="s">
        <v>2086</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8"/>
      <c r="BE72" s="1534"/>
    </row>
    <row r="73" spans="1:57" ht="15.75" customHeight="1">
      <c r="A73" s="1817"/>
      <c r="B73" s="2728"/>
      <c r="C73" s="2726"/>
      <c r="D73" s="2726"/>
      <c r="E73" s="2726"/>
      <c r="F73" s="2726"/>
      <c r="G73" s="2726"/>
      <c r="H73" s="2726"/>
      <c r="I73" s="2726"/>
      <c r="J73" s="2726"/>
      <c r="K73" s="2726"/>
      <c r="L73" s="2726"/>
      <c r="M73" s="2726"/>
      <c r="N73" s="2726"/>
      <c r="O73" s="2797"/>
      <c r="P73" s="2797"/>
      <c r="Q73" s="2797"/>
      <c r="R73" s="2797"/>
      <c r="S73" s="2797"/>
      <c r="T73" s="2797"/>
      <c r="U73" s="2797"/>
      <c r="V73" s="2797"/>
      <c r="W73" s="2797"/>
      <c r="X73" s="2797"/>
      <c r="Y73" s="2797"/>
      <c r="Z73" s="2797"/>
      <c r="AA73" s="2798"/>
      <c r="AB73" s="1528"/>
      <c r="AC73" s="2728"/>
      <c r="AD73" s="2726"/>
      <c r="AE73" s="2726"/>
      <c r="AF73" s="2726"/>
      <c r="AG73" s="2726"/>
      <c r="AH73" s="2726"/>
      <c r="AI73" s="2726"/>
      <c r="AJ73" s="2726"/>
      <c r="AK73" s="2726"/>
      <c r="AL73" s="2726"/>
      <c r="AM73" s="2726"/>
      <c r="AN73" s="2726"/>
      <c r="AO73" s="2726"/>
      <c r="AP73" s="2726"/>
      <c r="AQ73" s="2726"/>
      <c r="AR73" s="2726"/>
      <c r="AS73" s="2726"/>
      <c r="AT73" s="2726"/>
      <c r="AU73" s="2726"/>
      <c r="AV73" s="2726"/>
      <c r="AW73" s="2726"/>
      <c r="AX73" s="2726"/>
      <c r="AY73" s="2726"/>
      <c r="AZ73" s="2726"/>
      <c r="BA73" s="2726"/>
      <c r="BB73" s="2726"/>
      <c r="BC73" s="2727"/>
      <c r="BD73" s="1528"/>
      <c r="BE73" s="1534"/>
    </row>
    <row r="74" spans="1:57" ht="15.75" customHeight="1" thickBot="1">
      <c r="A74" s="1817"/>
      <c r="B74" s="2728"/>
      <c r="C74" s="2726"/>
      <c r="D74" s="2726"/>
      <c r="E74" s="2726"/>
      <c r="F74" s="2726"/>
      <c r="G74" s="2726"/>
      <c r="H74" s="2726"/>
      <c r="I74" s="2726"/>
      <c r="J74" s="2726"/>
      <c r="K74" s="2726"/>
      <c r="L74" s="2726"/>
      <c r="M74" s="2726"/>
      <c r="N74" s="2726"/>
      <c r="O74" s="2815"/>
      <c r="P74" s="2815"/>
      <c r="Q74" s="2815"/>
      <c r="R74" s="2815"/>
      <c r="S74" s="2815"/>
      <c r="T74" s="2815"/>
      <c r="U74" s="2815"/>
      <c r="V74" s="2815"/>
      <c r="W74" s="2815"/>
      <c r="X74" s="2815"/>
      <c r="Y74" s="2815"/>
      <c r="Z74" s="2815"/>
      <c r="AA74" s="2816"/>
      <c r="AB74" s="1528"/>
      <c r="AC74" s="2728"/>
      <c r="AD74" s="2726"/>
      <c r="AE74" s="2726"/>
      <c r="AF74" s="2726"/>
      <c r="AG74" s="2726"/>
      <c r="AH74" s="2726"/>
      <c r="AI74" s="2726"/>
      <c r="AJ74" s="2726"/>
      <c r="AK74" s="2726"/>
      <c r="AL74" s="2726"/>
      <c r="AM74" s="2726"/>
      <c r="AN74" s="2726"/>
      <c r="AO74" s="2726"/>
      <c r="AP74" s="2726"/>
      <c r="AQ74" s="2726"/>
      <c r="AR74" s="2726"/>
      <c r="AS74" s="2726"/>
      <c r="AT74" s="2726"/>
      <c r="AU74" s="2726"/>
      <c r="AV74" s="2726"/>
      <c r="AW74" s="2726"/>
      <c r="AX74" s="2726"/>
      <c r="AY74" s="2726"/>
      <c r="AZ74" s="2726"/>
      <c r="BA74" s="2726"/>
      <c r="BB74" s="2726"/>
      <c r="BC74" s="2727"/>
      <c r="BD74" s="1528"/>
      <c r="BE74" s="1534"/>
    </row>
    <row r="75" spans="1:57" ht="15.75" customHeight="1" thickTop="1" thickBot="1">
      <c r="A75" s="1817"/>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8"/>
      <c r="AC75" s="2728"/>
      <c r="AD75" s="2726"/>
      <c r="AE75" s="2726"/>
      <c r="AF75" s="2726"/>
      <c r="AG75" s="2726"/>
      <c r="AH75" s="2726"/>
      <c r="AI75" s="2726"/>
      <c r="AJ75" s="2726"/>
      <c r="AK75" s="2726"/>
      <c r="AL75" s="2726"/>
      <c r="AM75" s="2726"/>
      <c r="AN75" s="2726"/>
      <c r="AO75" s="2726"/>
      <c r="AP75" s="2726"/>
      <c r="AQ75" s="2726"/>
      <c r="AR75" s="2726"/>
      <c r="AS75" s="2726"/>
      <c r="AT75" s="2726"/>
      <c r="AU75" s="2726"/>
      <c r="AV75" s="2726"/>
      <c r="AW75" s="2726"/>
      <c r="AX75" s="2726"/>
      <c r="AY75" s="2726"/>
      <c r="AZ75" s="2726"/>
      <c r="BA75" s="2726"/>
      <c r="BB75" s="2726"/>
      <c r="BC75" s="2727"/>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8"/>
      <c r="AD76" s="2726"/>
      <c r="AE76" s="2726"/>
      <c r="AF76" s="2726"/>
      <c r="AG76" s="2726"/>
      <c r="AH76" s="2726"/>
      <c r="AI76" s="2726"/>
      <c r="AJ76" s="2726"/>
      <c r="AK76" s="2726"/>
      <c r="AL76" s="2726"/>
      <c r="AM76" s="2726"/>
      <c r="AN76" s="2726"/>
      <c r="AO76" s="2726"/>
      <c r="AP76" s="2726"/>
      <c r="AQ76" s="2726"/>
      <c r="AR76" s="2726"/>
      <c r="AS76" s="2726"/>
      <c r="AT76" s="2726"/>
      <c r="AU76" s="2726"/>
      <c r="AV76" s="2726"/>
      <c r="AW76" s="2726"/>
      <c r="AX76" s="2726"/>
      <c r="AY76" s="2726"/>
      <c r="AZ76" s="2726"/>
      <c r="BA76" s="2726"/>
      <c r="BB76" s="2726"/>
      <c r="BC76" s="2727"/>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5"/>
      <c r="AD77" s="2743"/>
      <c r="AE77" s="2743"/>
      <c r="AF77" s="2743"/>
      <c r="AG77" s="2743"/>
      <c r="AH77" s="2743"/>
      <c r="AI77" s="2743"/>
      <c r="AJ77" s="2743"/>
      <c r="AK77" s="2743"/>
      <c r="AL77" s="2743"/>
      <c r="AM77" s="2743"/>
      <c r="AN77" s="2743"/>
      <c r="AO77" s="2743"/>
      <c r="AP77" s="2743"/>
      <c r="AQ77" s="2743"/>
      <c r="AR77" s="2743"/>
      <c r="AS77" s="2743"/>
      <c r="AT77" s="2743"/>
      <c r="AU77" s="2743"/>
      <c r="AV77" s="2743"/>
      <c r="AW77" s="2743"/>
      <c r="AX77" s="2743"/>
      <c r="AY77" s="2743"/>
      <c r="AZ77" s="2743"/>
      <c r="BA77" s="2743"/>
      <c r="BB77" s="2743"/>
      <c r="BC77" s="2744"/>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7" t="s">
        <v>2088</v>
      </c>
      <c r="C79" s="2618"/>
      <c r="D79" s="2618"/>
      <c r="E79" s="2618"/>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807"/>
      <c r="AC79" s="2807"/>
      <c r="AD79" s="2807"/>
      <c r="AE79" s="2807"/>
      <c r="AF79" s="2807"/>
      <c r="AG79" s="2808"/>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7"/>
      <c r="C80" s="2618"/>
      <c r="D80" s="2618"/>
      <c r="E80" s="2618"/>
      <c r="F80" s="2618"/>
      <c r="G80" s="2618"/>
      <c r="H80" s="2619"/>
      <c r="I80" s="2809" t="s">
        <v>2089</v>
      </c>
      <c r="J80" s="2810"/>
      <c r="K80" s="2810"/>
      <c r="L80" s="2810"/>
      <c r="M80" s="2810"/>
      <c r="N80" s="2811"/>
      <c r="O80" s="2809" t="s">
        <v>2090</v>
      </c>
      <c r="P80" s="2810"/>
      <c r="Q80" s="2810"/>
      <c r="R80" s="2810"/>
      <c r="S80" s="2810"/>
      <c r="T80" s="2810"/>
      <c r="U80" s="2811"/>
      <c r="V80" s="2809" t="s">
        <v>2091</v>
      </c>
      <c r="W80" s="2810"/>
      <c r="X80" s="2810"/>
      <c r="Y80" s="2810"/>
      <c r="Z80" s="2810"/>
      <c r="AA80" s="2811"/>
      <c r="AB80" s="2809" t="s">
        <v>2092</v>
      </c>
      <c r="AC80" s="2810"/>
      <c r="AD80" s="2810"/>
      <c r="AE80" s="2810"/>
      <c r="AF80" s="2810"/>
      <c r="AG80" s="281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9" t="s">
        <v>2093</v>
      </c>
      <c r="C81" s="2810"/>
      <c r="D81" s="2810"/>
      <c r="E81" s="2810"/>
      <c r="F81" s="2810"/>
      <c r="G81" s="2810"/>
      <c r="H81" s="2811"/>
      <c r="I81" s="2828"/>
      <c r="J81" s="2829"/>
      <c r="K81" s="2829"/>
      <c r="L81" s="2829"/>
      <c r="M81" s="2829"/>
      <c r="N81" s="2829"/>
      <c r="O81" s="2829"/>
      <c r="P81" s="2829"/>
      <c r="Q81" s="2829"/>
      <c r="R81" s="2829"/>
      <c r="S81" s="2829"/>
      <c r="T81" s="2829"/>
      <c r="U81" s="2829"/>
      <c r="V81" s="2829"/>
      <c r="W81" s="2829"/>
      <c r="X81" s="2829"/>
      <c r="Y81" s="2829"/>
      <c r="Z81" s="2829"/>
      <c r="AA81" s="2830"/>
      <c r="AB81" s="2829"/>
      <c r="AC81" s="2829"/>
      <c r="AD81" s="2829"/>
      <c r="AE81" s="2829"/>
      <c r="AF81" s="2829"/>
      <c r="AG81" s="2830"/>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9" t="s">
        <v>2094</v>
      </c>
      <c r="C82" s="2810"/>
      <c r="D82" s="2810"/>
      <c r="E82" s="2810"/>
      <c r="F82" s="2810"/>
      <c r="G82" s="2810"/>
      <c r="H82" s="2811"/>
      <c r="I82" s="2831"/>
      <c r="J82" s="2832"/>
      <c r="K82" s="2832"/>
      <c r="L82" s="2832"/>
      <c r="M82" s="2832"/>
      <c r="N82" s="2832"/>
      <c r="O82" s="2832"/>
      <c r="P82" s="2832"/>
      <c r="Q82" s="2832"/>
      <c r="R82" s="2832"/>
      <c r="S82" s="2832"/>
      <c r="T82" s="2832"/>
      <c r="U82" s="2832"/>
      <c r="V82" s="2832"/>
      <c r="W82" s="2832"/>
      <c r="X82" s="2832"/>
      <c r="Y82" s="2832"/>
      <c r="Z82" s="2832"/>
      <c r="AA82" s="2833"/>
      <c r="AB82" s="2832"/>
      <c r="AC82" s="2832"/>
      <c r="AD82" s="2832"/>
      <c r="AE82" s="2832"/>
      <c r="AF82" s="2832"/>
      <c r="AG82" s="283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2" t="s">
        <v>2096</v>
      </c>
      <c r="C86" s="2823"/>
      <c r="D86" s="2823"/>
      <c r="E86" s="2823"/>
      <c r="F86" s="2823"/>
      <c r="G86" s="2823"/>
      <c r="H86" s="2823"/>
      <c r="I86" s="2823"/>
      <c r="J86" s="2823"/>
      <c r="K86" s="2823"/>
      <c r="L86" s="2823"/>
      <c r="M86" s="2823"/>
      <c r="N86" s="2823"/>
      <c r="O86" s="2823"/>
      <c r="P86" s="2823"/>
      <c r="Q86" s="2823"/>
      <c r="R86" s="2823"/>
      <c r="S86" s="2823"/>
      <c r="T86" s="2823"/>
      <c r="U86" s="2823"/>
      <c r="V86" s="2823"/>
      <c r="W86" s="2823"/>
      <c r="X86" s="2823"/>
      <c r="Y86" s="2823"/>
      <c r="Z86" s="2823"/>
      <c r="AA86" s="2823"/>
      <c r="AB86" s="2823"/>
      <c r="AC86" s="2823"/>
      <c r="AD86" s="2823"/>
      <c r="AE86" s="2823"/>
      <c r="AF86" s="2823"/>
      <c r="AG86" s="2823"/>
      <c r="AH86" s="282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7"/>
      <c r="C87" s="2618"/>
      <c r="D87" s="2618"/>
      <c r="E87" s="2618"/>
      <c r="F87" s="2618"/>
      <c r="G87" s="2618"/>
      <c r="H87" s="2619"/>
      <c r="I87" s="2809" t="s">
        <v>2089</v>
      </c>
      <c r="J87" s="2810"/>
      <c r="K87" s="2810"/>
      <c r="L87" s="2810"/>
      <c r="M87" s="2810"/>
      <c r="N87" s="2811"/>
      <c r="O87" s="2809" t="s">
        <v>2090</v>
      </c>
      <c r="P87" s="2810"/>
      <c r="Q87" s="2810"/>
      <c r="R87" s="2810"/>
      <c r="S87" s="2810"/>
      <c r="T87" s="2810"/>
      <c r="U87" s="2811"/>
      <c r="V87" s="2809" t="s">
        <v>2091</v>
      </c>
      <c r="W87" s="2810"/>
      <c r="X87" s="2810"/>
      <c r="Y87" s="2810"/>
      <c r="Z87" s="2810"/>
      <c r="AA87" s="2811"/>
      <c r="AB87" s="2825" t="s">
        <v>2092</v>
      </c>
      <c r="AC87" s="2826"/>
      <c r="AD87" s="2826"/>
      <c r="AE87" s="2826"/>
      <c r="AF87" s="2826"/>
      <c r="AG87" s="2826"/>
      <c r="AH87" s="2827"/>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9" t="s">
        <v>2093</v>
      </c>
      <c r="C88" s="2810"/>
      <c r="D88" s="2810"/>
      <c r="E88" s="2810"/>
      <c r="F88" s="2810"/>
      <c r="G88" s="2810"/>
      <c r="H88" s="2811"/>
      <c r="I88" s="2828"/>
      <c r="J88" s="2829"/>
      <c r="K88" s="2829"/>
      <c r="L88" s="2829"/>
      <c r="M88" s="2829"/>
      <c r="N88" s="2829"/>
      <c r="O88" s="2829"/>
      <c r="P88" s="2829"/>
      <c r="Q88" s="2829"/>
      <c r="R88" s="2829"/>
      <c r="S88" s="2829"/>
      <c r="T88" s="2829"/>
      <c r="U88" s="2829"/>
      <c r="V88" s="2829"/>
      <c r="W88" s="2829"/>
      <c r="X88" s="2829"/>
      <c r="Y88" s="2829"/>
      <c r="Z88" s="2829"/>
      <c r="AA88" s="2834"/>
      <c r="AB88" s="2801"/>
      <c r="AC88" s="2801"/>
      <c r="AD88" s="2801"/>
      <c r="AE88" s="2801"/>
      <c r="AF88" s="2801"/>
      <c r="AG88" s="2801"/>
      <c r="AH88" s="2802"/>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9" t="s">
        <v>2094</v>
      </c>
      <c r="C89" s="2810"/>
      <c r="D89" s="2810"/>
      <c r="E89" s="2810"/>
      <c r="F89" s="2810"/>
      <c r="G89" s="2810"/>
      <c r="H89" s="2811"/>
      <c r="I89" s="2831"/>
      <c r="J89" s="2832"/>
      <c r="K89" s="2832"/>
      <c r="L89" s="2832"/>
      <c r="M89" s="2832"/>
      <c r="N89" s="2832"/>
      <c r="O89" s="2832"/>
      <c r="P89" s="2832"/>
      <c r="Q89" s="2832"/>
      <c r="R89" s="2832"/>
      <c r="S89" s="2832"/>
      <c r="T89" s="2832"/>
      <c r="U89" s="2832"/>
      <c r="V89" s="2832"/>
      <c r="W89" s="2832"/>
      <c r="X89" s="2832"/>
      <c r="Y89" s="2832"/>
      <c r="Z89" s="2832"/>
      <c r="AA89" s="2835"/>
      <c r="AB89" s="2743"/>
      <c r="AC89" s="2743"/>
      <c r="AD89" s="2743"/>
      <c r="AE89" s="2743"/>
      <c r="AF89" s="2743"/>
      <c r="AG89" s="2743"/>
      <c r="AH89" s="2744"/>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7" t="s">
        <v>2098</v>
      </c>
      <c r="C93" s="2618"/>
      <c r="D93" s="2618"/>
      <c r="E93" s="2618"/>
      <c r="F93" s="2618"/>
      <c r="G93" s="2618"/>
      <c r="H93" s="2618"/>
      <c r="I93" s="2618"/>
      <c r="J93" s="2618"/>
      <c r="K93" s="2618"/>
      <c r="L93" s="2618"/>
      <c r="M93" s="2618"/>
      <c r="N93" s="2618"/>
      <c r="O93" s="2618"/>
      <c r="P93" s="2618"/>
      <c r="Q93" s="2618"/>
      <c r="R93" s="2618"/>
      <c r="S93" s="2618"/>
      <c r="T93" s="2618"/>
      <c r="U93" s="2618"/>
      <c r="V93" s="2618"/>
      <c r="W93" s="2618"/>
      <c r="X93" s="2618"/>
      <c r="Y93" s="2618"/>
      <c r="Z93" s="2618"/>
      <c r="AA93" s="2618"/>
      <c r="AB93" s="2618"/>
      <c r="AC93" s="2618"/>
      <c r="AD93" s="2618"/>
      <c r="AE93" s="2618"/>
      <c r="AF93" s="2618"/>
      <c r="AG93" s="2618"/>
      <c r="AH93" s="2619"/>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7"/>
      <c r="C94" s="2618"/>
      <c r="D94" s="2618"/>
      <c r="E94" s="2618"/>
      <c r="F94" s="2618"/>
      <c r="G94" s="2618"/>
      <c r="H94" s="2619"/>
      <c r="I94" s="2809" t="s">
        <v>2089</v>
      </c>
      <c r="J94" s="2810"/>
      <c r="K94" s="2810"/>
      <c r="L94" s="2810"/>
      <c r="M94" s="2810"/>
      <c r="N94" s="2811"/>
      <c r="O94" s="2809" t="s">
        <v>2090</v>
      </c>
      <c r="P94" s="2810"/>
      <c r="Q94" s="2810"/>
      <c r="R94" s="2810"/>
      <c r="S94" s="2810"/>
      <c r="T94" s="2810"/>
      <c r="U94" s="2811"/>
      <c r="V94" s="2809" t="s">
        <v>2091</v>
      </c>
      <c r="W94" s="2810"/>
      <c r="X94" s="2810"/>
      <c r="Y94" s="2810"/>
      <c r="Z94" s="2810"/>
      <c r="AA94" s="2811"/>
      <c r="AB94" s="2825" t="s">
        <v>2092</v>
      </c>
      <c r="AC94" s="2826"/>
      <c r="AD94" s="2826"/>
      <c r="AE94" s="2826"/>
      <c r="AF94" s="2826"/>
      <c r="AG94" s="2826"/>
      <c r="AH94" s="2827"/>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9" t="s">
        <v>2093</v>
      </c>
      <c r="C95" s="2810"/>
      <c r="D95" s="2810"/>
      <c r="E95" s="2810"/>
      <c r="F95" s="2810"/>
      <c r="G95" s="2810"/>
      <c r="H95" s="2811"/>
      <c r="I95" s="2828"/>
      <c r="J95" s="2829"/>
      <c r="K95" s="2829"/>
      <c r="L95" s="2829"/>
      <c r="M95" s="2829"/>
      <c r="N95" s="2829"/>
      <c r="O95" s="2829"/>
      <c r="P95" s="2829"/>
      <c r="Q95" s="2829"/>
      <c r="R95" s="2829"/>
      <c r="S95" s="2829"/>
      <c r="T95" s="2829"/>
      <c r="U95" s="2829"/>
      <c r="V95" s="2829"/>
      <c r="W95" s="2829"/>
      <c r="X95" s="2829"/>
      <c r="Y95" s="2829"/>
      <c r="Z95" s="2829"/>
      <c r="AA95" s="2830"/>
      <c r="AB95" s="2801"/>
      <c r="AC95" s="2801"/>
      <c r="AD95" s="2801"/>
      <c r="AE95" s="2801"/>
      <c r="AF95" s="2801"/>
      <c r="AG95" s="2801"/>
      <c r="AH95" s="2802"/>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9" t="s">
        <v>2094</v>
      </c>
      <c r="C96" s="2810"/>
      <c r="D96" s="2810"/>
      <c r="E96" s="2810"/>
      <c r="F96" s="2810"/>
      <c r="G96" s="2810"/>
      <c r="H96" s="2811"/>
      <c r="I96" s="2831"/>
      <c r="J96" s="2832"/>
      <c r="K96" s="2832"/>
      <c r="L96" s="2832"/>
      <c r="M96" s="2832"/>
      <c r="N96" s="2832"/>
      <c r="O96" s="2832"/>
      <c r="P96" s="2832"/>
      <c r="Q96" s="2832"/>
      <c r="R96" s="2832"/>
      <c r="S96" s="2832"/>
      <c r="T96" s="2832"/>
      <c r="U96" s="2832"/>
      <c r="V96" s="2832"/>
      <c r="W96" s="2832"/>
      <c r="X96" s="2832"/>
      <c r="Y96" s="2832"/>
      <c r="Z96" s="2832"/>
      <c r="AA96" s="2833"/>
      <c r="AB96" s="2743"/>
      <c r="AC96" s="2743"/>
      <c r="AD96" s="2743"/>
      <c r="AE96" s="2743"/>
      <c r="AF96" s="2743"/>
      <c r="AG96" s="2743"/>
      <c r="AH96" s="2744"/>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6" t="s">
        <v>2100</v>
      </c>
      <c r="C100" s="2647"/>
      <c r="D100" s="2647"/>
      <c r="E100" s="2647"/>
      <c r="F100" s="2647"/>
      <c r="G100" s="2647"/>
      <c r="H100" s="2647"/>
      <c r="I100" s="2647"/>
      <c r="J100" s="2647"/>
      <c r="K100" s="2647"/>
      <c r="L100" s="2647"/>
      <c r="M100" s="2647"/>
      <c r="N100" s="2647"/>
      <c r="O100" s="2647"/>
      <c r="P100" s="2647"/>
      <c r="Q100" s="2647"/>
      <c r="R100" s="2647"/>
      <c r="S100" s="2647"/>
      <c r="T100" s="2647"/>
      <c r="U100" s="285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1"/>
      <c r="C101" s="2852"/>
      <c r="D101" s="2852"/>
      <c r="E101" s="2852"/>
      <c r="F101" s="2852"/>
      <c r="G101" s="2852"/>
      <c r="H101" s="2853"/>
      <c r="I101" s="2783" t="s">
        <v>2090</v>
      </c>
      <c r="J101" s="2784"/>
      <c r="K101" s="2784"/>
      <c r="L101" s="2784"/>
      <c r="M101" s="2784"/>
      <c r="N101" s="2784"/>
      <c r="O101" s="2854"/>
      <c r="P101" s="2783" t="s">
        <v>2101</v>
      </c>
      <c r="Q101" s="2784"/>
      <c r="R101" s="2784"/>
      <c r="S101" s="2784"/>
      <c r="T101" s="2784"/>
      <c r="U101" s="2854"/>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5" t="s">
        <v>2093</v>
      </c>
      <c r="C102" s="2856"/>
      <c r="D102" s="2856"/>
      <c r="E102" s="2856"/>
      <c r="F102" s="2856"/>
      <c r="G102" s="2856"/>
      <c r="H102" s="2856"/>
      <c r="I102" s="2836"/>
      <c r="J102" s="2837"/>
      <c r="K102" s="2837"/>
      <c r="L102" s="2837"/>
      <c r="M102" s="2837"/>
      <c r="N102" s="2837"/>
      <c r="O102" s="2838"/>
      <c r="P102" s="2836"/>
      <c r="Q102" s="2837"/>
      <c r="R102" s="2837"/>
      <c r="S102" s="2837"/>
      <c r="T102" s="2837"/>
      <c r="U102" s="283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6" t="s">
        <v>2094</v>
      </c>
      <c r="C103" s="2787"/>
      <c r="D103" s="2787"/>
      <c r="E103" s="2787"/>
      <c r="F103" s="2787"/>
      <c r="G103" s="2787"/>
      <c r="H103" s="2787"/>
      <c r="I103" s="2836"/>
      <c r="J103" s="2837"/>
      <c r="K103" s="2837"/>
      <c r="L103" s="2837"/>
      <c r="M103" s="2837"/>
      <c r="N103" s="2837"/>
      <c r="O103" s="2838"/>
      <c r="P103" s="2836"/>
      <c r="Q103" s="2837"/>
      <c r="R103" s="2837"/>
      <c r="S103" s="2837"/>
      <c r="T103" s="2837"/>
      <c r="U103" s="283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9" t="s">
        <v>2102</v>
      </c>
      <c r="C105" s="2840"/>
      <c r="D105" s="2840"/>
      <c r="E105" s="2840"/>
      <c r="F105" s="2840"/>
      <c r="G105" s="2840"/>
      <c r="H105" s="2840"/>
      <c r="I105" s="2840"/>
      <c r="J105" s="2840"/>
      <c r="K105" s="2840"/>
      <c r="L105" s="2840"/>
      <c r="M105" s="2840"/>
      <c r="N105" s="2840"/>
      <c r="O105" s="2840"/>
      <c r="P105" s="2840"/>
      <c r="Q105" s="2840"/>
      <c r="R105" s="2841"/>
      <c r="S105" s="2841"/>
      <c r="T105" s="2841"/>
      <c r="U105" s="2841"/>
      <c r="V105" s="2841"/>
      <c r="W105" s="2841"/>
      <c r="X105" s="2841"/>
      <c r="Y105" s="2841"/>
      <c r="Z105" s="2841"/>
      <c r="AA105" s="2841"/>
      <c r="AB105" s="2841"/>
      <c r="AC105" s="2841"/>
      <c r="AD105" s="2841"/>
      <c r="AE105" s="2841"/>
      <c r="AF105" s="2841"/>
      <c r="AG105" s="2842" t="s">
        <v>2036</v>
      </c>
      <c r="AH105" s="2842"/>
      <c r="AI105" s="2842"/>
      <c r="AJ105" s="284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4" t="s">
        <v>2103</v>
      </c>
      <c r="C106" s="2845"/>
      <c r="D106" s="2845"/>
      <c r="E106" s="2845"/>
      <c r="F106" s="2845"/>
      <c r="G106" s="2845"/>
      <c r="H106" s="2845"/>
      <c r="I106" s="2845"/>
      <c r="J106" s="2845"/>
      <c r="K106" s="2845"/>
      <c r="L106" s="2845"/>
      <c r="M106" s="2845"/>
      <c r="N106" s="2845"/>
      <c r="O106" s="2845"/>
      <c r="P106" s="2845"/>
      <c r="Q106" s="2846"/>
      <c r="R106" s="2847" t="s">
        <v>2104</v>
      </c>
      <c r="S106" s="2848"/>
      <c r="T106" s="2848"/>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9"/>
      <c r="AY106" s="1528"/>
      <c r="AZ106" s="1528"/>
      <c r="BA106" s="1528"/>
      <c r="BB106" s="1528"/>
      <c r="BC106" s="1528"/>
      <c r="BD106" s="1528"/>
      <c r="BE106" s="1534"/>
    </row>
    <row r="107" spans="1:57" ht="15.75" customHeight="1">
      <c r="A107" s="1817"/>
      <c r="B107" s="2870" t="s">
        <v>2105</v>
      </c>
      <c r="C107" s="2871"/>
      <c r="D107" s="2871"/>
      <c r="E107" s="2871"/>
      <c r="F107" s="2871"/>
      <c r="G107" s="2871"/>
      <c r="H107" s="2871"/>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71"/>
      <c r="AD107" s="2871"/>
      <c r="AE107" s="2871"/>
      <c r="AF107" s="2871"/>
      <c r="AG107" s="2871"/>
      <c r="AH107" s="2871"/>
      <c r="AI107" s="2871"/>
      <c r="AJ107" s="2871"/>
      <c r="AK107" s="2871"/>
      <c r="AL107" s="2871"/>
      <c r="AM107" s="2871"/>
      <c r="AN107" s="2871"/>
      <c r="AO107" s="2871"/>
      <c r="AP107" s="2871"/>
      <c r="AQ107" s="2871"/>
      <c r="AR107" s="2871"/>
      <c r="AS107" s="2871"/>
      <c r="AT107" s="2871"/>
      <c r="AU107" s="2871"/>
      <c r="AV107" s="2871"/>
      <c r="AW107" s="2871"/>
      <c r="AX107" s="2872"/>
      <c r="AY107" s="1528"/>
      <c r="AZ107" s="1528"/>
      <c r="BA107" s="1528"/>
      <c r="BB107" s="1528"/>
      <c r="BC107" s="1528"/>
      <c r="BD107" s="1528"/>
      <c r="BE107" s="1534"/>
    </row>
    <row r="108" spans="1:57" ht="15.75" customHeight="1">
      <c r="A108" s="1817"/>
      <c r="B108" s="2873"/>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c r="AQ108" s="2874"/>
      <c r="AR108" s="2874"/>
      <c r="AS108" s="2874"/>
      <c r="AT108" s="2874"/>
      <c r="AU108" s="2874"/>
      <c r="AV108" s="2874"/>
      <c r="AW108" s="2874"/>
      <c r="AX108" s="2875"/>
      <c r="AY108" s="1528"/>
      <c r="AZ108" s="1528"/>
      <c r="BA108" s="1528"/>
      <c r="BB108" s="1528"/>
      <c r="BC108" s="1528"/>
      <c r="BD108" s="1528"/>
      <c r="BE108" s="1534"/>
    </row>
    <row r="109" spans="1:57" ht="15.75" customHeight="1">
      <c r="A109" s="1817"/>
      <c r="B109" s="2873"/>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5"/>
      <c r="AY109" s="1528"/>
      <c r="AZ109" s="1528"/>
      <c r="BA109" s="1528"/>
      <c r="BB109" s="1528"/>
      <c r="BC109" s="1528"/>
      <c r="BD109" s="1528"/>
      <c r="BE109" s="1534"/>
    </row>
    <row r="110" spans="1:57" ht="15.75" customHeight="1">
      <c r="A110" s="1817"/>
      <c r="B110" s="2873"/>
      <c r="C110" s="2874"/>
      <c r="D110" s="2874"/>
      <c r="E110" s="2874"/>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4"/>
      <c r="AK110" s="2874"/>
      <c r="AL110" s="2874"/>
      <c r="AM110" s="2874"/>
      <c r="AN110" s="2874"/>
      <c r="AO110" s="2874"/>
      <c r="AP110" s="2874"/>
      <c r="AQ110" s="2874"/>
      <c r="AR110" s="2874"/>
      <c r="AS110" s="2874"/>
      <c r="AT110" s="2874"/>
      <c r="AU110" s="2874"/>
      <c r="AV110" s="2874"/>
      <c r="AW110" s="2874"/>
      <c r="AX110" s="2875"/>
      <c r="AY110" s="1528"/>
      <c r="AZ110" s="1528"/>
      <c r="BA110" s="1528"/>
      <c r="BB110" s="1528"/>
      <c r="BC110" s="1528"/>
      <c r="BD110" s="1528"/>
      <c r="BE110" s="1534"/>
    </row>
    <row r="111" spans="1:57" ht="15.75" customHeight="1">
      <c r="A111" s="1817"/>
      <c r="B111" s="2873"/>
      <c r="C111" s="2874"/>
      <c r="D111" s="2874"/>
      <c r="E111" s="2874"/>
      <c r="F111" s="2874"/>
      <c r="G111" s="2874"/>
      <c r="H111" s="2874"/>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528"/>
      <c r="AZ111" s="1528"/>
      <c r="BA111" s="1528"/>
      <c r="BB111" s="1528"/>
      <c r="BC111" s="1528"/>
      <c r="BD111" s="1528"/>
      <c r="BE111" s="1534"/>
    </row>
    <row r="112" spans="1:57" ht="15.75" customHeight="1">
      <c r="A112" s="1817"/>
      <c r="B112" s="2873"/>
      <c r="C112" s="2874"/>
      <c r="D112" s="2874"/>
      <c r="E112" s="2874"/>
      <c r="F112" s="2874"/>
      <c r="G112" s="2874"/>
      <c r="H112" s="2874"/>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4"/>
      <c r="AD112" s="2874"/>
      <c r="AE112" s="2874"/>
      <c r="AF112" s="2874"/>
      <c r="AG112" s="2874"/>
      <c r="AH112" s="2874"/>
      <c r="AI112" s="2874"/>
      <c r="AJ112" s="2874"/>
      <c r="AK112" s="2874"/>
      <c r="AL112" s="2874"/>
      <c r="AM112" s="2874"/>
      <c r="AN112" s="2874"/>
      <c r="AO112" s="2874"/>
      <c r="AP112" s="2874"/>
      <c r="AQ112" s="2874"/>
      <c r="AR112" s="2874"/>
      <c r="AS112" s="2874"/>
      <c r="AT112" s="2874"/>
      <c r="AU112" s="2874"/>
      <c r="AV112" s="2874"/>
      <c r="AW112" s="2874"/>
      <c r="AX112" s="2875"/>
      <c r="AY112" s="1528"/>
      <c r="AZ112" s="1528"/>
      <c r="BA112" s="1528"/>
      <c r="BB112" s="1528"/>
      <c r="BC112" s="1528"/>
      <c r="BD112" s="1528"/>
      <c r="BE112" s="1534"/>
    </row>
    <row r="113" spans="1:57" ht="15.75" customHeight="1">
      <c r="A113" s="1817"/>
      <c r="B113" s="2873"/>
      <c r="C113" s="2874"/>
      <c r="D113" s="2874"/>
      <c r="E113" s="2874"/>
      <c r="F113" s="2874"/>
      <c r="G113" s="2874"/>
      <c r="H113" s="2874"/>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4"/>
      <c r="AD113" s="2874"/>
      <c r="AE113" s="2874"/>
      <c r="AF113" s="2874"/>
      <c r="AG113" s="2874"/>
      <c r="AH113" s="2874"/>
      <c r="AI113" s="2874"/>
      <c r="AJ113" s="2874"/>
      <c r="AK113" s="2874"/>
      <c r="AL113" s="2874"/>
      <c r="AM113" s="2874"/>
      <c r="AN113" s="2874"/>
      <c r="AO113" s="2874"/>
      <c r="AP113" s="2874"/>
      <c r="AQ113" s="2874"/>
      <c r="AR113" s="2874"/>
      <c r="AS113" s="2874"/>
      <c r="AT113" s="2874"/>
      <c r="AU113" s="2874"/>
      <c r="AV113" s="2874"/>
      <c r="AW113" s="2874"/>
      <c r="AX113" s="2875"/>
      <c r="AY113" s="1528"/>
      <c r="AZ113" s="1528"/>
      <c r="BA113" s="1528"/>
      <c r="BB113" s="1528"/>
      <c r="BC113" s="1528"/>
      <c r="BD113" s="1528"/>
      <c r="BE113" s="1534"/>
    </row>
    <row r="114" spans="1:57" ht="15.75" customHeight="1">
      <c r="A114" s="1817"/>
      <c r="B114" s="2873"/>
      <c r="C114" s="2874"/>
      <c r="D114" s="2874"/>
      <c r="E114" s="2874"/>
      <c r="F114" s="2874"/>
      <c r="G114" s="2874"/>
      <c r="H114" s="2874"/>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4"/>
      <c r="AD114" s="2874"/>
      <c r="AE114" s="2874"/>
      <c r="AF114" s="2874"/>
      <c r="AG114" s="2874"/>
      <c r="AH114" s="2874"/>
      <c r="AI114" s="2874"/>
      <c r="AJ114" s="2874"/>
      <c r="AK114" s="2874"/>
      <c r="AL114" s="2874"/>
      <c r="AM114" s="2874"/>
      <c r="AN114" s="2874"/>
      <c r="AO114" s="2874"/>
      <c r="AP114" s="2874"/>
      <c r="AQ114" s="2874"/>
      <c r="AR114" s="2874"/>
      <c r="AS114" s="2874"/>
      <c r="AT114" s="2874"/>
      <c r="AU114" s="2874"/>
      <c r="AV114" s="2874"/>
      <c r="AW114" s="2874"/>
      <c r="AX114" s="2875"/>
      <c r="AY114" s="1528"/>
      <c r="AZ114" s="1528"/>
      <c r="BA114" s="1528"/>
      <c r="BB114" s="1528"/>
      <c r="BC114" s="1528"/>
      <c r="BD114" s="1528"/>
      <c r="BE114" s="1534"/>
    </row>
    <row r="115" spans="1:57" ht="15.75" customHeight="1">
      <c r="A115" s="1817"/>
      <c r="B115" s="2873"/>
      <c r="C115" s="2874"/>
      <c r="D115" s="2874"/>
      <c r="E115" s="2874"/>
      <c r="F115" s="2874"/>
      <c r="G115" s="2874"/>
      <c r="H115" s="2874"/>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4"/>
      <c r="AD115" s="2874"/>
      <c r="AE115" s="2874"/>
      <c r="AF115" s="2874"/>
      <c r="AG115" s="2874"/>
      <c r="AH115" s="2874"/>
      <c r="AI115" s="2874"/>
      <c r="AJ115" s="2874"/>
      <c r="AK115" s="2874"/>
      <c r="AL115" s="2874"/>
      <c r="AM115" s="2874"/>
      <c r="AN115" s="2874"/>
      <c r="AO115" s="2874"/>
      <c r="AP115" s="2874"/>
      <c r="AQ115" s="2874"/>
      <c r="AR115" s="2874"/>
      <c r="AS115" s="2874"/>
      <c r="AT115" s="2874"/>
      <c r="AU115" s="2874"/>
      <c r="AV115" s="2874"/>
      <c r="AW115" s="2874"/>
      <c r="AX115" s="2875"/>
      <c r="AY115" s="1528"/>
      <c r="AZ115" s="1528"/>
      <c r="BA115" s="1528"/>
      <c r="BB115" s="1528"/>
      <c r="BC115" s="1528"/>
      <c r="BD115" s="1528"/>
      <c r="BE115" s="1534"/>
    </row>
    <row r="116" spans="1:57" ht="15.75" customHeight="1" thickBot="1">
      <c r="A116" s="1817"/>
      <c r="B116" s="2876"/>
      <c r="C116" s="2877"/>
      <c r="D116" s="2877"/>
      <c r="E116" s="2877"/>
      <c r="F116" s="2877"/>
      <c r="G116" s="2877"/>
      <c r="H116" s="2877"/>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7"/>
      <c r="AD116" s="2877"/>
      <c r="AE116" s="2877"/>
      <c r="AF116" s="2877"/>
      <c r="AG116" s="2877"/>
      <c r="AH116" s="2877"/>
      <c r="AI116" s="2877"/>
      <c r="AJ116" s="2877"/>
      <c r="AK116" s="2877"/>
      <c r="AL116" s="2877"/>
      <c r="AM116" s="2877"/>
      <c r="AN116" s="2877"/>
      <c r="AO116" s="2877"/>
      <c r="AP116" s="2877"/>
      <c r="AQ116" s="2877"/>
      <c r="AR116" s="2877"/>
      <c r="AS116" s="2877"/>
      <c r="AT116" s="2877"/>
      <c r="AU116" s="2877"/>
      <c r="AV116" s="2877"/>
      <c r="AW116" s="2877"/>
      <c r="AX116" s="2878"/>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6" t="s">
        <v>2107</v>
      </c>
      <c r="C120" s="2647"/>
      <c r="D120" s="2647"/>
      <c r="E120" s="2647"/>
      <c r="F120" s="2647"/>
      <c r="G120" s="2647"/>
      <c r="H120" s="2647"/>
      <c r="I120" s="2647"/>
      <c r="J120" s="2647"/>
      <c r="K120" s="2647"/>
      <c r="L120" s="2647"/>
      <c r="M120" s="2647"/>
      <c r="N120" s="2647"/>
      <c r="O120" s="2647"/>
      <c r="P120" s="2647"/>
      <c r="Q120" s="2647"/>
      <c r="R120" s="2647"/>
      <c r="S120" s="2647"/>
      <c r="T120" s="2647"/>
      <c r="U120" s="2850"/>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1"/>
      <c r="C121" s="2852"/>
      <c r="D121" s="2852"/>
      <c r="E121" s="2852"/>
      <c r="F121" s="2852"/>
      <c r="G121" s="2852"/>
      <c r="H121" s="2853"/>
      <c r="I121" s="2783" t="s">
        <v>2090</v>
      </c>
      <c r="J121" s="2784"/>
      <c r="K121" s="2784"/>
      <c r="L121" s="2784"/>
      <c r="M121" s="2784"/>
      <c r="N121" s="2784"/>
      <c r="O121" s="2854"/>
      <c r="P121" s="2783" t="s">
        <v>2101</v>
      </c>
      <c r="Q121" s="2784"/>
      <c r="R121" s="2784"/>
      <c r="S121" s="2784"/>
      <c r="T121" s="2784"/>
      <c r="U121" s="2854"/>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5" t="s">
        <v>2093</v>
      </c>
      <c r="C122" s="2856"/>
      <c r="D122" s="2856"/>
      <c r="E122" s="2856"/>
      <c r="F122" s="2856"/>
      <c r="G122" s="2856"/>
      <c r="H122" s="2856"/>
      <c r="I122" s="2836"/>
      <c r="J122" s="2837"/>
      <c r="K122" s="2837"/>
      <c r="L122" s="2837"/>
      <c r="M122" s="2837"/>
      <c r="N122" s="2837"/>
      <c r="O122" s="2838"/>
      <c r="P122" s="2836"/>
      <c r="Q122" s="2837"/>
      <c r="R122" s="2837"/>
      <c r="S122" s="2837"/>
      <c r="T122" s="2837"/>
      <c r="U122" s="283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6" t="s">
        <v>2094</v>
      </c>
      <c r="C123" s="2787"/>
      <c r="D123" s="2787"/>
      <c r="E123" s="2787"/>
      <c r="F123" s="2787"/>
      <c r="G123" s="2787"/>
      <c r="H123" s="2787"/>
      <c r="I123" s="2836"/>
      <c r="J123" s="2837"/>
      <c r="K123" s="2837"/>
      <c r="L123" s="2837"/>
      <c r="M123" s="2837"/>
      <c r="N123" s="2837"/>
      <c r="O123" s="2838"/>
      <c r="P123" s="2836"/>
      <c r="Q123" s="2837"/>
      <c r="R123" s="2837"/>
      <c r="S123" s="2837"/>
      <c r="T123" s="2837"/>
      <c r="U123" s="283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7" t="s">
        <v>2108</v>
      </c>
      <c r="D125" s="2858"/>
      <c r="E125" s="2858"/>
      <c r="F125" s="2858"/>
      <c r="G125" s="2858"/>
      <c r="H125" s="2858"/>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58"/>
      <c r="AD125" s="2858"/>
      <c r="AE125" s="2858"/>
      <c r="AF125" s="2858"/>
      <c r="AG125" s="2859"/>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60" t="s">
        <v>2109</v>
      </c>
      <c r="D126" s="2861"/>
      <c r="E126" s="2861"/>
      <c r="F126" s="2861"/>
      <c r="G126" s="2861"/>
      <c r="H126" s="2861"/>
      <c r="I126" s="2861"/>
      <c r="J126" s="2861"/>
      <c r="K126" s="2861"/>
      <c r="L126" s="2861"/>
      <c r="M126" s="2861"/>
      <c r="N126" s="2861"/>
      <c r="O126" s="2861"/>
      <c r="P126" s="2862"/>
      <c r="Q126" s="2863" t="s">
        <v>2110</v>
      </c>
      <c r="R126" s="2861"/>
      <c r="S126" s="2862"/>
      <c r="T126" s="2864" t="s">
        <v>2111</v>
      </c>
      <c r="U126" s="2865"/>
      <c r="V126" s="2865"/>
      <c r="W126" s="2865"/>
      <c r="X126" s="2865"/>
      <c r="Y126" s="2865"/>
      <c r="Z126" s="2865"/>
      <c r="AA126" s="2866"/>
      <c r="AB126" s="2867" t="s">
        <v>2112</v>
      </c>
      <c r="AC126" s="2868"/>
      <c r="AD126" s="2868"/>
      <c r="AE126" s="2868"/>
      <c r="AF126" s="2868"/>
      <c r="AG126" s="286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9" t="s">
        <v>2113</v>
      </c>
      <c r="D127" s="2880"/>
      <c r="E127" s="2880"/>
      <c r="F127" s="2880"/>
      <c r="G127" s="2880"/>
      <c r="H127" s="2880"/>
      <c r="I127" s="2880"/>
      <c r="J127" s="2880"/>
      <c r="K127" s="2880"/>
      <c r="L127" s="2880"/>
      <c r="M127" s="2880"/>
      <c r="N127" s="2880"/>
      <c r="O127" s="2880"/>
      <c r="P127" s="2881"/>
      <c r="Q127" s="2882">
        <v>55</v>
      </c>
      <c r="R127" s="2883"/>
      <c r="S127" s="2884"/>
      <c r="T127" s="2890"/>
      <c r="U127" s="2891"/>
      <c r="V127" s="2891"/>
      <c r="W127" s="2891"/>
      <c r="X127" s="2891"/>
      <c r="Y127" s="2891"/>
      <c r="Z127" s="2891"/>
      <c r="AA127" s="289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9" t="s">
        <v>430</v>
      </c>
      <c r="D128" s="2880"/>
      <c r="E128" s="2880"/>
      <c r="F128" s="2880"/>
      <c r="G128" s="2880"/>
      <c r="H128" s="2880"/>
      <c r="I128" s="2880"/>
      <c r="J128" s="2880"/>
      <c r="K128" s="2880"/>
      <c r="L128" s="2880"/>
      <c r="M128" s="2880"/>
      <c r="N128" s="2880"/>
      <c r="O128" s="2880"/>
      <c r="P128" s="2881"/>
      <c r="Q128" s="2882">
        <v>55</v>
      </c>
      <c r="R128" s="2883"/>
      <c r="S128" s="2884"/>
      <c r="T128" s="2892" t="str">
        <f>_xlfn.CONCAT(Application!AC515,"/", Application!AH515)</f>
        <v>N/A/</v>
      </c>
      <c r="U128" s="2893"/>
      <c r="V128" s="2893"/>
      <c r="W128" s="2893"/>
      <c r="X128" s="2893"/>
      <c r="Y128" s="2893"/>
      <c r="Z128" s="2893"/>
      <c r="AA128" s="2893"/>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9" t="s">
        <v>2114</v>
      </c>
      <c r="D129" s="2880"/>
      <c r="E129" s="2880"/>
      <c r="F129" s="2880"/>
      <c r="G129" s="2880"/>
      <c r="H129" s="2880"/>
      <c r="I129" s="2880"/>
      <c r="J129" s="2880"/>
      <c r="K129" s="2880"/>
      <c r="L129" s="2880"/>
      <c r="M129" s="2880"/>
      <c r="N129" s="2880"/>
      <c r="O129" s="2880"/>
      <c r="P129" s="2881"/>
      <c r="Q129" s="2882">
        <v>55</v>
      </c>
      <c r="R129" s="2883"/>
      <c r="S129" s="2884"/>
      <c r="T129" s="2885"/>
      <c r="U129" s="2886"/>
      <c r="V129" s="2886"/>
      <c r="W129" s="2886"/>
      <c r="X129" s="2886"/>
      <c r="Y129" s="2886"/>
      <c r="Z129" s="2886"/>
      <c r="AA129" s="288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9" t="s">
        <v>2115</v>
      </c>
      <c r="D130" s="2880"/>
      <c r="E130" s="2880"/>
      <c r="F130" s="2880"/>
      <c r="G130" s="2880"/>
      <c r="H130" s="2880"/>
      <c r="I130" s="2880"/>
      <c r="J130" s="2880"/>
      <c r="K130" s="2880"/>
      <c r="L130" s="2880"/>
      <c r="M130" s="2880"/>
      <c r="N130" s="2880"/>
      <c r="O130" s="2880"/>
      <c r="P130" s="2881"/>
      <c r="Q130" s="2887"/>
      <c r="R130" s="2888"/>
      <c r="S130" s="2889"/>
      <c r="T130" s="2890"/>
      <c r="U130" s="2891"/>
      <c r="V130" s="2891"/>
      <c r="W130" s="2891"/>
      <c r="X130" s="2891"/>
      <c r="Y130" s="2891"/>
      <c r="Z130" s="2891"/>
      <c r="AA130" s="289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9" t="s">
        <v>2068</v>
      </c>
      <c r="D131" s="2880"/>
      <c r="E131" s="2880"/>
      <c r="F131" s="2880"/>
      <c r="G131" s="2880"/>
      <c r="H131" s="2880"/>
      <c r="I131" s="2880"/>
      <c r="J131" s="2880"/>
      <c r="K131" s="2880"/>
      <c r="L131" s="2880"/>
      <c r="M131" s="2880"/>
      <c r="N131" s="2880"/>
      <c r="O131" s="2880"/>
      <c r="P131" s="2881"/>
      <c r="Q131" s="2894">
        <f>Application!AG400</f>
        <v>0</v>
      </c>
      <c r="R131" s="2895"/>
      <c r="S131" s="2896"/>
      <c r="T131" s="2890"/>
      <c r="U131" s="2891"/>
      <c r="V131" s="2891"/>
      <c r="W131" s="2891"/>
      <c r="X131" s="2891"/>
      <c r="Y131" s="2891"/>
      <c r="Z131" s="2891"/>
      <c r="AA131" s="2897"/>
      <c r="AB131" s="2898">
        <f>Application!AE401</f>
        <v>0</v>
      </c>
      <c r="AC131" s="2899"/>
      <c r="AD131" s="2899"/>
      <c r="AE131" s="2899"/>
      <c r="AF131" s="2899"/>
      <c r="AG131" s="2900"/>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5" t="s">
        <v>175</v>
      </c>
      <c r="D132" s="2616"/>
      <c r="E132" s="2616"/>
      <c r="F132" s="2901" t="s">
        <v>2116</v>
      </c>
      <c r="G132" s="2901"/>
      <c r="H132" s="2901"/>
      <c r="I132" s="2901"/>
      <c r="J132" s="2901"/>
      <c r="K132" s="2901"/>
      <c r="L132" s="2901"/>
      <c r="M132" s="2901"/>
      <c r="N132" s="2901"/>
      <c r="O132" s="2901"/>
      <c r="P132" s="2901"/>
      <c r="Q132" s="2902">
        <v>55</v>
      </c>
      <c r="R132" s="2902"/>
      <c r="S132" s="2902"/>
      <c r="T132" s="2903"/>
      <c r="U132" s="2903"/>
      <c r="V132" s="2903"/>
      <c r="W132" s="2903"/>
      <c r="X132" s="2903"/>
      <c r="Y132" s="2903"/>
      <c r="Z132" s="2903"/>
      <c r="AA132" s="2903"/>
      <c r="AB132" s="2904"/>
      <c r="AC132" s="2905"/>
      <c r="AD132" s="2905"/>
      <c r="AE132" s="2905"/>
      <c r="AF132" s="2905"/>
      <c r="AG132" s="2906"/>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5" t="s">
        <v>175</v>
      </c>
      <c r="D133" s="2616"/>
      <c r="E133" s="2616"/>
      <c r="F133" s="2901" t="s">
        <v>2116</v>
      </c>
      <c r="G133" s="2901"/>
      <c r="H133" s="2901"/>
      <c r="I133" s="2901"/>
      <c r="J133" s="2901"/>
      <c r="K133" s="2901"/>
      <c r="L133" s="2901"/>
      <c r="M133" s="2901"/>
      <c r="N133" s="2901"/>
      <c r="O133" s="2901"/>
      <c r="P133" s="2901"/>
      <c r="Q133" s="2902">
        <v>55</v>
      </c>
      <c r="R133" s="2902"/>
      <c r="S133" s="2902"/>
      <c r="T133" s="2903"/>
      <c r="U133" s="2903"/>
      <c r="V133" s="2903"/>
      <c r="W133" s="2903"/>
      <c r="X133" s="2903"/>
      <c r="Y133" s="2903"/>
      <c r="Z133" s="2903"/>
      <c r="AA133" s="2903"/>
      <c r="AB133" s="2904"/>
      <c r="AC133" s="2905"/>
      <c r="AD133" s="2905"/>
      <c r="AE133" s="2905"/>
      <c r="AF133" s="2905"/>
      <c r="AG133" s="2906"/>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5" t="s">
        <v>175</v>
      </c>
      <c r="D134" s="2616"/>
      <c r="E134" s="2616"/>
      <c r="F134" s="2907" t="s">
        <v>2116</v>
      </c>
      <c r="G134" s="2907"/>
      <c r="H134" s="2907"/>
      <c r="I134" s="2907"/>
      <c r="J134" s="2907"/>
      <c r="K134" s="2907"/>
      <c r="L134" s="2907"/>
      <c r="M134" s="2907"/>
      <c r="N134" s="2907"/>
      <c r="O134" s="2907"/>
      <c r="P134" s="2907"/>
      <c r="Q134" s="2789">
        <v>55</v>
      </c>
      <c r="R134" s="2789"/>
      <c r="S134" s="2789"/>
      <c r="T134" s="2788"/>
      <c r="U134" s="2788"/>
      <c r="V134" s="2788"/>
      <c r="W134" s="2788"/>
      <c r="X134" s="2788"/>
      <c r="Y134" s="2788"/>
      <c r="Z134" s="2788"/>
      <c r="AA134" s="2788"/>
      <c r="AB134" s="2908"/>
      <c r="AC134" s="2909"/>
      <c r="AD134" s="2909"/>
      <c r="AE134" s="2909"/>
      <c r="AF134" s="2909"/>
      <c r="AG134" s="291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7" t="s">
        <v>2117</v>
      </c>
      <c r="D136" s="2618"/>
      <c r="E136" s="2618"/>
      <c r="F136" s="2618"/>
      <c r="G136" s="2618"/>
      <c r="H136" s="2618"/>
      <c r="I136" s="2618"/>
      <c r="J136" s="2618"/>
      <c r="K136" s="2618"/>
      <c r="L136" s="2618"/>
      <c r="M136" s="2618"/>
      <c r="N136" s="2619"/>
      <c r="O136" s="1528"/>
      <c r="P136" s="2912" t="s">
        <v>2118</v>
      </c>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13"/>
      <c r="AK136" s="2913"/>
      <c r="AL136" s="2913"/>
      <c r="AM136" s="2913"/>
      <c r="AN136" s="2913"/>
      <c r="AO136" s="2914"/>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2" t="s">
        <v>2119</v>
      </c>
      <c r="D137" s="2823"/>
      <c r="E137" s="2823"/>
      <c r="F137" s="2823"/>
      <c r="G137" s="2823"/>
      <c r="H137" s="2824"/>
      <c r="I137" s="2822" t="s">
        <v>2120</v>
      </c>
      <c r="J137" s="2823"/>
      <c r="K137" s="2823"/>
      <c r="L137" s="2823"/>
      <c r="M137" s="2823"/>
      <c r="N137" s="2824"/>
      <c r="O137" s="1528"/>
      <c r="P137" s="2915"/>
      <c r="Q137" s="2916"/>
      <c r="R137" s="2916"/>
      <c r="S137" s="2916"/>
      <c r="T137" s="2916"/>
      <c r="U137" s="2916"/>
      <c r="V137" s="2916"/>
      <c r="W137" s="2916"/>
      <c r="X137" s="2916"/>
      <c r="Y137" s="2916"/>
      <c r="Z137" s="2916"/>
      <c r="AA137" s="2916"/>
      <c r="AB137" s="2916"/>
      <c r="AC137" s="2916"/>
      <c r="AD137" s="2916"/>
      <c r="AE137" s="2916"/>
      <c r="AF137" s="2916"/>
      <c r="AG137" s="2916"/>
      <c r="AH137" s="2916"/>
      <c r="AI137" s="2916"/>
      <c r="AJ137" s="2916"/>
      <c r="AK137" s="2916"/>
      <c r="AL137" s="2916"/>
      <c r="AM137" s="2916"/>
      <c r="AN137" s="2916"/>
      <c r="AO137" s="291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6"/>
      <c r="D138" s="2726"/>
      <c r="E138" s="2726"/>
      <c r="F138" s="2726"/>
      <c r="G138" s="2726"/>
      <c r="H138" s="2726"/>
      <c r="I138" s="2911"/>
      <c r="J138" s="2911"/>
      <c r="K138" s="2911"/>
      <c r="L138" s="2911"/>
      <c r="M138" s="2911"/>
      <c r="N138" s="2911"/>
      <c r="O138" s="1528"/>
      <c r="P138" s="2915"/>
      <c r="Q138" s="2916"/>
      <c r="R138" s="2916"/>
      <c r="S138" s="2916"/>
      <c r="T138" s="2916"/>
      <c r="U138" s="2916"/>
      <c r="V138" s="2916"/>
      <c r="W138" s="2916"/>
      <c r="X138" s="2916"/>
      <c r="Y138" s="2916"/>
      <c r="Z138" s="2916"/>
      <c r="AA138" s="2916"/>
      <c r="AB138" s="2916"/>
      <c r="AC138" s="2916"/>
      <c r="AD138" s="2916"/>
      <c r="AE138" s="2916"/>
      <c r="AF138" s="2916"/>
      <c r="AG138" s="2916"/>
      <c r="AH138" s="2916"/>
      <c r="AI138" s="2916"/>
      <c r="AJ138" s="2916"/>
      <c r="AK138" s="2916"/>
      <c r="AL138" s="2916"/>
      <c r="AM138" s="2916"/>
      <c r="AN138" s="2916"/>
      <c r="AO138" s="291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6"/>
      <c r="D139" s="2726"/>
      <c r="E139" s="2726"/>
      <c r="F139" s="2726"/>
      <c r="G139" s="2726"/>
      <c r="H139" s="2726"/>
      <c r="I139" s="2911"/>
      <c r="J139" s="2911"/>
      <c r="K139" s="2911"/>
      <c r="L139" s="2911"/>
      <c r="M139" s="2911"/>
      <c r="N139" s="2911"/>
      <c r="O139" s="1528"/>
      <c r="P139" s="2915"/>
      <c r="Q139" s="2916"/>
      <c r="R139" s="2916"/>
      <c r="S139" s="2916"/>
      <c r="T139" s="2916"/>
      <c r="U139" s="2916"/>
      <c r="V139" s="2916"/>
      <c r="W139" s="2916"/>
      <c r="X139" s="2916"/>
      <c r="Y139" s="2916"/>
      <c r="Z139" s="2916"/>
      <c r="AA139" s="2916"/>
      <c r="AB139" s="2916"/>
      <c r="AC139" s="2916"/>
      <c r="AD139" s="2916"/>
      <c r="AE139" s="2916"/>
      <c r="AF139" s="2916"/>
      <c r="AG139" s="2916"/>
      <c r="AH139" s="2916"/>
      <c r="AI139" s="2916"/>
      <c r="AJ139" s="2916"/>
      <c r="AK139" s="2916"/>
      <c r="AL139" s="2916"/>
      <c r="AM139" s="2916"/>
      <c r="AN139" s="2916"/>
      <c r="AO139" s="291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6"/>
      <c r="D140" s="2726"/>
      <c r="E140" s="2726"/>
      <c r="F140" s="2726"/>
      <c r="G140" s="2726"/>
      <c r="H140" s="2726"/>
      <c r="I140" s="2911"/>
      <c r="J140" s="2911"/>
      <c r="K140" s="2911"/>
      <c r="L140" s="2911"/>
      <c r="M140" s="2911"/>
      <c r="N140" s="2911"/>
      <c r="O140" s="1528"/>
      <c r="P140" s="2915"/>
      <c r="Q140" s="2916"/>
      <c r="R140" s="2916"/>
      <c r="S140" s="2916"/>
      <c r="T140" s="2916"/>
      <c r="U140" s="2916"/>
      <c r="V140" s="2916"/>
      <c r="W140" s="2916"/>
      <c r="X140" s="2916"/>
      <c r="Y140" s="2916"/>
      <c r="Z140" s="2916"/>
      <c r="AA140" s="2916"/>
      <c r="AB140" s="2916"/>
      <c r="AC140" s="2916"/>
      <c r="AD140" s="2916"/>
      <c r="AE140" s="2916"/>
      <c r="AF140" s="2916"/>
      <c r="AG140" s="2916"/>
      <c r="AH140" s="2916"/>
      <c r="AI140" s="2916"/>
      <c r="AJ140" s="2916"/>
      <c r="AK140" s="2916"/>
      <c r="AL140" s="2916"/>
      <c r="AM140" s="2916"/>
      <c r="AN140" s="2916"/>
      <c r="AO140" s="291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6"/>
      <c r="D141" s="2726"/>
      <c r="E141" s="2726"/>
      <c r="F141" s="2726"/>
      <c r="G141" s="2726"/>
      <c r="H141" s="2726"/>
      <c r="I141" s="2911"/>
      <c r="J141" s="2911"/>
      <c r="K141" s="2911"/>
      <c r="L141" s="2911"/>
      <c r="M141" s="2911"/>
      <c r="N141" s="2911"/>
      <c r="O141" s="1528"/>
      <c r="P141" s="2915"/>
      <c r="Q141" s="2916"/>
      <c r="R141" s="2916"/>
      <c r="S141" s="2916"/>
      <c r="T141" s="2916"/>
      <c r="U141" s="2916"/>
      <c r="V141" s="2916"/>
      <c r="W141" s="2916"/>
      <c r="X141" s="2916"/>
      <c r="Y141" s="2916"/>
      <c r="Z141" s="2916"/>
      <c r="AA141" s="2916"/>
      <c r="AB141" s="2916"/>
      <c r="AC141" s="2916"/>
      <c r="AD141" s="2916"/>
      <c r="AE141" s="2916"/>
      <c r="AF141" s="2916"/>
      <c r="AG141" s="2916"/>
      <c r="AH141" s="2916"/>
      <c r="AI141" s="2916"/>
      <c r="AJ141" s="2916"/>
      <c r="AK141" s="2916"/>
      <c r="AL141" s="2916"/>
      <c r="AM141" s="2916"/>
      <c r="AN141" s="2916"/>
      <c r="AO141" s="291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6"/>
      <c r="D142" s="2726"/>
      <c r="E142" s="2726"/>
      <c r="F142" s="2726"/>
      <c r="G142" s="2726"/>
      <c r="H142" s="2726"/>
      <c r="I142" s="2911"/>
      <c r="J142" s="2911"/>
      <c r="K142" s="2911"/>
      <c r="L142" s="2911"/>
      <c r="M142" s="2911"/>
      <c r="N142" s="2911"/>
      <c r="O142" s="1528"/>
      <c r="P142" s="2915"/>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6"/>
      <c r="D143" s="2726"/>
      <c r="E143" s="2726"/>
      <c r="F143" s="2726"/>
      <c r="G143" s="2726"/>
      <c r="H143" s="2726"/>
      <c r="I143" s="2911"/>
      <c r="J143" s="2911"/>
      <c r="K143" s="2911"/>
      <c r="L143" s="2911"/>
      <c r="M143" s="2911"/>
      <c r="N143" s="2911"/>
      <c r="O143" s="1528"/>
      <c r="P143" s="2915"/>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6"/>
      <c r="D144" s="2726"/>
      <c r="E144" s="2726"/>
      <c r="F144" s="2726"/>
      <c r="G144" s="2726"/>
      <c r="H144" s="2726"/>
      <c r="I144" s="2911"/>
      <c r="J144" s="2911"/>
      <c r="K144" s="2911"/>
      <c r="L144" s="2911"/>
      <c r="M144" s="2911"/>
      <c r="N144" s="2911"/>
      <c r="O144" s="1528"/>
      <c r="P144" s="2918"/>
      <c r="Q144" s="2919"/>
      <c r="R144" s="2919"/>
      <c r="S144" s="2919"/>
      <c r="T144" s="2919"/>
      <c r="U144" s="2919"/>
      <c r="V144" s="2919"/>
      <c r="W144" s="2919"/>
      <c r="X144" s="2919"/>
      <c r="Y144" s="2919"/>
      <c r="Z144" s="2919"/>
      <c r="AA144" s="2919"/>
      <c r="AB144" s="2919"/>
      <c r="AC144" s="2919"/>
      <c r="AD144" s="2919"/>
      <c r="AE144" s="2919"/>
      <c r="AF144" s="2919"/>
      <c r="AG144" s="2919"/>
      <c r="AH144" s="2919"/>
      <c r="AI144" s="2919"/>
      <c r="AJ144" s="2919"/>
      <c r="AK144" s="2919"/>
      <c r="AL144" s="2919"/>
      <c r="AM144" s="2919"/>
      <c r="AN144" s="2919"/>
      <c r="AO144" s="2920"/>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1"/>
      <c r="D149" s="2932"/>
      <c r="E149" s="2932"/>
      <c r="F149" s="2932"/>
      <c r="G149" s="2932"/>
      <c r="H149" s="2932"/>
      <c r="I149" s="2932"/>
      <c r="J149" s="2932"/>
      <c r="K149" s="2932"/>
      <c r="L149" s="2932"/>
      <c r="M149" s="2933"/>
      <c r="N149" s="2934" t="s">
        <v>2123</v>
      </c>
      <c r="O149" s="2934"/>
      <c r="P149" s="2934"/>
      <c r="Q149" s="2934"/>
      <c r="R149" s="2934"/>
      <c r="S149" s="2934"/>
      <c r="T149" s="2935"/>
      <c r="U149" s="2936" t="s">
        <v>2109</v>
      </c>
      <c r="V149" s="2766"/>
      <c r="W149" s="2766"/>
      <c r="X149" s="2766"/>
      <c r="Y149" s="2766"/>
      <c r="Z149" s="2766"/>
      <c r="AA149" s="2766"/>
      <c r="AB149" s="2766"/>
      <c r="AC149" s="2766"/>
      <c r="AD149" s="2766"/>
      <c r="AE149" s="2767"/>
      <c r="AF149" s="1528"/>
      <c r="AG149" s="1528"/>
      <c r="AH149" s="2610" t="s">
        <v>2124</v>
      </c>
      <c r="AI149" s="2611"/>
      <c r="AJ149" s="2611"/>
      <c r="AK149" s="2611"/>
      <c r="AL149" s="2611"/>
      <c r="AM149" s="2611"/>
      <c r="AN149" s="2611"/>
      <c r="AO149" s="2611"/>
      <c r="AP149" s="2611"/>
      <c r="AQ149" s="2611"/>
      <c r="AR149" s="2611"/>
      <c r="AS149" s="2921"/>
      <c r="AT149" s="2922"/>
      <c r="AU149" s="2922"/>
      <c r="AV149" s="2922"/>
      <c r="AW149" s="2922"/>
      <c r="AX149" s="1528"/>
      <c r="AY149" s="1528"/>
      <c r="AZ149" s="1528"/>
      <c r="BA149" s="1528"/>
      <c r="BB149" s="1528"/>
      <c r="BC149" s="1528"/>
      <c r="BD149" s="1528"/>
      <c r="BE149" s="1534"/>
    </row>
    <row r="150" spans="1:57" ht="15.75" customHeight="1">
      <c r="A150" s="1817"/>
      <c r="B150" s="1528"/>
      <c r="C150" s="2860" t="s">
        <v>2125</v>
      </c>
      <c r="D150" s="2861"/>
      <c r="E150" s="2861"/>
      <c r="F150" s="2861"/>
      <c r="G150" s="2861"/>
      <c r="H150" s="2861"/>
      <c r="I150" s="2861"/>
      <c r="J150" s="2861"/>
      <c r="K150" s="2861"/>
      <c r="L150" s="2861"/>
      <c r="M150" s="2923"/>
      <c r="N150" s="2924">
        <f>'Sources and Uses Budget'!B104</f>
        <v>6069258</v>
      </c>
      <c r="O150" s="2924"/>
      <c r="P150" s="2924"/>
      <c r="Q150" s="2924"/>
      <c r="R150" s="2924"/>
      <c r="S150" s="2924"/>
      <c r="T150" s="2925"/>
      <c r="U150" s="2926"/>
      <c r="V150" s="2927"/>
      <c r="W150" s="2927"/>
      <c r="X150" s="2927"/>
      <c r="Y150" s="2927"/>
      <c r="Z150" s="2927"/>
      <c r="AA150" s="2927"/>
      <c r="AB150" s="2927"/>
      <c r="AC150" s="2927"/>
      <c r="AD150" s="2927"/>
      <c r="AE150" s="2928"/>
      <c r="AF150" s="1528"/>
      <c r="AG150" s="1528"/>
      <c r="AH150" s="2929" t="s">
        <v>2126</v>
      </c>
      <c r="AI150" s="2930"/>
      <c r="AJ150" s="2930"/>
      <c r="AK150" s="2930"/>
      <c r="AL150" s="2930"/>
      <c r="AM150" s="2930"/>
      <c r="AN150" s="2930"/>
      <c r="AO150" s="2930"/>
      <c r="AP150" s="2930"/>
      <c r="AQ150" s="2930"/>
      <c r="AR150" s="2930"/>
      <c r="AS150" s="2921"/>
      <c r="AT150" s="2922"/>
      <c r="AU150" s="2922"/>
      <c r="AV150" s="2922"/>
      <c r="AW150" s="2922"/>
      <c r="AX150" s="1528"/>
      <c r="AY150" s="1528"/>
      <c r="AZ150" s="1528"/>
      <c r="BA150" s="1528"/>
      <c r="BB150" s="1528"/>
      <c r="BC150" s="1528"/>
      <c r="BD150" s="1528"/>
      <c r="BE150" s="1534"/>
    </row>
    <row r="151" spans="1:57" ht="15.75" customHeight="1">
      <c r="A151" s="1817"/>
      <c r="B151" s="1528"/>
      <c r="C151" s="2860" t="s">
        <v>2127</v>
      </c>
      <c r="D151" s="2861"/>
      <c r="E151" s="2861"/>
      <c r="F151" s="2861"/>
      <c r="G151" s="2861"/>
      <c r="H151" s="2861"/>
      <c r="I151" s="2861"/>
      <c r="J151" s="2861"/>
      <c r="K151" s="2861"/>
      <c r="L151" s="2861"/>
      <c r="M151" s="2923"/>
      <c r="N151" s="2924">
        <f>N150/J29</f>
        <v>40461.72</v>
      </c>
      <c r="O151" s="2924"/>
      <c r="P151" s="2924"/>
      <c r="Q151" s="2924"/>
      <c r="R151" s="2924"/>
      <c r="S151" s="2924"/>
      <c r="T151" s="2925"/>
      <c r="U151" s="1552"/>
      <c r="V151" s="1552"/>
      <c r="W151" s="1552"/>
      <c r="X151" s="1552"/>
      <c r="Y151" s="1552"/>
      <c r="Z151" s="1552"/>
      <c r="AA151" s="1552"/>
      <c r="AB151" s="1552"/>
      <c r="AC151" s="1552"/>
      <c r="AD151" s="1552"/>
      <c r="AE151" s="1553"/>
      <c r="AF151" s="1528"/>
      <c r="AG151" s="1528"/>
      <c r="AH151" s="2879" t="s">
        <v>2128</v>
      </c>
      <c r="AI151" s="2880"/>
      <c r="AJ151" s="2880"/>
      <c r="AK151" s="2880"/>
      <c r="AL151" s="2880"/>
      <c r="AM151" s="2880"/>
      <c r="AN151" s="2880"/>
      <c r="AO151" s="2880"/>
      <c r="AP151" s="2880"/>
      <c r="AQ151" s="2880"/>
      <c r="AR151" s="2881"/>
      <c r="AS151" s="2921"/>
      <c r="AT151" s="2922"/>
      <c r="AU151" s="2922"/>
      <c r="AV151" s="2922"/>
      <c r="AW151" s="2922"/>
      <c r="AX151" s="1528"/>
      <c r="AY151" s="1528"/>
      <c r="AZ151" s="1528"/>
      <c r="BA151" s="1528"/>
      <c r="BB151" s="1528"/>
      <c r="BC151" s="1528"/>
      <c r="BD151" s="1528"/>
      <c r="BE151" s="1534"/>
    </row>
    <row r="152" spans="1:57" ht="15.75" customHeight="1">
      <c r="A152" s="1817"/>
      <c r="B152" s="1528"/>
      <c r="C152" s="2947" t="s">
        <v>2129</v>
      </c>
      <c r="D152" s="2784"/>
      <c r="E152" s="2784"/>
      <c r="F152" s="2784"/>
      <c r="G152" s="2784"/>
      <c r="H152" s="2784"/>
      <c r="I152" s="2784"/>
      <c r="J152" s="2784"/>
      <c r="K152" s="2784"/>
      <c r="L152" s="2784"/>
      <c r="M152" s="2785"/>
      <c r="N152" s="2948"/>
      <c r="O152" s="2948"/>
      <c r="P152" s="2948"/>
      <c r="Q152" s="2948"/>
      <c r="R152" s="2948"/>
      <c r="S152" s="2948"/>
      <c r="T152" s="2949"/>
      <c r="U152" s="2954"/>
      <c r="V152" s="2955"/>
      <c r="W152" s="2955"/>
      <c r="X152" s="2955"/>
      <c r="Y152" s="2955"/>
      <c r="Z152" s="2955"/>
      <c r="AA152" s="2955"/>
      <c r="AB152" s="2955"/>
      <c r="AC152" s="2955"/>
      <c r="AD152" s="2955"/>
      <c r="AE152" s="2956"/>
      <c r="AF152" s="1528"/>
      <c r="AG152" s="1528"/>
      <c r="AH152" s="2926"/>
      <c r="AI152" s="2927"/>
      <c r="AJ152" s="2927"/>
      <c r="AK152" s="2927"/>
      <c r="AL152" s="2927"/>
      <c r="AM152" s="2927"/>
      <c r="AN152" s="2927"/>
      <c r="AO152" s="2927"/>
      <c r="AP152" s="2927"/>
      <c r="AQ152" s="2927"/>
      <c r="AR152" s="2950"/>
      <c r="AS152" s="2951"/>
      <c r="AT152" s="2952"/>
      <c r="AU152" s="2952"/>
      <c r="AV152" s="2952"/>
      <c r="AW152" s="2953"/>
      <c r="AX152" s="1528"/>
      <c r="AY152" s="1528"/>
      <c r="AZ152" s="1528"/>
      <c r="BA152" s="1528"/>
      <c r="BB152" s="1528"/>
      <c r="BC152" s="1528"/>
      <c r="BD152" s="1528"/>
      <c r="BE152" s="1534"/>
    </row>
    <row r="153" spans="1:57" ht="15.75" customHeight="1" thickBot="1">
      <c r="A153" s="1817"/>
      <c r="B153" s="1528"/>
      <c r="C153" s="2879" t="s">
        <v>2130</v>
      </c>
      <c r="D153" s="2880"/>
      <c r="E153" s="2880"/>
      <c r="F153" s="2880"/>
      <c r="G153" s="2880"/>
      <c r="H153" s="2880"/>
      <c r="I153" s="2880"/>
      <c r="J153" s="2880"/>
      <c r="K153" s="2880"/>
      <c r="L153" s="2880"/>
      <c r="M153" s="2937"/>
      <c r="N153" s="2938">
        <f>SUM('Sources and Uses Budget'!B85:B86)</f>
        <v>2741669</v>
      </c>
      <c r="O153" s="2938"/>
      <c r="P153" s="2938"/>
      <c r="Q153" s="2938"/>
      <c r="R153" s="2938"/>
      <c r="S153" s="2938"/>
      <c r="T153" s="2939"/>
      <c r="U153" s="2940"/>
      <c r="V153" s="2941"/>
      <c r="W153" s="2941"/>
      <c r="X153" s="2941"/>
      <c r="Y153" s="2941"/>
      <c r="Z153" s="2941"/>
      <c r="AA153" s="2941"/>
      <c r="AB153" s="2941"/>
      <c r="AC153" s="2941"/>
      <c r="AD153" s="2941"/>
      <c r="AE153" s="2942"/>
      <c r="AF153" s="1528"/>
      <c r="AG153" s="1528"/>
      <c r="AH153" s="2943" t="s">
        <v>2131</v>
      </c>
      <c r="AI153" s="2944"/>
      <c r="AJ153" s="2944"/>
      <c r="AK153" s="2944"/>
      <c r="AL153" s="2944"/>
      <c r="AM153" s="2944"/>
      <c r="AN153" s="2944"/>
      <c r="AO153" s="2944"/>
      <c r="AP153" s="2944"/>
      <c r="AQ153" s="2944"/>
      <c r="AR153" s="2944"/>
      <c r="AS153" s="2945">
        <f>SUM(AS149:AW151)</f>
        <v>0</v>
      </c>
      <c r="AT153" s="2946"/>
      <c r="AU153" s="2946"/>
      <c r="AV153" s="2946"/>
      <c r="AW153" s="2946"/>
      <c r="AX153" s="1528"/>
      <c r="AY153" s="1528"/>
      <c r="AZ153" s="1528"/>
      <c r="BA153" s="1528"/>
      <c r="BB153" s="1528"/>
      <c r="BC153" s="1528"/>
      <c r="BD153" s="1528"/>
      <c r="BE153" s="1534"/>
    </row>
    <row r="154" spans="1:57" ht="15.75" customHeight="1">
      <c r="A154" s="1817"/>
      <c r="B154" s="1528"/>
      <c r="C154" s="2879" t="s">
        <v>2132</v>
      </c>
      <c r="D154" s="2880"/>
      <c r="E154" s="2880"/>
      <c r="F154" s="2880"/>
      <c r="G154" s="2880"/>
      <c r="H154" s="2880"/>
      <c r="I154" s="2880"/>
      <c r="J154" s="2880"/>
      <c r="K154" s="2880"/>
      <c r="L154" s="2880"/>
      <c r="M154" s="2937"/>
      <c r="N154" s="2938">
        <f>'Sources and Uses Budget'!B8</f>
        <v>2800000</v>
      </c>
      <c r="O154" s="2938"/>
      <c r="P154" s="2938"/>
      <c r="Q154" s="2938"/>
      <c r="R154" s="2938"/>
      <c r="S154" s="2938"/>
      <c r="T154" s="2939"/>
      <c r="U154" s="2940"/>
      <c r="V154" s="2941"/>
      <c r="W154" s="2941"/>
      <c r="X154" s="2941"/>
      <c r="Y154" s="2941"/>
      <c r="Z154" s="2941"/>
      <c r="AA154" s="2941"/>
      <c r="AB154" s="2941"/>
      <c r="AC154" s="2941"/>
      <c r="AD154" s="2941"/>
      <c r="AE154" s="2942"/>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9" t="s">
        <v>2133</v>
      </c>
      <c r="D155" s="2880"/>
      <c r="E155" s="2880"/>
      <c r="F155" s="2880"/>
      <c r="G155" s="2880"/>
      <c r="H155" s="2880"/>
      <c r="I155" s="2880"/>
      <c r="J155" s="2880"/>
      <c r="K155" s="2880"/>
      <c r="L155" s="2880"/>
      <c r="M155" s="2937"/>
      <c r="N155" s="2960"/>
      <c r="O155" s="2960"/>
      <c r="P155" s="2960"/>
      <c r="Q155" s="2960"/>
      <c r="R155" s="2960"/>
      <c r="S155" s="2960"/>
      <c r="T155" s="2961"/>
      <c r="U155" s="2940"/>
      <c r="V155" s="2941"/>
      <c r="W155" s="2941"/>
      <c r="X155" s="2941"/>
      <c r="Y155" s="2941"/>
      <c r="Z155" s="2941"/>
      <c r="AA155" s="2941"/>
      <c r="AB155" s="2941"/>
      <c r="AC155" s="2941"/>
      <c r="AD155" s="2941"/>
      <c r="AE155" s="2942"/>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9" t="s">
        <v>2126</v>
      </c>
      <c r="D156" s="2880"/>
      <c r="E156" s="2880"/>
      <c r="F156" s="2880"/>
      <c r="G156" s="2880"/>
      <c r="H156" s="2880"/>
      <c r="I156" s="2880"/>
      <c r="J156" s="2880"/>
      <c r="K156" s="2880"/>
      <c r="L156" s="2880"/>
      <c r="M156" s="2937"/>
      <c r="N156" s="2960"/>
      <c r="O156" s="2960"/>
      <c r="P156" s="2960"/>
      <c r="Q156" s="2960"/>
      <c r="R156" s="2960"/>
      <c r="S156" s="2960"/>
      <c r="T156" s="2961"/>
      <c r="U156" s="2940"/>
      <c r="V156" s="2941"/>
      <c r="W156" s="2941"/>
      <c r="X156" s="2941"/>
      <c r="Y156" s="2941"/>
      <c r="Z156" s="2941"/>
      <c r="AA156" s="2941"/>
      <c r="AB156" s="2941"/>
      <c r="AC156" s="2941"/>
      <c r="AD156" s="2941"/>
      <c r="AE156" s="2942"/>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7" t="s">
        <v>308</v>
      </c>
      <c r="D157" s="2958"/>
      <c r="E157" s="2901" t="s">
        <v>2116</v>
      </c>
      <c r="F157" s="2901"/>
      <c r="G157" s="2901"/>
      <c r="H157" s="2901"/>
      <c r="I157" s="2901"/>
      <c r="J157" s="2901"/>
      <c r="K157" s="2901"/>
      <c r="L157" s="2901"/>
      <c r="M157" s="2959"/>
      <c r="N157" s="2960"/>
      <c r="O157" s="2960"/>
      <c r="P157" s="2960"/>
      <c r="Q157" s="2960"/>
      <c r="R157" s="2960"/>
      <c r="S157" s="2960"/>
      <c r="T157" s="2961"/>
      <c r="U157" s="2940"/>
      <c r="V157" s="2941"/>
      <c r="W157" s="2941"/>
      <c r="X157" s="2941"/>
      <c r="Y157" s="2941"/>
      <c r="Z157" s="2941"/>
      <c r="AA157" s="2941"/>
      <c r="AB157" s="2941"/>
      <c r="AC157" s="2941"/>
      <c r="AD157" s="2941"/>
      <c r="AE157" s="2942"/>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4" t="s">
        <v>308</v>
      </c>
      <c r="D158" s="2955"/>
      <c r="E158" s="2901" t="s">
        <v>2116</v>
      </c>
      <c r="F158" s="2901"/>
      <c r="G158" s="2901"/>
      <c r="H158" s="2901"/>
      <c r="I158" s="2901"/>
      <c r="J158" s="2901"/>
      <c r="K158" s="2901"/>
      <c r="L158" s="2901"/>
      <c r="M158" s="2959"/>
      <c r="N158" s="2960"/>
      <c r="O158" s="2960"/>
      <c r="P158" s="2960"/>
      <c r="Q158" s="2960"/>
      <c r="R158" s="2960"/>
      <c r="S158" s="2960"/>
      <c r="T158" s="2961"/>
      <c r="U158" s="2940"/>
      <c r="V158" s="2941"/>
      <c r="W158" s="2941"/>
      <c r="X158" s="2941"/>
      <c r="Y158" s="2941"/>
      <c r="Z158" s="2941"/>
      <c r="AA158" s="2941"/>
      <c r="AB158" s="2941"/>
      <c r="AC158" s="2941"/>
      <c r="AD158" s="2941"/>
      <c r="AE158" s="2942"/>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3" t="s">
        <v>308</v>
      </c>
      <c r="D159" s="2974"/>
      <c r="E159" s="2907" t="s">
        <v>2116</v>
      </c>
      <c r="F159" s="2907"/>
      <c r="G159" s="2907"/>
      <c r="H159" s="2907"/>
      <c r="I159" s="2907"/>
      <c r="J159" s="2907"/>
      <c r="K159" s="2907"/>
      <c r="L159" s="2907"/>
      <c r="M159" s="2975"/>
      <c r="N159" s="2976"/>
      <c r="O159" s="2976"/>
      <c r="P159" s="2976"/>
      <c r="Q159" s="2976"/>
      <c r="R159" s="2976"/>
      <c r="S159" s="2976"/>
      <c r="T159" s="2977"/>
      <c r="U159" s="2978"/>
      <c r="V159" s="2979"/>
      <c r="W159" s="2979"/>
      <c r="X159" s="2979"/>
      <c r="Y159" s="2979"/>
      <c r="Z159" s="2979"/>
      <c r="AA159" s="2979"/>
      <c r="AB159" s="2979"/>
      <c r="AC159" s="2979"/>
      <c r="AD159" s="2979"/>
      <c r="AE159" s="2980"/>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1" t="s">
        <v>2134</v>
      </c>
      <c r="D160" s="2982"/>
      <c r="E160" s="2982"/>
      <c r="F160" s="2982"/>
      <c r="G160" s="2982"/>
      <c r="H160" s="2982"/>
      <c r="I160" s="2982"/>
      <c r="J160" s="2982"/>
      <c r="K160" s="2982"/>
      <c r="L160" s="2982"/>
      <c r="M160" s="2983"/>
      <c r="N160" s="2984">
        <f>SUM(N152:T159)</f>
        <v>5541669</v>
      </c>
      <c r="O160" s="2985"/>
      <c r="P160" s="2985"/>
      <c r="Q160" s="2985"/>
      <c r="R160" s="2985"/>
      <c r="S160" s="2985"/>
      <c r="T160" s="2986"/>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6" t="s">
        <v>2135</v>
      </c>
      <c r="D161" s="2787"/>
      <c r="E161" s="2787"/>
      <c r="F161" s="2787"/>
      <c r="G161" s="2787"/>
      <c r="H161" s="2787"/>
      <c r="I161" s="2787"/>
      <c r="J161" s="2787"/>
      <c r="K161" s="2787"/>
      <c r="L161" s="2787"/>
      <c r="M161" s="2787"/>
      <c r="N161" s="2962">
        <f>(N150-N160)/J29</f>
        <v>3517.26</v>
      </c>
      <c r="O161" s="2962"/>
      <c r="P161" s="2962"/>
      <c r="Q161" s="2962"/>
      <c r="R161" s="2962"/>
      <c r="S161" s="2962"/>
      <c r="T161" s="296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4" t="s">
        <v>2136</v>
      </c>
      <c r="C164" s="2965"/>
      <c r="D164" s="2965"/>
      <c r="E164" s="2965"/>
      <c r="F164" s="2965"/>
      <c r="G164" s="2965"/>
      <c r="H164" s="2965"/>
      <c r="I164" s="2965"/>
      <c r="J164" s="2965"/>
      <c r="K164" s="2965"/>
      <c r="L164" s="2965"/>
      <c r="M164" s="2965"/>
      <c r="N164" s="2965"/>
      <c r="O164" s="2965"/>
      <c r="P164" s="2965"/>
      <c r="Q164" s="2965"/>
      <c r="R164" s="2965"/>
      <c r="S164" s="2965"/>
      <c r="T164" s="2965"/>
      <c r="U164" s="2965"/>
      <c r="V164" s="2965"/>
      <c r="W164" s="2965"/>
      <c r="X164" s="2965"/>
      <c r="Y164" s="2965"/>
      <c r="Z164" s="2965"/>
      <c r="AA164" s="2965"/>
      <c r="AB164" s="2965"/>
      <c r="AC164" s="2965"/>
      <c r="AD164" s="2965"/>
      <c r="AE164" s="2965"/>
      <c r="AF164" s="2965"/>
      <c r="AG164" s="2965"/>
      <c r="AH164" s="2965"/>
      <c r="AI164" s="2965"/>
      <c r="AJ164" s="2965"/>
      <c r="AK164" s="2965"/>
      <c r="AL164" s="2965"/>
      <c r="AM164" s="2965"/>
      <c r="AN164" s="2965"/>
      <c r="AO164" s="2965"/>
      <c r="AP164" s="2965"/>
      <c r="AQ164" s="2965"/>
      <c r="AR164" s="2965"/>
      <c r="AS164" s="2965"/>
      <c r="AT164" s="2965"/>
      <c r="AU164" s="2965"/>
      <c r="AV164" s="2965"/>
      <c r="AW164" s="2965"/>
      <c r="AX164" s="2965"/>
      <c r="AY164" s="2965"/>
      <c r="AZ164" s="2965"/>
      <c r="BA164" s="2965"/>
      <c r="BB164" s="2965"/>
      <c r="BC164" s="2965"/>
      <c r="BD164" s="2966"/>
      <c r="BE164" s="1534"/>
    </row>
    <row r="165" spans="1:57" ht="15.75" customHeight="1">
      <c r="A165" s="1817"/>
      <c r="B165" s="2967"/>
      <c r="C165" s="2968"/>
      <c r="D165" s="2968"/>
      <c r="E165" s="2968"/>
      <c r="F165" s="2968"/>
      <c r="G165" s="2968"/>
      <c r="H165" s="2968"/>
      <c r="I165" s="2968"/>
      <c r="J165" s="2968"/>
      <c r="K165" s="2968"/>
      <c r="L165" s="2968"/>
      <c r="M165" s="2968"/>
      <c r="N165" s="2968"/>
      <c r="O165" s="2968"/>
      <c r="P165" s="2968"/>
      <c r="Q165" s="2968"/>
      <c r="R165" s="2968"/>
      <c r="S165" s="2968"/>
      <c r="T165" s="2968"/>
      <c r="U165" s="2968"/>
      <c r="V165" s="2968"/>
      <c r="W165" s="2968"/>
      <c r="X165" s="2968"/>
      <c r="Y165" s="2968"/>
      <c r="Z165" s="2968"/>
      <c r="AA165" s="2968"/>
      <c r="AB165" s="2968"/>
      <c r="AC165" s="2968"/>
      <c r="AD165" s="2968"/>
      <c r="AE165" s="2968"/>
      <c r="AF165" s="2968"/>
      <c r="AG165" s="2968"/>
      <c r="AH165" s="2968"/>
      <c r="AI165" s="2968"/>
      <c r="AJ165" s="2968"/>
      <c r="AK165" s="2968"/>
      <c r="AL165" s="2968"/>
      <c r="AM165" s="2968"/>
      <c r="AN165" s="2968"/>
      <c r="AO165" s="2968"/>
      <c r="AP165" s="2968"/>
      <c r="AQ165" s="2968"/>
      <c r="AR165" s="2968"/>
      <c r="AS165" s="2968"/>
      <c r="AT165" s="2968"/>
      <c r="AU165" s="2968"/>
      <c r="AV165" s="2968"/>
      <c r="AW165" s="2968"/>
      <c r="AX165" s="2968"/>
      <c r="AY165" s="2968"/>
      <c r="AZ165" s="2968"/>
      <c r="BA165" s="2968"/>
      <c r="BB165" s="2968"/>
      <c r="BC165" s="2968"/>
      <c r="BD165" s="2969"/>
      <c r="BE165" s="1534"/>
    </row>
    <row r="166" spans="1:57" ht="15.75" customHeight="1">
      <c r="A166" s="1817"/>
      <c r="B166" s="2970" t="s">
        <v>2137</v>
      </c>
      <c r="C166" s="2971"/>
      <c r="D166" s="2971"/>
      <c r="E166" s="2971"/>
      <c r="F166" s="2971"/>
      <c r="G166" s="2971"/>
      <c r="H166" s="2971"/>
      <c r="I166" s="2971"/>
      <c r="J166" s="2971"/>
      <c r="K166" s="2971"/>
      <c r="L166" s="2971"/>
      <c r="M166" s="2971"/>
      <c r="N166" s="2971"/>
      <c r="O166" s="2971"/>
      <c r="P166" s="2971"/>
      <c r="Q166" s="2971"/>
      <c r="R166" s="2971"/>
      <c r="S166" s="2971"/>
      <c r="T166" s="2971"/>
      <c r="U166" s="2971"/>
      <c r="V166" s="2971"/>
      <c r="W166" s="2971"/>
      <c r="X166" s="2971"/>
      <c r="Y166" s="2971"/>
      <c r="Z166" s="2971"/>
      <c r="AA166" s="2971"/>
      <c r="AB166" s="2971"/>
      <c r="AC166" s="2971"/>
      <c r="AD166" s="2971"/>
      <c r="AE166" s="2971"/>
      <c r="AF166" s="2971"/>
      <c r="AG166" s="2971"/>
      <c r="AH166" s="2971"/>
      <c r="AI166" s="2971"/>
      <c r="AJ166" s="2971"/>
      <c r="AK166" s="2971"/>
      <c r="AL166" s="2971"/>
      <c r="AM166" s="2971"/>
      <c r="AN166" s="2971"/>
      <c r="AO166" s="2971"/>
      <c r="AP166" s="2971"/>
      <c r="AQ166" s="2971"/>
      <c r="AR166" s="2971"/>
      <c r="AS166" s="2971"/>
      <c r="AT166" s="2971"/>
      <c r="AU166" s="2971"/>
      <c r="AV166" s="2971"/>
      <c r="AW166" s="2971"/>
      <c r="AX166" s="2971"/>
      <c r="AY166" s="2971"/>
      <c r="AZ166" s="2971"/>
      <c r="BA166" s="2971"/>
      <c r="BB166" s="2971"/>
      <c r="BC166" s="2971"/>
      <c r="BD166" s="2972"/>
      <c r="BE166" s="1534"/>
    </row>
    <row r="167" spans="1:57" ht="15.75" customHeight="1">
      <c r="A167" s="1817"/>
      <c r="B167" s="2970" t="s">
        <v>2138</v>
      </c>
      <c r="C167" s="2971"/>
      <c r="D167" s="2971"/>
      <c r="E167" s="2971"/>
      <c r="F167" s="2971"/>
      <c r="G167" s="2971"/>
      <c r="H167" s="2971"/>
      <c r="I167" s="2971"/>
      <c r="J167" s="2971"/>
      <c r="K167" s="2971"/>
      <c r="L167" s="2971"/>
      <c r="M167" s="2971"/>
      <c r="N167" s="2971"/>
      <c r="O167" s="2971"/>
      <c r="P167" s="2971"/>
      <c r="Q167" s="2971"/>
      <c r="R167" s="2971"/>
      <c r="S167" s="2971"/>
      <c r="T167" s="2971"/>
      <c r="U167" s="2971"/>
      <c r="V167" s="2971"/>
      <c r="W167" s="2971"/>
      <c r="X167" s="2971"/>
      <c r="Y167" s="2971"/>
      <c r="Z167" s="2971"/>
      <c r="AA167" s="2971"/>
      <c r="AB167" s="2971"/>
      <c r="AC167" s="2971"/>
      <c r="AD167" s="2971"/>
      <c r="AE167" s="2971"/>
      <c r="AF167" s="2971"/>
      <c r="AG167" s="2971"/>
      <c r="AH167" s="2971"/>
      <c r="AI167" s="2971"/>
      <c r="AJ167" s="2971"/>
      <c r="AK167" s="2971"/>
      <c r="AL167" s="2971"/>
      <c r="AM167" s="2971"/>
      <c r="AN167" s="2971"/>
      <c r="AO167" s="2971"/>
      <c r="AP167" s="2971"/>
      <c r="AQ167" s="2971"/>
      <c r="AR167" s="2971"/>
      <c r="AS167" s="2971"/>
      <c r="AT167" s="2971"/>
      <c r="AU167" s="2971"/>
      <c r="AV167" s="2971"/>
      <c r="AW167" s="2971"/>
      <c r="AX167" s="2971"/>
      <c r="AY167" s="2971"/>
      <c r="AZ167" s="2971"/>
      <c r="BA167" s="2971"/>
      <c r="BB167" s="2971"/>
      <c r="BC167" s="2971"/>
      <c r="BD167" s="2972"/>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3" t="s">
        <v>2139</v>
      </c>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6" t="s">
        <v>2141</v>
      </c>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7" t="s">
        <v>2142</v>
      </c>
      <c r="I175" s="2997"/>
      <c r="J175" s="2997"/>
      <c r="K175" s="2997"/>
      <c r="L175" s="2997"/>
      <c r="M175" s="2997"/>
      <c r="N175" s="2997"/>
      <c r="O175" s="2997"/>
      <c r="P175" s="2997"/>
      <c r="Q175" s="2997"/>
      <c r="R175" s="2997"/>
      <c r="S175" s="2997"/>
      <c r="T175" s="2997"/>
      <c r="U175" s="2997"/>
      <c r="V175" s="2997"/>
      <c r="W175" s="2997"/>
      <c r="X175" s="2997"/>
      <c r="Y175" s="2997"/>
      <c r="Z175" s="2997"/>
      <c r="AA175" s="2997"/>
      <c r="AB175" s="2997"/>
      <c r="AC175" s="2997"/>
      <c r="AD175" s="2997"/>
      <c r="AE175" s="2997"/>
      <c r="AF175" s="2997"/>
      <c r="AG175" s="2997"/>
      <c r="AH175" s="2997"/>
      <c r="AI175" s="2997"/>
      <c r="AJ175" s="2997"/>
      <c r="AK175" s="2997"/>
      <c r="AL175" s="2997"/>
      <c r="AM175" s="2997"/>
      <c r="AN175" s="2997"/>
      <c r="AO175" s="2997"/>
      <c r="AP175" s="2997"/>
      <c r="AQ175" s="2997"/>
      <c r="AR175" s="2997"/>
      <c r="AS175" s="2997"/>
      <c r="AT175" s="2997"/>
      <c r="AU175" s="2997"/>
      <c r="AV175" s="2997"/>
      <c r="AW175" s="2997"/>
      <c r="AX175" s="2997"/>
      <c r="AY175" s="2997"/>
      <c r="AZ175" s="2997"/>
      <c r="BA175" s="1554"/>
      <c r="BB175" s="1554"/>
      <c r="BC175" s="1554"/>
      <c r="BD175" s="1534"/>
      <c r="BE175" s="1534"/>
    </row>
    <row r="176" spans="1:57" ht="15.75" customHeight="1">
      <c r="A176" s="1817"/>
      <c r="B176" s="1527"/>
      <c r="C176" s="1554"/>
      <c r="D176" s="1554"/>
      <c r="E176" s="1554"/>
      <c r="F176" s="1554"/>
      <c r="G176" s="1554"/>
      <c r="H176" s="2997"/>
      <c r="I176" s="2997"/>
      <c r="J176" s="2997"/>
      <c r="K176" s="2997"/>
      <c r="L176" s="2997"/>
      <c r="M176" s="2997"/>
      <c r="N176" s="2997"/>
      <c r="O176" s="2997"/>
      <c r="P176" s="2997"/>
      <c r="Q176" s="2997"/>
      <c r="R176" s="2997"/>
      <c r="S176" s="2997"/>
      <c r="T176" s="2997"/>
      <c r="U176" s="2997"/>
      <c r="V176" s="2997"/>
      <c r="W176" s="2997"/>
      <c r="X176" s="2997"/>
      <c r="Y176" s="2997"/>
      <c r="Z176" s="2997"/>
      <c r="AA176" s="2997"/>
      <c r="AB176" s="2997"/>
      <c r="AC176" s="2997"/>
      <c r="AD176" s="2997"/>
      <c r="AE176" s="2997"/>
      <c r="AF176" s="2997"/>
      <c r="AG176" s="2997"/>
      <c r="AH176" s="2997"/>
      <c r="AI176" s="2997"/>
      <c r="AJ176" s="2997"/>
      <c r="AK176" s="2997"/>
      <c r="AL176" s="2997"/>
      <c r="AM176" s="2997"/>
      <c r="AN176" s="2997"/>
      <c r="AO176" s="2997"/>
      <c r="AP176" s="2997"/>
      <c r="AQ176" s="2997"/>
      <c r="AR176" s="2997"/>
      <c r="AS176" s="2997"/>
      <c r="AT176" s="2997"/>
      <c r="AU176" s="2997"/>
      <c r="AV176" s="2997"/>
      <c r="AW176" s="2997"/>
      <c r="AX176" s="2997"/>
      <c r="AY176" s="2997"/>
      <c r="AZ176" s="2997"/>
      <c r="BA176" s="1554"/>
      <c r="BB176" s="1554"/>
      <c r="BC176" s="1554"/>
      <c r="BD176" s="1534"/>
      <c r="BE176" s="1534"/>
    </row>
    <row r="177" spans="1:57" ht="15.75" customHeight="1">
      <c r="A177" s="1817"/>
      <c r="B177" s="1527"/>
      <c r="C177" s="1554"/>
      <c r="D177" s="1554"/>
      <c r="E177" s="1554"/>
      <c r="F177" s="1554"/>
      <c r="G177" s="1554"/>
      <c r="H177" s="2997"/>
      <c r="I177" s="2997"/>
      <c r="J177" s="2997"/>
      <c r="K177" s="2997"/>
      <c r="L177" s="2997"/>
      <c r="M177" s="2997"/>
      <c r="N177" s="2997"/>
      <c r="O177" s="2997"/>
      <c r="P177" s="2997"/>
      <c r="Q177" s="2997"/>
      <c r="R177" s="2997"/>
      <c r="S177" s="2997"/>
      <c r="T177" s="2997"/>
      <c r="U177" s="2997"/>
      <c r="V177" s="2997"/>
      <c r="W177" s="2997"/>
      <c r="X177" s="2997"/>
      <c r="Y177" s="2997"/>
      <c r="Z177" s="2997"/>
      <c r="AA177" s="2997"/>
      <c r="AB177" s="2997"/>
      <c r="AC177" s="2997"/>
      <c r="AD177" s="2997"/>
      <c r="AE177" s="2997"/>
      <c r="AF177" s="2997"/>
      <c r="AG177" s="2997"/>
      <c r="AH177" s="2997"/>
      <c r="AI177" s="2997"/>
      <c r="AJ177" s="2997"/>
      <c r="AK177" s="2997"/>
      <c r="AL177" s="2997"/>
      <c r="AM177" s="2997"/>
      <c r="AN177" s="2997"/>
      <c r="AO177" s="2997"/>
      <c r="AP177" s="2997"/>
      <c r="AQ177" s="2997"/>
      <c r="AR177" s="2997"/>
      <c r="AS177" s="2997"/>
      <c r="AT177" s="2997"/>
      <c r="AU177" s="2997"/>
      <c r="AV177" s="2997"/>
      <c r="AW177" s="2997"/>
      <c r="AX177" s="2997"/>
      <c r="AY177" s="2997"/>
      <c r="AZ177" s="2997"/>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8" t="s">
        <v>2143</v>
      </c>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1" t="s">
        <v>2144</v>
      </c>
      <c r="I182" s="2991"/>
      <c r="J182" s="2991"/>
      <c r="K182" s="2991"/>
      <c r="L182" s="1563"/>
      <c r="M182" s="1563"/>
      <c r="N182" s="1563"/>
      <c r="O182" s="1563"/>
      <c r="P182" s="1563"/>
      <c r="Q182" s="1563"/>
      <c r="R182" s="1563"/>
      <c r="S182" s="2988"/>
      <c r="T182" s="2989"/>
      <c r="U182" s="2989"/>
      <c r="V182" s="2989"/>
      <c r="W182" s="2989"/>
      <c r="X182" s="2989"/>
      <c r="Y182" s="2989"/>
      <c r="Z182" s="2989"/>
      <c r="AA182" s="2989"/>
      <c r="AB182" s="2989"/>
      <c r="AC182" s="2989"/>
      <c r="AD182" s="2989"/>
      <c r="AE182" s="2989"/>
      <c r="AF182" s="2989"/>
      <c r="AG182" s="2989"/>
      <c r="AH182" s="2989"/>
      <c r="AI182" s="2989"/>
      <c r="AJ182" s="2990"/>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1" t="s">
        <v>2145</v>
      </c>
      <c r="I184" s="2991"/>
      <c r="J184" s="2991"/>
      <c r="K184" s="1565"/>
      <c r="L184" s="1563"/>
      <c r="M184" s="1563"/>
      <c r="N184" s="1563"/>
      <c r="O184" s="1563"/>
      <c r="P184" s="1563"/>
      <c r="Q184" s="1563"/>
      <c r="R184" s="1563"/>
      <c r="S184" s="2988"/>
      <c r="T184" s="2989"/>
      <c r="U184" s="2989"/>
      <c r="V184" s="2989"/>
      <c r="W184" s="2989"/>
      <c r="X184" s="2989"/>
      <c r="Y184" s="2989"/>
      <c r="Z184" s="2989"/>
      <c r="AA184" s="2989"/>
      <c r="AB184" s="2989"/>
      <c r="AC184" s="2989"/>
      <c r="AD184" s="2989"/>
      <c r="AE184" s="2989"/>
      <c r="AF184" s="2989"/>
      <c r="AG184" s="2989"/>
      <c r="AH184" s="2989"/>
      <c r="AI184" s="2989"/>
      <c r="AJ184" s="2990"/>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1" t="s">
        <v>464</v>
      </c>
      <c r="I186" s="2991"/>
      <c r="J186" s="1565"/>
      <c r="K186" s="1565"/>
      <c r="L186" s="1563"/>
      <c r="M186" s="1563"/>
      <c r="N186" s="1563"/>
      <c r="O186" s="1563"/>
      <c r="P186" s="1563"/>
      <c r="Q186" s="1563"/>
      <c r="R186" s="1563"/>
      <c r="S186" s="2988"/>
      <c r="T186" s="2989"/>
      <c r="U186" s="2989"/>
      <c r="V186" s="2989"/>
      <c r="W186" s="2989"/>
      <c r="X186" s="2989"/>
      <c r="Y186" s="2989"/>
      <c r="Z186" s="2989"/>
      <c r="AA186" s="2989"/>
      <c r="AB186" s="2989"/>
      <c r="AC186" s="2989"/>
      <c r="AD186" s="2989"/>
      <c r="AE186" s="2989"/>
      <c r="AF186" s="2989"/>
      <c r="AG186" s="2989"/>
      <c r="AH186" s="2989"/>
      <c r="AI186" s="2989"/>
      <c r="AJ186" s="2990"/>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2" t="s">
        <v>2146</v>
      </c>
      <c r="I188" s="2992"/>
      <c r="J188" s="2992"/>
      <c r="K188" s="2992"/>
      <c r="L188" s="2992"/>
      <c r="M188" s="2992"/>
      <c r="N188" s="2992"/>
      <c r="O188" s="2992"/>
      <c r="P188" s="1563"/>
      <c r="Q188" s="1563"/>
      <c r="R188" s="1563"/>
      <c r="S188" s="2988"/>
      <c r="T188" s="2989"/>
      <c r="U188" s="2989"/>
      <c r="V188" s="2989"/>
      <c r="W188" s="2989"/>
      <c r="X188" s="2989"/>
      <c r="Y188" s="2989"/>
      <c r="Z188" s="2989"/>
      <c r="AA188" s="2989"/>
      <c r="AB188" s="2989"/>
      <c r="AC188" s="2989"/>
      <c r="AD188" s="2989"/>
      <c r="AE188" s="2989"/>
      <c r="AF188" s="2989"/>
      <c r="AG188" s="2989"/>
      <c r="AH188" s="2989"/>
      <c r="AI188" s="2989"/>
      <c r="AJ188" s="2990"/>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7" t="s">
        <v>2147</v>
      </c>
      <c r="I190" s="2987"/>
      <c r="J190" s="1563"/>
      <c r="K190" s="1563"/>
      <c r="L190" s="1563"/>
      <c r="M190" s="1563"/>
      <c r="N190" s="1563"/>
      <c r="O190" s="1563"/>
      <c r="P190" s="1563"/>
      <c r="Q190" s="1563"/>
      <c r="R190" s="1563"/>
      <c r="S190" s="2988"/>
      <c r="T190" s="2989"/>
      <c r="U190" s="2989"/>
      <c r="V190" s="2989"/>
      <c r="W190" s="2989"/>
      <c r="X190" s="2989"/>
      <c r="Y190" s="2989"/>
      <c r="Z190" s="2989"/>
      <c r="AA190" s="2989"/>
      <c r="AB190" s="2989"/>
      <c r="AC190" s="2989"/>
      <c r="AD190" s="2989"/>
      <c r="AE190" s="2989"/>
      <c r="AF190" s="2989"/>
      <c r="AG190" s="2989"/>
      <c r="AH190" s="2989"/>
      <c r="AI190" s="2989"/>
      <c r="AJ190" s="2990"/>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5" zoomScale="98" zoomScaleNormal="98" zoomScaleSheetLayoutView="100" workbookViewId="0">
      <selection activeCell="B183" sqref="B183:AB1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5" t="s">
        <v>1558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1563</v>
      </c>
      <c r="AF7" s="3221"/>
      <c r="AG7" s="3221"/>
      <c r="AH7" s="3221"/>
      <c r="AI7" s="3221"/>
      <c r="AJ7" s="3221"/>
      <c r="AK7" s="3221"/>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626</v>
      </c>
      <c r="C12" s="323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626</v>
      </c>
      <c r="C15" s="3230"/>
      <c r="D15" s="940"/>
      <c r="E15" s="3249" t="s">
        <v>1566</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1567</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626</v>
      </c>
      <c r="C21" s="3230"/>
      <c r="D21" s="940"/>
      <c r="E21" s="3259" t="s">
        <v>1569</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1567</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626</v>
      </c>
      <c r="C24" s="3230"/>
      <c r="D24" s="940"/>
      <c r="E24" s="3161" t="s">
        <v>1570</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626</v>
      </c>
      <c r="C29" s="3230"/>
      <c r="D29" s="940"/>
      <c r="E29" s="3161" t="s">
        <v>1572</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33"/>
      <c r="AL29" s="933"/>
      <c r="AM29" s="933"/>
      <c r="AN29" s="929"/>
      <c r="AO29" s="943">
        <f>IF($B49="yes",6,0)</f>
        <v>0</v>
      </c>
    </row>
    <row r="30" spans="1:42" s="930" customFormat="1" ht="12.75" customHeight="1">
      <c r="A30" s="933"/>
      <c r="B30" s="933"/>
      <c r="C30" s="933"/>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33"/>
      <c r="AL30" s="933"/>
      <c r="AM30" s="933"/>
      <c r="AN30" s="929"/>
      <c r="AO30" s="930">
        <f>IF(SUM(AO23:AO29)&gt;6,6,(SUM(AO23:AO29)))</f>
        <v>0</v>
      </c>
      <c r="AP30" s="930" t="s">
        <v>1567</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2397</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626</v>
      </c>
      <c r="C37" s="323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626</v>
      </c>
      <c r="C39" s="323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626</v>
      </c>
      <c r="C41" s="323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626</v>
      </c>
      <c r="C43" s="323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626</v>
      </c>
      <c r="C45" s="323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626</v>
      </c>
      <c r="C47" s="323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626</v>
      </c>
      <c r="C49" s="323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5">
        <f>AO32</f>
        <v>0</v>
      </c>
      <c r="AL51" s="3206"/>
      <c r="AM51" s="320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1584</v>
      </c>
      <c r="AF54" s="3221"/>
      <c r="AG54" s="3221"/>
      <c r="AH54" s="3221"/>
      <c r="AI54" s="3221"/>
      <c r="AJ54" s="3221"/>
      <c r="AK54" s="3221"/>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626</v>
      </c>
      <c r="C57" s="3230"/>
      <c r="D57" s="940" t="s">
        <v>1585</v>
      </c>
      <c r="E57" s="3249" t="s">
        <v>2236</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10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578</v>
      </c>
      <c r="C62" s="3230"/>
      <c r="D62" s="940" t="s">
        <v>1587</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34" t="s">
        <v>626</v>
      </c>
      <c r="F63" s="3230"/>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28" t="s">
        <v>626</v>
      </c>
      <c r="F64" s="3229"/>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28" t="s">
        <v>626</v>
      </c>
      <c r="F65" s="3229"/>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34" t="s">
        <v>578</v>
      </c>
      <c r="F67" s="3230"/>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626</v>
      </c>
      <c r="C69" s="3230"/>
      <c r="D69" s="940" t="s">
        <v>1590</v>
      </c>
      <c r="E69" s="3161" t="s">
        <v>2237</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5">
        <f>IF(AK51&gt;0,0,AO60)</f>
        <v>10</v>
      </c>
      <c r="AL72" s="3206"/>
      <c r="AM72" s="320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1563</v>
      </c>
      <c r="AF75" s="3221"/>
      <c r="AG75" s="3221"/>
      <c r="AH75" s="3221"/>
      <c r="AI75" s="3221"/>
      <c r="AJ75" s="3221"/>
      <c r="AK75" s="322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578</v>
      </c>
      <c r="C78" s="3230"/>
      <c r="D78" s="940" t="s">
        <v>1585</v>
      </c>
      <c r="E78" s="3237" t="s">
        <v>1595</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0.5</v>
      </c>
      <c r="F81" s="3220"/>
      <c r="G81" s="3220"/>
      <c r="H81" s="322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9.9999999999999978E-2</v>
      </c>
      <c r="F82" s="3244"/>
      <c r="G82" s="3244"/>
      <c r="H82" s="32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19.999999999999996</v>
      </c>
      <c r="F83" s="3236"/>
      <c r="G83" s="3236"/>
      <c r="H83" s="323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626</v>
      </c>
      <c r="C86" s="3230"/>
      <c r="D86" s="940" t="s">
        <v>1587</v>
      </c>
      <c r="E86" s="3237" t="s">
        <v>2221</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0.5</v>
      </c>
      <c r="F91" s="3220"/>
      <c r="G91" s="3220"/>
      <c r="H91" s="3220"/>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v>
      </c>
      <c r="F92" s="3220"/>
      <c r="G92" s="3220"/>
      <c r="H92" s="322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0.79865771812080544</v>
      </c>
      <c r="F93" s="3220"/>
      <c r="G93" s="3220"/>
      <c r="H93" s="322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22">
        <f ca="1">IF(AND(E91&lt;=0.6,E92&gt;=0.1,OR(E93&gt;=0.1,E92=1)),20,0)</f>
        <v>0</v>
      </c>
      <c r="F94" s="3223"/>
      <c r="G94" s="3223"/>
      <c r="H94" s="322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5">
        <f>MAX(AP83,AP94)</f>
        <v>19.999999999999996</v>
      </c>
      <c r="AL97" s="3206"/>
      <c r="AM97" s="320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1584</v>
      </c>
      <c r="AF100" s="3221"/>
      <c r="AG100" s="3221"/>
      <c r="AH100" s="3221"/>
      <c r="AI100" s="3221"/>
      <c r="AJ100" s="3221"/>
      <c r="AK100" s="3221"/>
      <c r="AL100" s="933"/>
      <c r="AM100" s="933"/>
      <c r="AN100" s="929"/>
      <c r="AO100" s="930" t="str">
        <f>Application!B728</f>
        <v>1 Bedroom</v>
      </c>
      <c r="AQ100" s="930">
        <f>Application!O728</f>
        <v>616</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736</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1 Bedroom</v>
      </c>
      <c r="AQ102" s="930">
        <f>Application!O730</f>
        <v>786</v>
      </c>
    </row>
    <row r="103" spans="1:49" s="930" customFormat="1" ht="12.75" customHeight="1">
      <c r="A103" s="933"/>
      <c r="B103" s="3230" t="s">
        <v>578</v>
      </c>
      <c r="C103" s="3230"/>
      <c r="D103" s="940" t="s">
        <v>1585</v>
      </c>
      <c r="E103" s="3237" t="s">
        <v>2383</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2 Bedrooms</v>
      </c>
      <c r="AQ103" s="930">
        <f>Application!O731</f>
        <v>940</v>
      </c>
      <c r="AU103" s="930" t="s">
        <v>2361</v>
      </c>
      <c r="AV103" s="1764" t="s">
        <v>2362</v>
      </c>
      <c r="AW103" s="930" t="s">
        <v>2363</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1 Bedroom</v>
      </c>
      <c r="AQ104" s="930">
        <f>Application!O732</f>
        <v>956</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t="str">
        <f>Application!B733</f>
        <v>2 Bedrooms</v>
      </c>
      <c r="AQ105" s="930">
        <f>Application!O733</f>
        <v>1144</v>
      </c>
      <c r="AU105" s="1767" t="str">
        <f>J112</f>
        <v>1-bedroom</v>
      </c>
      <c r="AV105" s="930">
        <f t="array" ref="AV105">SUM(IF(Application!B728:F752="1 Bedroom",Application!G728:J752))</f>
        <v>135</v>
      </c>
      <c r="AW105" s="1802">
        <f>AV105/AV110</f>
        <v>0.90604026845637586</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f>Application!B734</f>
        <v>0</v>
      </c>
      <c r="AQ106" s="930">
        <f>Application!O734</f>
        <v>0</v>
      </c>
      <c r="AU106" s="1767" t="str">
        <f>O112</f>
        <v>2-bedroom</v>
      </c>
      <c r="AV106" s="930">
        <f t="array" ref="AV106">SUM(IF(Application!B728:F752="2 Bedrooms",Application!G728:J752))</f>
        <v>14</v>
      </c>
      <c r="AW106" s="1802">
        <f>AV106/AV110</f>
        <v>9.3959731543624164E-2</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f>Application!B735</f>
        <v>0</v>
      </c>
      <c r="AQ107" s="930">
        <f>Application!O735</f>
        <v>0</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f>Application!B738</f>
        <v>0</v>
      </c>
      <c r="AQ110" s="930">
        <f>Application!O738</f>
        <v>0</v>
      </c>
      <c r="AV110" s="930">
        <f>SUM(AV104:AV109)</f>
        <v>149</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9" t="s">
        <v>1886</v>
      </c>
      <c r="F112" s="3220"/>
      <c r="G112" s="3220"/>
      <c r="H112" s="3220"/>
      <c r="I112" s="1472"/>
      <c r="J112" s="3220" t="s">
        <v>1977</v>
      </c>
      <c r="K112" s="3220"/>
      <c r="L112" s="3220"/>
      <c r="M112" s="3220"/>
      <c r="N112" s="1472"/>
      <c r="O112" s="3220" t="s">
        <v>1978</v>
      </c>
      <c r="P112" s="3220"/>
      <c r="Q112" s="3220"/>
      <c r="R112" s="3220"/>
      <c r="S112" s="1472"/>
      <c r="T112" s="3220" t="s">
        <v>1604</v>
      </c>
      <c r="U112" s="3220"/>
      <c r="V112" s="3220"/>
      <c r="W112" s="3220"/>
      <c r="X112" s="1472"/>
      <c r="Y112" s="3220" t="s">
        <v>1979</v>
      </c>
      <c r="Z112" s="3220"/>
      <c r="AA112" s="3220"/>
      <c r="AB112" s="3220"/>
      <c r="AC112" s="1472"/>
      <c r="AD112" s="3220" t="s">
        <v>1980</v>
      </c>
      <c r="AE112" s="3220"/>
      <c r="AF112" s="3220"/>
      <c r="AG112" s="322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24">
        <v>0</v>
      </c>
      <c r="F115" s="3225"/>
      <c r="G115" s="3225"/>
      <c r="H115" s="3225"/>
      <c r="I115" s="1474"/>
      <c r="J115" s="3225">
        <v>1325</v>
      </c>
      <c r="K115" s="3225"/>
      <c r="L115" s="3225"/>
      <c r="M115" s="3225"/>
      <c r="N115" s="1474"/>
      <c r="O115" s="3225">
        <v>1652</v>
      </c>
      <c r="P115" s="3225"/>
      <c r="Q115" s="3225"/>
      <c r="R115" s="3225"/>
      <c r="S115" s="1474"/>
      <c r="T115" s="3225">
        <v>0</v>
      </c>
      <c r="U115" s="3225"/>
      <c r="V115" s="3225"/>
      <c r="W115" s="3225"/>
      <c r="X115" s="1474"/>
      <c r="Y115" s="3225">
        <v>0</v>
      </c>
      <c r="Z115" s="3225"/>
      <c r="AA115" s="3225"/>
      <c r="AB115" s="3225"/>
      <c r="AC115" s="1474"/>
      <c r="AD115" s="3225">
        <v>0</v>
      </c>
      <c r="AE115" s="3225"/>
      <c r="AF115" s="3225"/>
      <c r="AG115" s="3225"/>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26">
        <f>Application!DX663</f>
        <v>0</v>
      </c>
      <c r="F118" s="3227"/>
      <c r="G118" s="3227"/>
      <c r="H118" s="3227"/>
      <c r="I118" s="1474"/>
      <c r="J118" s="3227">
        <f>Application!EC663</f>
        <v>786</v>
      </c>
      <c r="K118" s="3227"/>
      <c r="L118" s="3227"/>
      <c r="M118" s="3227"/>
      <c r="N118" s="1474"/>
      <c r="O118" s="3227">
        <f>Application!EH663</f>
        <v>939.99999999999989</v>
      </c>
      <c r="P118" s="3227"/>
      <c r="Q118" s="3227"/>
      <c r="R118" s="3227"/>
      <c r="S118" s="1478"/>
      <c r="T118" s="3227">
        <f>Application!EM663</f>
        <v>0</v>
      </c>
      <c r="U118" s="3227"/>
      <c r="V118" s="3227"/>
      <c r="W118" s="3227"/>
      <c r="X118" s="1478"/>
      <c r="Y118" s="3227">
        <f>Application!ER663</f>
        <v>0</v>
      </c>
      <c r="Z118" s="3227"/>
      <c r="AA118" s="3227"/>
      <c r="AB118" s="3227"/>
      <c r="AC118" s="1478"/>
      <c r="AD118" s="3227">
        <f>Application!EW663</f>
        <v>0</v>
      </c>
      <c r="AE118" s="3227"/>
      <c r="AF118" s="3227"/>
      <c r="AG118" s="3227"/>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12" t="e">
        <f>(E115-E118)/E115</f>
        <v>#DIV/0!</v>
      </c>
      <c r="F121" s="3013"/>
      <c r="G121" s="3013"/>
      <c r="H121" s="3014"/>
      <c r="I121" s="971"/>
      <c r="J121" s="3012">
        <f>(J115-J118)/J115</f>
        <v>0.40679245283018867</v>
      </c>
      <c r="K121" s="3013"/>
      <c r="L121" s="3013"/>
      <c r="M121" s="3014"/>
      <c r="N121" s="971"/>
      <c r="O121" s="3012">
        <f>(O115-O118)/O115</f>
        <v>0.4309927360774819</v>
      </c>
      <c r="P121" s="3013"/>
      <c r="Q121" s="3013"/>
      <c r="R121" s="3014"/>
      <c r="S121" s="971"/>
      <c r="T121" s="3012" t="e">
        <f>(T115-T118)/T115</f>
        <v>#DIV/0!</v>
      </c>
      <c r="U121" s="3013"/>
      <c r="V121" s="3013"/>
      <c r="W121" s="3014"/>
      <c r="X121" s="971"/>
      <c r="Y121" s="3012" t="e">
        <f>(Y115-Y118)/Y115</f>
        <v>#DIV/0!</v>
      </c>
      <c r="Z121" s="3013"/>
      <c r="AA121" s="3013"/>
      <c r="AB121" s="3014"/>
      <c r="AC121" s="971"/>
      <c r="AD121" s="3012" t="e">
        <f>(AD115-AD118)/AD115</f>
        <v>#DIV/0!</v>
      </c>
      <c r="AE121" s="3013"/>
      <c r="AF121" s="3013"/>
      <c r="AG121" s="3014"/>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68" t="e">
        <f>IF(((E121-0.1)*AW104)&gt;0,((E121-0.1)*AW104),0)</f>
        <v>#DIV/0!</v>
      </c>
      <c r="F124" s="3269"/>
      <c r="G124" s="3269"/>
      <c r="H124" s="3270"/>
      <c r="I124" s="971"/>
      <c r="J124" s="3268">
        <f>IF(((J121-0.1)*AW105)&gt;0,((J121-0.1)*AW105),0)</f>
        <v>0.27796631632265412</v>
      </c>
      <c r="K124" s="3269"/>
      <c r="L124" s="3269"/>
      <c r="M124" s="3270"/>
      <c r="N124" s="971"/>
      <c r="O124" s="3268">
        <f>IF(((O121-0.1)*AW106)&gt;0,((O121-0.1)*AW106),0)</f>
        <v>3.1099988624729846E-2</v>
      </c>
      <c r="P124" s="3269"/>
      <c r="Q124" s="3269"/>
      <c r="R124" s="3270"/>
      <c r="S124" s="971"/>
      <c r="T124" s="3268" t="e">
        <f>IF(((T121-0.1)*AW107)&gt;0,((T121-0.1)*AW107),0)</f>
        <v>#DIV/0!</v>
      </c>
      <c r="U124" s="3269"/>
      <c r="V124" s="3269"/>
      <c r="W124" s="3270"/>
      <c r="X124" s="971"/>
      <c r="Y124" s="3268" t="e">
        <f>IF(((Y121-0.1)*AW108)&gt;0,((Y121-0.1)*AW108),0)</f>
        <v>#DIV/0!</v>
      </c>
      <c r="Z124" s="3269"/>
      <c r="AA124" s="3269"/>
      <c r="AB124" s="3270"/>
      <c r="AC124" s="971"/>
      <c r="AD124" s="3268" t="e">
        <f>IF(((AD121-0.1)*AW109)&gt;0,((AD121-0.1)*AW109),0)</f>
        <v>#DIV/0!</v>
      </c>
      <c r="AE124" s="3269"/>
      <c r="AF124" s="3269"/>
      <c r="AG124" s="327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12">
        <f>ROUNDDOWN(SUMIF(E124:AG124,"&gt;0"),2)</f>
        <v>0.3</v>
      </c>
      <c r="F126" s="3013"/>
      <c r="G126" s="3013"/>
      <c r="H126" s="3014"/>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205">
        <f>IF((E126*100)&gt;10,10,E126*100)</f>
        <v>10</v>
      </c>
      <c r="F127" s="3206"/>
      <c r="G127" s="3206"/>
      <c r="H127" s="320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5">
        <f>E127</f>
        <v>10</v>
      </c>
      <c r="AL131" s="3206"/>
      <c r="AM131" s="320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1" t="s">
        <v>1584</v>
      </c>
      <c r="AF134" s="3221"/>
      <c r="AG134" s="3221"/>
      <c r="AH134" s="3221"/>
      <c r="AI134" s="3221"/>
      <c r="AJ134" s="3221"/>
      <c r="AK134" s="322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1" t="s">
        <v>1608</v>
      </c>
      <c r="AG136" s="3151"/>
      <c r="AH136" s="3151"/>
      <c r="AI136" s="3151"/>
      <c r="AJ136" s="3151"/>
      <c r="AK136" s="3151"/>
      <c r="AL136" s="31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10" t="s">
        <v>2671</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1" t="s">
        <v>1611</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1612</v>
      </c>
      <c r="AB143" s="3156" t="s">
        <v>626</v>
      </c>
      <c r="AC143" s="315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1" t="s">
        <v>1613</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2">
        <f>IF($AB$143="N/A",VLOOKUP($B$141,$AO$139:$AP$142,2,FALSE),VLOOKUP($B$146,$AO$144:$AP$147,2,FALSE))</f>
        <v>7</v>
      </c>
      <c r="AK149" s="321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51" t="s">
        <v>1622</v>
      </c>
      <c r="AG151" s="3151"/>
      <c r="AH151" s="3151"/>
      <c r="AI151" s="3151"/>
      <c r="AJ151" s="3151"/>
      <c r="AK151" s="3151"/>
      <c r="AL151" s="31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1" t="s">
        <v>1620</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6" t="s">
        <v>626</v>
      </c>
      <c r="AD155" s="315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11" t="s">
        <v>1613</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0" t="s">
        <v>2587</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5">
        <f>$AJ$149+$AJ$163</f>
        <v>10</v>
      </c>
      <c r="AL166" s="3206"/>
      <c r="AM166" s="320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6" t="s">
        <v>1584</v>
      </c>
      <c r="AF169" s="3116"/>
      <c r="AG169" s="3116"/>
      <c r="AH169" s="3116"/>
      <c r="AI169" s="3116"/>
      <c r="AJ169" s="3116"/>
      <c r="AK169" s="3116"/>
      <c r="AL169" s="1600"/>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208" t="s">
        <v>1639</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23"/>
      <c r="AE171" s="1023"/>
      <c r="AF171" s="3151" t="s">
        <v>1633</v>
      </c>
      <c r="AG171" s="3151"/>
      <c r="AH171" s="3151"/>
      <c r="AI171" s="3151"/>
      <c r="AJ171" s="3151"/>
      <c r="AK171" s="3151"/>
      <c r="AL171" s="3151"/>
      <c r="AN171" s="1000"/>
      <c r="AP171" s="943" t="s">
        <v>1156</v>
      </c>
      <c r="AQ171" s="943">
        <v>10</v>
      </c>
    </row>
    <row r="172" spans="1:81" s="943" customFormat="1" ht="12.75" customHeight="1">
      <c r="A172" s="927"/>
      <c r="B172" s="3209" t="s">
        <v>2222</v>
      </c>
      <c r="C172" s="3209"/>
      <c r="D172" s="3209"/>
      <c r="E172" s="3209"/>
      <c r="F172" s="3209"/>
      <c r="G172" s="3209"/>
      <c r="H172" s="3209"/>
      <c r="I172" s="3209"/>
      <c r="J172" s="3209"/>
      <c r="K172" s="3209"/>
      <c r="L172" s="3209"/>
      <c r="M172" s="3209"/>
      <c r="N172" s="3209"/>
      <c r="O172" s="3209"/>
      <c r="P172" s="3209"/>
      <c r="Q172" s="3209"/>
      <c r="R172" s="3209"/>
      <c r="S172" s="3209"/>
      <c r="T172" s="3210" t="s">
        <v>626</v>
      </c>
      <c r="U172" s="3210"/>
      <c r="V172" s="3210"/>
      <c r="W172" s="3210"/>
      <c r="X172" s="3210"/>
      <c r="Y172" s="3210"/>
      <c r="Z172" s="3210"/>
      <c r="AA172" s="3210"/>
      <c r="AB172" s="3210"/>
      <c r="AC172" s="3210"/>
      <c r="AD172" s="1006"/>
      <c r="AE172" s="1006"/>
      <c r="AF172" s="1006"/>
      <c r="AG172" s="1006"/>
      <c r="AH172" s="1006"/>
      <c r="AI172" s="1006"/>
      <c r="AJ172" s="1799"/>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4">
        <f>IF(AK72&gt;0,VLOOKUP($B$171,AP168:AQ175,2,FALSE),0)</f>
        <v>10</v>
      </c>
      <c r="AL174" s="3035"/>
      <c r="AM174" s="303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6" t="s">
        <v>1642</v>
      </c>
      <c r="AF177" s="3116"/>
      <c r="AG177" s="3116"/>
      <c r="AH177" s="3116"/>
      <c r="AI177" s="3116"/>
      <c r="AJ177" s="3116"/>
      <c r="AK177" s="311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2" t="str">
        <f>Application!C638</f>
        <v>SHRA Loan</v>
      </c>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7"/>
      <c r="AD182" s="3192">
        <f>Application!AO638</f>
        <v>3500000</v>
      </c>
      <c r="AE182" s="3192"/>
      <c r="AF182" s="3192"/>
      <c r="AG182" s="3192"/>
      <c r="AH182" s="3192"/>
      <c r="AI182" s="3192"/>
      <c r="AJ182" s="3192"/>
      <c r="AK182" s="1024"/>
    </row>
    <row r="183" spans="1:37">
      <c r="A183" s="1016"/>
      <c r="B183" s="3202"/>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7"/>
      <c r="AD183" s="3192"/>
      <c r="AE183" s="3192"/>
      <c r="AF183" s="3192"/>
      <c r="AG183" s="3192"/>
      <c r="AH183" s="3192"/>
      <c r="AI183" s="3192"/>
      <c r="AJ183" s="3192"/>
      <c r="AK183" s="1024"/>
    </row>
    <row r="184" spans="1:37">
      <c r="A184" s="1016"/>
      <c r="B184" s="3202" t="str">
        <f>Application!C640</f>
        <v>Impact Fee Waiver</v>
      </c>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7"/>
      <c r="AD184" s="3192">
        <f>Application!AO640</f>
        <v>1733059</v>
      </c>
      <c r="AE184" s="3192"/>
      <c r="AF184" s="3192"/>
      <c r="AG184" s="3192"/>
      <c r="AH184" s="3192"/>
      <c r="AI184" s="3192"/>
      <c r="AJ184" s="3192"/>
      <c r="AK184" s="1024"/>
    </row>
    <row r="185" spans="1:37">
      <c r="A185" s="1016"/>
      <c r="B185" s="3202" t="str">
        <f>Application!C644</f>
        <v>Donated Land</v>
      </c>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7"/>
      <c r="AD185" s="3192">
        <f>Application!AO644</f>
        <v>2799900</v>
      </c>
      <c r="AE185" s="3192"/>
      <c r="AF185" s="3192"/>
      <c r="AG185" s="3192"/>
      <c r="AH185" s="3192"/>
      <c r="AI185" s="3192"/>
      <c r="AJ185" s="3192"/>
      <c r="AK185" s="1024"/>
    </row>
    <row r="186" spans="1:37">
      <c r="A186" s="1016"/>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7"/>
      <c r="AD186" s="3192"/>
      <c r="AE186" s="3192"/>
      <c r="AF186" s="3192"/>
      <c r="AG186" s="3192"/>
      <c r="AH186" s="3192"/>
      <c r="AI186" s="3192"/>
      <c r="AJ186" s="3192"/>
      <c r="AK186" s="1024"/>
    </row>
    <row r="187" spans="1:37">
      <c r="A187" s="1016"/>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7"/>
      <c r="AD187" s="3192"/>
      <c r="AE187" s="3192"/>
      <c r="AF187" s="3192"/>
      <c r="AG187" s="3192"/>
      <c r="AH187" s="3192"/>
      <c r="AI187" s="3192"/>
      <c r="AJ187" s="3192"/>
      <c r="AK187" s="1024"/>
    </row>
    <row r="188" spans="1:37">
      <c r="A188" s="1016"/>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7"/>
      <c r="AD188" s="3192"/>
      <c r="AE188" s="3192"/>
      <c r="AF188" s="3192"/>
      <c r="AG188" s="3192"/>
      <c r="AH188" s="3192"/>
      <c r="AI188" s="3192"/>
      <c r="AJ188" s="3192"/>
      <c r="AK188" s="1024"/>
    </row>
    <row r="189" spans="1:37">
      <c r="A189" s="1016"/>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7"/>
      <c r="AD189" s="3192"/>
      <c r="AE189" s="3192"/>
      <c r="AF189" s="3192"/>
      <c r="AG189" s="3192"/>
      <c r="AH189" s="3192"/>
      <c r="AI189" s="3192"/>
      <c r="AJ189" s="3192"/>
      <c r="AK189" s="1024"/>
    </row>
    <row r="190" spans="1:37">
      <c r="A190" s="1016"/>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7"/>
      <c r="AD190" s="3192"/>
      <c r="AE190" s="3192"/>
      <c r="AF190" s="3192"/>
      <c r="AG190" s="3192"/>
      <c r="AH190" s="3192"/>
      <c r="AI190" s="3192"/>
      <c r="AJ190" s="3192"/>
      <c r="AK190" s="1024"/>
    </row>
    <row r="191" spans="1:37">
      <c r="A191" s="1016"/>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7"/>
      <c r="AD191" s="3192"/>
      <c r="AE191" s="3192"/>
      <c r="AF191" s="3192"/>
      <c r="AG191" s="3192"/>
      <c r="AH191" s="3192"/>
      <c r="AI191" s="3192"/>
      <c r="AJ191" s="3192"/>
      <c r="AK191" s="1024"/>
    </row>
    <row r="192" spans="1:37">
      <c r="A192" s="1016"/>
      <c r="B192" s="3056" t="s">
        <v>1930</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7"/>
      <c r="AD192" s="3190">
        <f>AB243</f>
        <v>0</v>
      </c>
      <c r="AE192" s="3190"/>
      <c r="AF192" s="3190"/>
      <c r="AG192" s="3190"/>
      <c r="AH192" s="3190"/>
      <c r="AI192" s="3190"/>
      <c r="AJ192" s="3190"/>
      <c r="AK192" s="1024"/>
    </row>
    <row r="193" spans="1:37">
      <c r="A193" s="1016"/>
      <c r="B193" s="3054" t="s">
        <v>1893</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7"/>
      <c r="AD193" s="3191">
        <f>'Sources and Uses Budget'!B15</f>
        <v>0</v>
      </c>
      <c r="AE193" s="3191"/>
      <c r="AF193" s="3191"/>
      <c r="AG193" s="3191"/>
      <c r="AH193" s="3191"/>
      <c r="AI193" s="3191"/>
      <c r="AJ193" s="31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6">
        <f>SUM(AD182:AJ192)-AD193</f>
        <v>8032959</v>
      </c>
      <c r="AE194" s="3196"/>
      <c r="AF194" s="3196"/>
      <c r="AG194" s="3196"/>
      <c r="AH194" s="3196"/>
      <c r="AI194" s="3196"/>
      <c r="AJ194" s="31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1910</v>
      </c>
      <c r="J205" s="3217"/>
      <c r="K205" s="3217"/>
      <c r="L205" s="991"/>
      <c r="M205" s="991"/>
      <c r="N205" s="991"/>
      <c r="O205" s="991"/>
      <c r="P205" s="991"/>
      <c r="Q205" s="991"/>
      <c r="R205" s="991"/>
      <c r="S205" s="991"/>
      <c r="T205" s="3017" t="s">
        <v>1904</v>
      </c>
      <c r="U205" s="3017"/>
      <c r="V205" s="3017"/>
      <c r="W205" s="3017"/>
      <c r="X205" s="3017"/>
      <c r="Y205" s="3017"/>
      <c r="Z205" s="1401"/>
      <c r="AA205" s="1402"/>
      <c r="AB205" s="3213" t="s">
        <v>1905</v>
      </c>
      <c r="AC205" s="3213"/>
      <c r="AD205" s="3213"/>
      <c r="AE205" s="3213"/>
      <c r="AF205" s="3213"/>
      <c r="AG205" s="3213"/>
      <c r="AH205" s="1371"/>
      <c r="AI205" s="1371"/>
      <c r="AJ205" s="1371"/>
      <c r="AK205" s="1024"/>
    </row>
    <row r="206" spans="1:37">
      <c r="A206" s="1016"/>
      <c r="B206" s="3215" t="s">
        <v>1883</v>
      </c>
      <c r="C206" s="3215"/>
      <c r="D206" s="3215"/>
      <c r="E206" s="3215"/>
      <c r="F206" s="3215"/>
      <c r="G206" s="3215"/>
      <c r="I206" s="3216" t="s">
        <v>1911</v>
      </c>
      <c r="J206" s="3216"/>
      <c r="K206" s="3216"/>
      <c r="L206" s="1798"/>
      <c r="N206" s="3055" t="s">
        <v>1906</v>
      </c>
      <c r="O206" s="3055"/>
      <c r="P206" s="3055"/>
      <c r="Q206" s="3055"/>
      <c r="R206" s="3055"/>
      <c r="T206" s="3055" t="s">
        <v>1907</v>
      </c>
      <c r="U206" s="3055"/>
      <c r="V206" s="3055"/>
      <c r="W206" s="3055"/>
      <c r="X206" s="3055"/>
      <c r="Y206" s="3055"/>
      <c r="Z206" s="1403"/>
      <c r="AA206" s="1402"/>
      <c r="AB206" s="3058" t="s">
        <v>1908</v>
      </c>
      <c r="AC206" s="3058"/>
      <c r="AD206" s="3058"/>
      <c r="AE206" s="3058"/>
      <c r="AF206" s="3058"/>
      <c r="AG206" s="3058"/>
      <c r="AH206" s="1371"/>
      <c r="AI206" s="1371"/>
      <c r="AJ206" s="1371"/>
      <c r="AK206" s="1024"/>
    </row>
    <row r="207" spans="1:37">
      <c r="A207" s="1016"/>
      <c r="B207" s="3057" t="s">
        <v>1383</v>
      </c>
      <c r="C207" s="3057"/>
      <c r="D207" s="3057"/>
      <c r="E207" s="3057"/>
      <c r="F207" s="3057"/>
      <c r="G207" s="3057"/>
      <c r="H207" s="1405"/>
      <c r="I207" s="3022"/>
      <c r="J207" s="3022"/>
      <c r="K207" s="3022"/>
      <c r="L207" s="1798"/>
      <c r="N207" s="3019"/>
      <c r="O207" s="3019"/>
      <c r="P207" s="3019"/>
      <c r="Q207" s="3019"/>
      <c r="R207" s="3019"/>
      <c r="T207" s="3018"/>
      <c r="U207" s="3018"/>
      <c r="V207" s="3018"/>
      <c r="W207" s="3018"/>
      <c r="X207" s="3018"/>
      <c r="Y207" s="3018"/>
      <c r="Z207" s="1404"/>
      <c r="AA207" s="1404"/>
      <c r="AB207" s="3016">
        <f t="shared" ref="AB207:AB216" si="0">MAX(($T207-$N207)*$I207*12,0)</f>
        <v>0</v>
      </c>
      <c r="AC207" s="3016"/>
      <c r="AD207" s="3016"/>
      <c r="AE207" s="3016"/>
      <c r="AF207" s="3016"/>
      <c r="AG207" s="3016"/>
      <c r="AH207" s="1371"/>
      <c r="AI207" s="1371"/>
      <c r="AJ207" s="1371"/>
      <c r="AK207" s="1024"/>
    </row>
    <row r="208" spans="1:37">
      <c r="A208" s="1016"/>
      <c r="B208" s="3057" t="s">
        <v>1383</v>
      </c>
      <c r="C208" s="3057"/>
      <c r="D208" s="3057"/>
      <c r="E208" s="3057"/>
      <c r="F208" s="3057"/>
      <c r="G208" s="3057"/>
      <c r="I208" s="3022"/>
      <c r="J208" s="3022"/>
      <c r="K208" s="3022"/>
      <c r="L208" s="1798"/>
      <c r="N208" s="3019"/>
      <c r="O208" s="3019"/>
      <c r="P208" s="3019"/>
      <c r="Q208" s="3019"/>
      <c r="R208" s="3019"/>
      <c r="T208" s="3018"/>
      <c r="U208" s="3018"/>
      <c r="V208" s="3018"/>
      <c r="W208" s="3018"/>
      <c r="X208" s="3018"/>
      <c r="Y208" s="3018"/>
      <c r="Z208" s="1404"/>
      <c r="AA208" s="1404"/>
      <c r="AB208" s="3016">
        <f t="shared" si="0"/>
        <v>0</v>
      </c>
      <c r="AC208" s="3016"/>
      <c r="AD208" s="3016"/>
      <c r="AE208" s="3016"/>
      <c r="AF208" s="3016"/>
      <c r="AG208" s="3016"/>
      <c r="AH208" s="1371"/>
      <c r="AI208" s="1371"/>
      <c r="AJ208" s="1371"/>
      <c r="AK208" s="1024"/>
    </row>
    <row r="209" spans="1:37">
      <c r="A209" s="1016"/>
      <c r="B209" s="3057" t="s">
        <v>1383</v>
      </c>
      <c r="C209" s="3057"/>
      <c r="D209" s="3057"/>
      <c r="E209" s="3057"/>
      <c r="F209" s="3057"/>
      <c r="G209" s="3057"/>
      <c r="I209" s="3022"/>
      <c r="J209" s="3022"/>
      <c r="K209" s="3022"/>
      <c r="L209" s="1798"/>
      <c r="N209" s="3019"/>
      <c r="O209" s="3019"/>
      <c r="P209" s="3019"/>
      <c r="Q209" s="3019"/>
      <c r="R209" s="3019"/>
      <c r="T209" s="3018"/>
      <c r="U209" s="3018"/>
      <c r="V209" s="3018"/>
      <c r="W209" s="3018"/>
      <c r="X209" s="3018"/>
      <c r="Y209" s="3018"/>
      <c r="Z209" s="1404"/>
      <c r="AA209" s="1404"/>
      <c r="AB209" s="3016">
        <f t="shared" si="0"/>
        <v>0</v>
      </c>
      <c r="AC209" s="3016"/>
      <c r="AD209" s="3016"/>
      <c r="AE209" s="3016"/>
      <c r="AF209" s="3016"/>
      <c r="AG209" s="3016"/>
      <c r="AH209" s="1371"/>
      <c r="AI209" s="1371"/>
      <c r="AJ209" s="1371"/>
      <c r="AK209" s="1024"/>
    </row>
    <row r="210" spans="1:37">
      <c r="A210" s="1016"/>
      <c r="B210" s="3057" t="s">
        <v>1383</v>
      </c>
      <c r="C210" s="3057"/>
      <c r="D210" s="3057"/>
      <c r="E210" s="3057"/>
      <c r="F210" s="3057"/>
      <c r="G210" s="3057"/>
      <c r="I210" s="3022"/>
      <c r="J210" s="3022"/>
      <c r="K210" s="3022"/>
      <c r="L210" s="1798"/>
      <c r="N210" s="3019"/>
      <c r="O210" s="3019"/>
      <c r="P210" s="3019"/>
      <c r="Q210" s="3019"/>
      <c r="R210" s="3019"/>
      <c r="T210" s="3018"/>
      <c r="U210" s="3018"/>
      <c r="V210" s="3018"/>
      <c r="W210" s="3018"/>
      <c r="X210" s="3018"/>
      <c r="Y210" s="3018"/>
      <c r="Z210" s="1404"/>
      <c r="AA210" s="1404"/>
      <c r="AB210" s="3016">
        <f t="shared" si="0"/>
        <v>0</v>
      </c>
      <c r="AC210" s="3016"/>
      <c r="AD210" s="3016"/>
      <c r="AE210" s="3016"/>
      <c r="AF210" s="3016"/>
      <c r="AG210" s="3016"/>
      <c r="AH210" s="1371"/>
      <c r="AI210" s="1371"/>
      <c r="AJ210" s="1371"/>
      <c r="AK210" s="1024"/>
    </row>
    <row r="211" spans="1:37">
      <c r="A211" s="1016"/>
      <c r="B211" s="3057" t="s">
        <v>1383</v>
      </c>
      <c r="C211" s="3057"/>
      <c r="D211" s="3057"/>
      <c r="E211" s="3057"/>
      <c r="F211" s="3057"/>
      <c r="G211" s="3057"/>
      <c r="I211" s="3022"/>
      <c r="J211" s="3022"/>
      <c r="K211" s="3022"/>
      <c r="L211" s="1810"/>
      <c r="N211" s="3019"/>
      <c r="O211" s="3019"/>
      <c r="P211" s="3019"/>
      <c r="Q211" s="3019"/>
      <c r="R211" s="3019"/>
      <c r="T211" s="3018"/>
      <c r="U211" s="3018"/>
      <c r="V211" s="3018"/>
      <c r="W211" s="3018"/>
      <c r="X211" s="3018"/>
      <c r="Y211" s="3018"/>
      <c r="Z211" s="1404"/>
      <c r="AA211" s="1404"/>
      <c r="AB211" s="3016">
        <f t="shared" si="0"/>
        <v>0</v>
      </c>
      <c r="AC211" s="3016"/>
      <c r="AD211" s="3016"/>
      <c r="AE211" s="3016"/>
      <c r="AF211" s="3016"/>
      <c r="AG211" s="3016"/>
      <c r="AH211" s="1371"/>
      <c r="AI211" s="1371"/>
      <c r="AJ211" s="1371"/>
      <c r="AK211" s="1024"/>
    </row>
    <row r="212" spans="1:37">
      <c r="A212" s="1016"/>
      <c r="B212" s="3057" t="s">
        <v>1383</v>
      </c>
      <c r="C212" s="3057"/>
      <c r="D212" s="3057"/>
      <c r="E212" s="3057"/>
      <c r="F212" s="3057"/>
      <c r="G212" s="3057"/>
      <c r="I212" s="3022"/>
      <c r="J212" s="3022"/>
      <c r="K212" s="3022"/>
      <c r="L212" s="1810"/>
      <c r="N212" s="3019"/>
      <c r="O212" s="3019"/>
      <c r="P212" s="3019"/>
      <c r="Q212" s="3019"/>
      <c r="R212" s="3019"/>
      <c r="T212" s="3018"/>
      <c r="U212" s="3018"/>
      <c r="V212" s="3018"/>
      <c r="W212" s="3018"/>
      <c r="X212" s="3018"/>
      <c r="Y212" s="3018"/>
      <c r="Z212" s="1404"/>
      <c r="AA212" s="1404"/>
      <c r="AB212" s="3016">
        <f t="shared" si="0"/>
        <v>0</v>
      </c>
      <c r="AC212" s="3016"/>
      <c r="AD212" s="3016"/>
      <c r="AE212" s="3016"/>
      <c r="AF212" s="3016"/>
      <c r="AG212" s="3016"/>
      <c r="AH212" s="1371"/>
      <c r="AI212" s="1371"/>
      <c r="AJ212" s="1371"/>
      <c r="AK212" s="1024"/>
    </row>
    <row r="213" spans="1:37">
      <c r="A213" s="1016"/>
      <c r="B213" s="3057" t="s">
        <v>1383</v>
      </c>
      <c r="C213" s="3057"/>
      <c r="D213" s="3057"/>
      <c r="E213" s="3057"/>
      <c r="F213" s="3057"/>
      <c r="G213" s="3057"/>
      <c r="I213" s="3022"/>
      <c r="J213" s="3022"/>
      <c r="K213" s="3022"/>
      <c r="L213" s="1810"/>
      <c r="N213" s="3019"/>
      <c r="O213" s="3019"/>
      <c r="P213" s="3019"/>
      <c r="Q213" s="3019"/>
      <c r="R213" s="3019"/>
      <c r="T213" s="3018"/>
      <c r="U213" s="3018"/>
      <c r="V213" s="3018"/>
      <c r="W213" s="3018"/>
      <c r="X213" s="3018"/>
      <c r="Y213" s="3018"/>
      <c r="Z213" s="1404"/>
      <c r="AA213" s="1404"/>
      <c r="AB213" s="3016">
        <f t="shared" si="0"/>
        <v>0</v>
      </c>
      <c r="AC213" s="3016"/>
      <c r="AD213" s="3016"/>
      <c r="AE213" s="3016"/>
      <c r="AF213" s="3016"/>
      <c r="AG213" s="3016"/>
      <c r="AH213" s="1371"/>
      <c r="AI213" s="1371"/>
      <c r="AJ213" s="1371"/>
      <c r="AK213" s="1024"/>
    </row>
    <row r="214" spans="1:37">
      <c r="A214" s="1016"/>
      <c r="B214" s="3057" t="s">
        <v>1383</v>
      </c>
      <c r="C214" s="3057"/>
      <c r="D214" s="3057"/>
      <c r="E214" s="3057"/>
      <c r="F214" s="3057"/>
      <c r="G214" s="3057"/>
      <c r="I214" s="3022"/>
      <c r="J214" s="3022"/>
      <c r="K214" s="3022"/>
      <c r="L214" s="1810"/>
      <c r="N214" s="3019"/>
      <c r="O214" s="3019"/>
      <c r="P214" s="3019"/>
      <c r="Q214" s="3019"/>
      <c r="R214" s="3019"/>
      <c r="T214" s="3018"/>
      <c r="U214" s="3018"/>
      <c r="V214" s="3018"/>
      <c r="W214" s="3018"/>
      <c r="X214" s="3018"/>
      <c r="Y214" s="3018"/>
      <c r="Z214" s="1404"/>
      <c r="AA214" s="1404"/>
      <c r="AB214" s="3016">
        <f t="shared" si="0"/>
        <v>0</v>
      </c>
      <c r="AC214" s="3016"/>
      <c r="AD214" s="3016"/>
      <c r="AE214" s="3016"/>
      <c r="AF214" s="3016"/>
      <c r="AG214" s="3016"/>
      <c r="AH214" s="1371"/>
      <c r="AI214" s="1371"/>
      <c r="AJ214" s="1371"/>
      <c r="AK214" s="1024"/>
    </row>
    <row r="215" spans="1:37">
      <c r="A215" s="1016"/>
      <c r="B215" s="3057" t="s">
        <v>1383</v>
      </c>
      <c r="C215" s="3057"/>
      <c r="D215" s="3057"/>
      <c r="E215" s="3057"/>
      <c r="F215" s="3057"/>
      <c r="G215" s="3057"/>
      <c r="I215" s="3022"/>
      <c r="J215" s="3022"/>
      <c r="K215" s="3022"/>
      <c r="L215" s="1810"/>
      <c r="N215" s="3019"/>
      <c r="O215" s="3019"/>
      <c r="P215" s="3019"/>
      <c r="Q215" s="3019"/>
      <c r="R215" s="3019"/>
      <c r="T215" s="3018"/>
      <c r="U215" s="3018"/>
      <c r="V215" s="3018"/>
      <c r="W215" s="3018"/>
      <c r="X215" s="3018"/>
      <c r="Y215" s="3018"/>
      <c r="Z215" s="1404"/>
      <c r="AA215" s="1404"/>
      <c r="AB215" s="3016">
        <f t="shared" si="0"/>
        <v>0</v>
      </c>
      <c r="AC215" s="3016"/>
      <c r="AD215" s="3016"/>
      <c r="AE215" s="3016"/>
      <c r="AF215" s="3016"/>
      <c r="AG215" s="3016"/>
      <c r="AH215" s="1371"/>
      <c r="AI215" s="1371"/>
      <c r="AJ215" s="1371"/>
      <c r="AK215" s="1024"/>
    </row>
    <row r="216" spans="1:37">
      <c r="A216" s="1016"/>
      <c r="B216" s="3057" t="s">
        <v>1383</v>
      </c>
      <c r="C216" s="3057"/>
      <c r="D216" s="3057"/>
      <c r="E216" s="3057"/>
      <c r="F216" s="3057"/>
      <c r="G216" s="3057"/>
      <c r="I216" s="3218"/>
      <c r="J216" s="3218"/>
      <c r="K216" s="3218"/>
      <c r="L216" s="1810"/>
      <c r="N216" s="3019"/>
      <c r="O216" s="3019"/>
      <c r="P216" s="3019"/>
      <c r="Q216" s="3019"/>
      <c r="R216" s="3019"/>
      <c r="T216" s="3018"/>
      <c r="U216" s="3018"/>
      <c r="V216" s="3018"/>
      <c r="W216" s="3018"/>
      <c r="X216" s="3018"/>
      <c r="Y216" s="3018"/>
      <c r="Z216" s="1404"/>
      <c r="AA216" s="1404"/>
      <c r="AB216" s="3024">
        <f t="shared" si="0"/>
        <v>0</v>
      </c>
      <c r="AC216" s="3024"/>
      <c r="AD216" s="3024"/>
      <c r="AE216" s="3024"/>
      <c r="AF216" s="3024"/>
      <c r="AG216" s="302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16">
        <f>SUM(AB207:AB216)</f>
        <v>0</v>
      </c>
      <c r="AC217" s="3016"/>
      <c r="AD217" s="3016"/>
      <c r="AE217" s="3016"/>
      <c r="AF217" s="3016"/>
      <c r="AG217" s="301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9"/>
      <c r="AC223" s="3059"/>
      <c r="AD223" s="3059"/>
      <c r="AE223" s="3059"/>
      <c r="AF223" s="3059"/>
      <c r="AG223" s="305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9"/>
      <c r="AC226" s="3059"/>
      <c r="AD226" s="3059"/>
      <c r="AE226" s="3059"/>
      <c r="AF226" s="3059"/>
      <c r="AG226" s="305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5"/>
      <c r="AC227" s="3015"/>
      <c r="AD227" s="3015"/>
      <c r="AE227" s="3015"/>
      <c r="AF227" s="3015"/>
      <c r="AG227" s="301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5">
        <f>IFERROR(AB226/AB227,0)</f>
        <v>0</v>
      </c>
      <c r="AC228" s="3025"/>
      <c r="AD228" s="3025"/>
      <c r="AE228" s="3025"/>
      <c r="AF228" s="3025"/>
      <c r="AG228" s="302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3">
        <f>MAX(AB223,AB228)</f>
        <v>0</v>
      </c>
      <c r="AC230" s="3053"/>
      <c r="AD230" s="3053"/>
      <c r="AE230" s="3053"/>
      <c r="AF230" s="3053"/>
      <c r="AG230" s="30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3">
        <f>AB217+AB230</f>
        <v>0</v>
      </c>
      <c r="AC233" s="3023"/>
      <c r="AD233" s="3023"/>
      <c r="AE233" s="3023"/>
      <c r="AF233" s="3023"/>
      <c r="AG233" s="302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0">
        <v>0.05</v>
      </c>
      <c r="AC234" s="3200"/>
      <c r="AD234" s="3200"/>
      <c r="AE234" s="3200"/>
      <c r="AF234" s="3200"/>
      <c r="AG234" s="320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1">
        <f>AB233-(AB233*AB234)</f>
        <v>0</v>
      </c>
      <c r="AC235" s="3201"/>
      <c r="AD235" s="3201"/>
      <c r="AE235" s="3201"/>
      <c r="AF235" s="3201"/>
      <c r="AG235" s="320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3">
        <f>AB235/AB241</f>
        <v>0</v>
      </c>
      <c r="AC237" s="3023"/>
      <c r="AD237" s="3023"/>
      <c r="AE237" s="3023"/>
      <c r="AF237" s="3023"/>
      <c r="AG237" s="302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3">
        <v>0.04</v>
      </c>
      <c r="AC240" s="3203"/>
      <c r="AD240" s="3203"/>
      <c r="AE240" s="3203"/>
      <c r="AF240" s="3203"/>
      <c r="AG240" s="32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4">
        <v>1.1499999999999999</v>
      </c>
      <c r="AC241" s="3204"/>
      <c r="AD241" s="3204"/>
      <c r="AE241" s="3204"/>
      <c r="AF241" s="3204"/>
      <c r="AG241" s="32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3">
        <f>PV(AB240/12,AB239*12,-AB237/12, ,0)</f>
        <v>0</v>
      </c>
      <c r="AC243" s="3194"/>
      <c r="AD243" s="3194"/>
      <c r="AE243" s="3194"/>
      <c r="AF243" s="3194"/>
      <c r="AG243" s="31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7">
        <f>IFERROR(('Sources and Uses Budget'!D105/'Sources and Uses Budget'!B105),0)</f>
        <v>0</v>
      </c>
      <c r="AC249" s="3198"/>
      <c r="AD249" s="3198"/>
      <c r="AE249" s="3198"/>
      <c r="AF249" s="3198"/>
      <c r="AG249" s="31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1">
        <f>AD194*(1-AB249)</f>
        <v>8032959</v>
      </c>
      <c r="AH251" s="3031"/>
      <c r="AI251" s="3031"/>
      <c r="AJ251" s="3031"/>
      <c r="AK251" s="303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1">
        <f>'Sources and Uses Budget'!C105</f>
        <v>53072424</v>
      </c>
      <c r="AH252" s="3031"/>
      <c r="AI252" s="3031"/>
      <c r="AJ252" s="3031"/>
      <c r="AK252" s="303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9">
        <f>ROUNDDOWN(IF(AND(C274="Yes",AK72=10),((AG251*2)/AG252),AG251/AG252),2)</f>
        <v>0.15</v>
      </c>
      <c r="AH253" s="3189"/>
      <c r="AI253" s="3189"/>
      <c r="AJ253" s="3189"/>
      <c r="AK253" s="3189"/>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2">
        <f>IF(AG253=0,0,IF((AG253*100)&gt;8,8,(AG253*100)))</f>
        <v>8</v>
      </c>
      <c r="AL256" s="3182"/>
      <c r="AM256" s="318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8" t="s">
        <v>578</v>
      </c>
      <c r="D261" s="3048"/>
      <c r="E261" s="940"/>
      <c r="F261" s="2999" t="s">
        <v>2412</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43"/>
      <c r="AF261" s="1066"/>
      <c r="AG261" s="3187" t="s">
        <v>1633</v>
      </c>
      <c r="AH261" s="3187"/>
      <c r="AI261" s="3187"/>
      <c r="AJ261" s="3187"/>
      <c r="AK261" s="1026"/>
      <c r="AL261" s="1026"/>
      <c r="AM261" s="1026"/>
      <c r="AN261" s="1061"/>
      <c r="AO261" s="943"/>
      <c r="AS261" s="21"/>
      <c r="AT261" s="21"/>
    </row>
    <row r="262" spans="1:81" ht="13.7" customHeight="1">
      <c r="A262" s="1060"/>
      <c r="B262" s="1065"/>
      <c r="C262" s="1067"/>
      <c r="D262" s="943"/>
      <c r="E262" s="940"/>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8"/>
      <c r="D264" s="3188"/>
      <c r="E264" s="940"/>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43"/>
      <c r="AF264" s="1066"/>
      <c r="AG264" s="3187"/>
      <c r="AH264" s="3187"/>
      <c r="AI264" s="3187"/>
      <c r="AJ264" s="3187"/>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2">
        <f>IF($C$261="yes",10,0)</f>
        <v>10</v>
      </c>
      <c r="AL267" s="3182"/>
      <c r="AM267" s="318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2378</v>
      </c>
      <c r="AH270" s="1034" t="s">
        <v>1563</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0" t="s">
        <v>1652</v>
      </c>
      <c r="B274" s="3160"/>
      <c r="C274" s="3048" t="s">
        <v>626</v>
      </c>
      <c r="D274" s="3048"/>
      <c r="E274" s="940"/>
      <c r="F274" s="3184" t="s">
        <v>1653</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7" t="s">
        <v>1655</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7" t="s">
        <v>1656</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7" t="s">
        <v>1657</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0" t="s">
        <v>1658</v>
      </c>
      <c r="B284" s="3160"/>
      <c r="C284" s="3048" t="s">
        <v>626</v>
      </c>
      <c r="D284" s="304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7" t="s">
        <v>1661</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4"/>
      <c r="AF285" s="944"/>
      <c r="AG285" s="944"/>
      <c r="AH285" s="944"/>
      <c r="AI285" s="944"/>
      <c r="AJ285" s="943"/>
      <c r="AK285" s="1026"/>
      <c r="AL285" s="1026"/>
      <c r="AM285" s="1026"/>
      <c r="AR285" s="1086"/>
    </row>
    <row r="286" spans="1:53" ht="15" customHeight="1">
      <c r="A286" s="1060"/>
      <c r="B286" s="944"/>
      <c r="C286" s="943"/>
      <c r="D286" s="944"/>
      <c r="E286" s="943"/>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4"/>
      <c r="AF286" s="944"/>
      <c r="AG286" s="944"/>
      <c r="AH286" s="944"/>
      <c r="AI286" s="944"/>
      <c r="AJ286" s="943"/>
      <c r="AK286" s="1026"/>
      <c r="AL286" s="1026"/>
      <c r="AM286" s="1026"/>
      <c r="AR286" s="1086"/>
    </row>
    <row r="287" spans="1:53">
      <c r="A287" s="1060"/>
      <c r="B287" s="944"/>
      <c r="C287" s="943"/>
      <c r="D287" s="944"/>
      <c r="E287" s="943"/>
      <c r="F287" s="3177" t="s">
        <v>1656</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4"/>
      <c r="AF288" s="944"/>
      <c r="AG288" s="944"/>
      <c r="AH288" s="944"/>
      <c r="AI288" s="944"/>
      <c r="AJ288" s="943"/>
      <c r="AK288" s="1026"/>
      <c r="AL288" s="1026"/>
      <c r="AM288" s="1026"/>
      <c r="AP288" s="1079"/>
      <c r="AQ288" s="968"/>
      <c r="AR288" s="1086"/>
    </row>
    <row r="289" spans="1:60">
      <c r="A289" s="1060"/>
      <c r="B289" s="944"/>
      <c r="C289" s="943"/>
      <c r="D289" s="944"/>
      <c r="E289" s="943"/>
      <c r="F289" s="3177" t="s">
        <v>1662</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4"/>
      <c r="AF289" s="944"/>
      <c r="AG289" s="944"/>
      <c r="AH289" s="944"/>
      <c r="AI289" s="944"/>
      <c r="AJ289" s="943"/>
      <c r="AK289" s="1026"/>
      <c r="AL289" s="1026"/>
      <c r="AM289" s="1026"/>
      <c r="AP289" s="1079"/>
      <c r="AQ289" s="968"/>
      <c r="AR289" s="1086"/>
    </row>
    <row r="290" spans="1:60">
      <c r="A290" s="1060"/>
      <c r="B290" s="944"/>
      <c r="C290" s="943"/>
      <c r="D290" s="944"/>
      <c r="E290" s="943"/>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0" t="s">
        <v>1663</v>
      </c>
      <c r="B292" s="3160"/>
      <c r="C292" s="3048" t="s">
        <v>626</v>
      </c>
      <c r="D292" s="304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77" t="s">
        <v>1664</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4"/>
      <c r="AF293" s="944"/>
      <c r="AG293" s="1012"/>
      <c r="AH293" s="944"/>
      <c r="AI293" s="944"/>
      <c r="AJ293" s="943"/>
      <c r="AK293" s="1026"/>
      <c r="AL293" s="1026"/>
      <c r="AM293" s="1026"/>
      <c r="AN293" s="110"/>
      <c r="AO293" s="51"/>
      <c r="AP293" s="950" t="s">
        <v>1383</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67" t="s">
        <v>1383</v>
      </c>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1"/>
      <c r="D306" s="1791"/>
      <c r="E306" s="940"/>
      <c r="F306" s="1098"/>
      <c r="G306" s="969" t="s">
        <v>725</v>
      </c>
      <c r="H306" s="969"/>
      <c r="I306" s="3173" t="s">
        <v>1383</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4"/>
      <c r="AF306" s="944"/>
      <c r="AG306" s="986"/>
      <c r="AH306" s="944"/>
      <c r="AI306" s="944"/>
      <c r="AJ306" s="943"/>
      <c r="AK306" s="1026"/>
      <c r="AL306" s="1026"/>
      <c r="AM306" s="1026"/>
      <c r="AN306" s="110"/>
      <c r="AO306" s="51"/>
      <c r="AP306" s="950" t="s">
        <v>1986</v>
      </c>
      <c r="AR306" s="21"/>
    </row>
    <row r="307" spans="1:60">
      <c r="A307" s="1060"/>
      <c r="B307" s="944"/>
      <c r="C307" s="1791"/>
      <c r="D307" s="1791"/>
      <c r="E307" s="940"/>
      <c r="F307" s="1098"/>
      <c r="G307" s="969"/>
      <c r="H307" s="969"/>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3" t="s">
        <v>1383</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60" t="s">
        <v>1667</v>
      </c>
      <c r="B315" s="3160"/>
      <c r="C315" s="3048" t="s">
        <v>578</v>
      </c>
      <c r="D315" s="3048"/>
      <c r="E315" s="940"/>
      <c r="F315" s="3161" t="s">
        <v>1668</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4"/>
      <c r="AF316" s="944"/>
      <c r="AG316" s="944"/>
      <c r="AH316" s="944"/>
      <c r="AI316" s="944"/>
      <c r="AJ316" s="943"/>
      <c r="AK316" s="1026"/>
      <c r="AL316" s="1026"/>
      <c r="AM316" s="1026"/>
      <c r="AN316" s="110"/>
      <c r="AO316" s="51"/>
    </row>
    <row r="317" spans="1:60" ht="15" customHeight="1">
      <c r="A317" s="1060"/>
      <c r="B317" s="944"/>
      <c r="C317" s="944"/>
      <c r="D317" s="944"/>
      <c r="E317" s="944"/>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4">
        <f>AP279</f>
        <v>9</v>
      </c>
      <c r="AL320" s="3035"/>
      <c r="AM320" s="303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6" t="s">
        <v>1584</v>
      </c>
      <c r="AF323" s="3116"/>
      <c r="AG323" s="3116"/>
      <c r="AH323" s="3116"/>
      <c r="AI323" s="3116"/>
      <c r="AJ323" s="3116"/>
      <c r="AK323" s="311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2" t="s">
        <v>2189</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8"/>
      <c r="AL325" s="967"/>
      <c r="AM325" s="1027"/>
      <c r="AN325" s="1000"/>
    </row>
    <row r="326" spans="1:42" s="943" customFormat="1" ht="12.75" customHeight="1">
      <c r="A326" s="1027"/>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8"/>
      <c r="AL326" s="967"/>
      <c r="AM326" s="1027"/>
      <c r="AN326" s="1000"/>
    </row>
    <row r="327" spans="1:42" s="943" customFormat="1" ht="12.75" customHeight="1">
      <c r="A327" s="1027"/>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8"/>
      <c r="AL327" s="967"/>
      <c r="AM327" s="1027"/>
      <c r="AN327" s="1000"/>
    </row>
    <row r="328" spans="1:42" s="943" customFormat="1" ht="12.75" customHeight="1">
      <c r="A328" s="1027"/>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8"/>
      <c r="AL328" s="967"/>
      <c r="AM328" s="1027"/>
      <c r="AN328" s="1000"/>
    </row>
    <row r="329" spans="1:42" s="943" customFormat="1" ht="12.75" customHeight="1">
      <c r="A329" s="1027"/>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8"/>
      <c r="AL329" s="967"/>
      <c r="AM329" s="1027"/>
      <c r="AN329" s="1000"/>
    </row>
    <row r="330" spans="1:42" s="943" customFormat="1" ht="12.75" customHeight="1">
      <c r="A330" s="1027"/>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8"/>
      <c r="AL330" s="967"/>
      <c r="AM330" s="1027"/>
      <c r="AN330" s="1000"/>
    </row>
    <row r="331" spans="1:42" s="943" customFormat="1" ht="12.75" customHeight="1">
      <c r="A331" s="1027"/>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8"/>
      <c r="AL331" s="967"/>
      <c r="AM331" s="1027"/>
      <c r="AN331" s="1000"/>
    </row>
    <row r="332" spans="1:42" ht="12.75" customHeight="1">
      <c r="A332" s="1027"/>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8"/>
      <c r="AL332" s="967"/>
      <c r="AM332" s="1027"/>
    </row>
    <row r="333" spans="1:42" s="943" customFormat="1" ht="12.75" customHeight="1">
      <c r="A333" s="1060"/>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1" t="s">
        <v>1608</v>
      </c>
      <c r="AG339" s="3151"/>
      <c r="AH339" s="3151"/>
      <c r="AI339" s="3151"/>
      <c r="AJ339" s="3151"/>
      <c r="AK339" s="3151"/>
      <c r="AL339" s="3151"/>
      <c r="AM339" s="1026"/>
      <c r="AN339" s="1000"/>
    </row>
    <row r="340" spans="1:42" s="943" customFormat="1" ht="12.75"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51" t="s">
        <v>1674</v>
      </c>
      <c r="AG346" s="3151"/>
      <c r="AH346" s="3151"/>
      <c r="AI346" s="3151"/>
      <c r="AJ346" s="3151"/>
      <c r="AK346" s="3151"/>
      <c r="AL346" s="3151"/>
      <c r="AM346" s="1026"/>
      <c r="AN346" s="1000"/>
    </row>
    <row r="347" spans="1:42" s="943" customFormat="1" ht="12.75"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51" t="s">
        <v>1648</v>
      </c>
      <c r="AG352" s="3151"/>
      <c r="AH352" s="3151"/>
      <c r="AI352" s="3151"/>
      <c r="AJ352" s="3151"/>
      <c r="AK352" s="3151"/>
      <c r="AL352" s="3151"/>
      <c r="AM352" s="1026"/>
      <c r="AN352" s="1000"/>
      <c r="AO352" s="1118" t="s">
        <v>1676</v>
      </c>
      <c r="AP352" s="943">
        <v>3</v>
      </c>
    </row>
    <row r="353" spans="1:53" s="943" customFormat="1" ht="12.75"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51" t="s">
        <v>1677</v>
      </c>
      <c r="AG358" s="3151"/>
      <c r="AH358" s="3151"/>
      <c r="AI358" s="3151"/>
      <c r="AJ358" s="3151"/>
      <c r="AK358" s="3151"/>
      <c r="AL358" s="3151"/>
      <c r="AM358" s="1026"/>
      <c r="AN358" s="1000"/>
      <c r="AO358" s="943" t="str">
        <f>X395</f>
        <v>N/A</v>
      </c>
    </row>
    <row r="359" spans="1:53" s="943" customFormat="1" ht="12.75"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2393</v>
      </c>
      <c r="O362" s="3159" t="s">
        <v>1383</v>
      </c>
      <c r="P362" s="3159"/>
      <c r="Q362" s="3159"/>
      <c r="R362" s="3159"/>
      <c r="S362" s="3159"/>
      <c r="T362" s="3159"/>
      <c r="U362" s="3159"/>
      <c r="V362" s="3159"/>
      <c r="W362" s="3159"/>
      <c r="X362" s="3159"/>
      <c r="Y362" s="3159"/>
      <c r="Z362" s="3159"/>
      <c r="AA362" s="3159"/>
      <c r="AB362" s="3159"/>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51" t="s">
        <v>1622</v>
      </c>
      <c r="AG364" s="3151"/>
      <c r="AH364" s="3151"/>
      <c r="AI364" s="3151"/>
      <c r="AJ364" s="3151"/>
      <c r="AK364" s="3151"/>
      <c r="AL364" s="3151"/>
      <c r="AM364" s="1026"/>
      <c r="AN364" s="1001"/>
    </row>
    <row r="365" spans="1:53" s="943" customFormat="1" ht="12.75"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1678</v>
      </c>
      <c r="E367" s="1642"/>
      <c r="F367" s="1642"/>
      <c r="G367" s="1642"/>
      <c r="H367" s="3051" t="s">
        <v>725</v>
      </c>
      <c r="I367" s="3051"/>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1678</v>
      </c>
      <c r="F375" s="1642"/>
      <c r="G375" s="1642"/>
      <c r="I375" s="3158" t="s">
        <v>626</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56" t="s">
        <v>626</v>
      </c>
      <c r="C377" s="3156"/>
      <c r="D377" s="1643"/>
      <c r="E377" s="3052" t="s">
        <v>1681</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643"/>
      <c r="AI377" s="1643"/>
      <c r="AJ377" s="1643"/>
      <c r="AK377" s="1643"/>
      <c r="AL377" s="1643"/>
      <c r="AN377" s="1000"/>
    </row>
    <row r="378" spans="1:46" s="943" customFormat="1" ht="12.75" customHeight="1">
      <c r="A378" s="1060"/>
      <c r="B378" s="1023"/>
      <c r="C378" s="1638"/>
      <c r="D378" s="1643"/>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643"/>
      <c r="AI378" s="1643"/>
      <c r="AJ378" s="1643"/>
      <c r="AK378" s="1643"/>
      <c r="AL378" s="1643"/>
      <c r="AN378" s="1000"/>
    </row>
    <row r="379" spans="1:46" s="943" customFormat="1" ht="12.75" customHeight="1">
      <c r="A379" s="1060"/>
      <c r="B379" s="1023"/>
      <c r="C379" s="1638"/>
      <c r="D379" s="1643"/>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643"/>
      <c r="AI379" s="1643"/>
      <c r="AJ379" s="1643"/>
      <c r="AK379" s="1643"/>
      <c r="AL379" s="1643"/>
      <c r="AN379" s="1000"/>
    </row>
    <row r="380" spans="1:46" s="943" customFormat="1" ht="12.75" customHeight="1">
      <c r="A380" s="1060"/>
      <c r="B380" s="1023"/>
      <c r="C380" s="1638"/>
      <c r="D380" s="1645"/>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34">
        <f>VLOOKUP($H$367,$AO$347:$AP$352,2,FALSE)+VLOOKUP($I$375,$AO$374:$AP$376,2,FALSE)</f>
        <v>7</v>
      </c>
      <c r="AK382" s="3036"/>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7" t="s">
        <v>2190</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32"/>
      <c r="AF386" s="3151" t="s">
        <v>1622</v>
      </c>
      <c r="AG386" s="3151"/>
      <c r="AH386" s="3151"/>
      <c r="AI386" s="3151"/>
      <c r="AJ386" s="3151"/>
      <c r="AK386" s="3151"/>
      <c r="AL386" s="3151"/>
      <c r="AM386" s="1026"/>
      <c r="AN386" s="1125"/>
    </row>
    <row r="387" spans="1:42" s="943" customFormat="1" ht="12.75" customHeight="1">
      <c r="A387" s="1126"/>
      <c r="B387" s="1023"/>
      <c r="C387" s="1638"/>
      <c r="D387" s="1106"/>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56" t="s">
        <v>626</v>
      </c>
      <c r="Y395" s="3156"/>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51" t="s">
        <v>1686</v>
      </c>
      <c r="AG397" s="3151"/>
      <c r="AH397" s="3151"/>
      <c r="AI397" s="3151"/>
      <c r="AJ397" s="3151"/>
      <c r="AK397" s="3151"/>
      <c r="AL397" s="3151"/>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051" t="s">
        <v>725</v>
      </c>
      <c r="I399" s="3051"/>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34">
        <f>VLOOKUP($H$399,$AO$366:$AP$368,2,FALSE)</f>
        <v>3</v>
      </c>
      <c r="AK401" s="3036"/>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51" t="s">
        <v>1622</v>
      </c>
      <c r="AG405" s="3151"/>
      <c r="AH405" s="3151"/>
      <c r="AI405" s="3151"/>
      <c r="AJ405" s="3151"/>
      <c r="AK405" s="3151"/>
      <c r="AL405" s="3151"/>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1" t="s">
        <v>1686</v>
      </c>
      <c r="AG408" s="3151"/>
      <c r="AH408" s="3151"/>
      <c r="AI408" s="3151"/>
      <c r="AJ408" s="3151"/>
      <c r="AK408" s="3151"/>
      <c r="AL408" s="3151"/>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051" t="s">
        <v>725</v>
      </c>
      <c r="I411" s="30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34">
        <f>VLOOKUP(H411,AT366:AU368,2,FALSE)</f>
        <v>3</v>
      </c>
      <c r="AK413" s="3036"/>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2" t="s">
        <v>1698</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7"/>
      <c r="AE418" s="927"/>
      <c r="AF418" s="3151" t="s">
        <v>1648</v>
      </c>
      <c r="AG418" s="3151"/>
      <c r="AH418" s="3151"/>
      <c r="AI418" s="3151"/>
      <c r="AJ418" s="3151"/>
      <c r="AK418" s="3151"/>
      <c r="AL418" s="3151"/>
      <c r="AN418" s="1000"/>
    </row>
    <row r="419" spans="1:42" s="943" customFormat="1" ht="12.75" customHeight="1">
      <c r="B419" s="927"/>
      <c r="C419" s="986"/>
      <c r="D419" s="927"/>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7"/>
      <c r="AE419" s="927"/>
      <c r="AF419" s="927"/>
      <c r="AG419" s="927"/>
      <c r="AH419" s="927"/>
      <c r="AI419" s="927"/>
      <c r="AJ419" s="927"/>
      <c r="AK419" s="927"/>
      <c r="AL419" s="927"/>
      <c r="AN419" s="1000"/>
    </row>
    <row r="420" spans="1:42" s="943" customFormat="1" ht="12.75" customHeight="1">
      <c r="B420" s="927"/>
      <c r="C420" s="986"/>
      <c r="D420" s="1106"/>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2" t="s">
        <v>1699</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7"/>
      <c r="AE422" s="927"/>
      <c r="AF422" s="3151" t="s">
        <v>1677</v>
      </c>
      <c r="AG422" s="3151"/>
      <c r="AH422" s="3151"/>
      <c r="AI422" s="3151"/>
      <c r="AJ422" s="3151"/>
      <c r="AK422" s="3151"/>
      <c r="AL422" s="3151"/>
      <c r="AN422" s="1000"/>
    </row>
    <row r="423" spans="1:42" s="943" customFormat="1" ht="12.75" customHeight="1">
      <c r="B423" s="927"/>
      <c r="C423" s="986"/>
      <c r="D423" s="927"/>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7"/>
      <c r="AE423" s="927"/>
      <c r="AF423" s="927"/>
      <c r="AG423" s="927"/>
      <c r="AH423" s="927"/>
      <c r="AI423" s="927"/>
      <c r="AJ423" s="927"/>
      <c r="AK423" s="927"/>
      <c r="AL423" s="927"/>
      <c r="AN423" s="1000"/>
    </row>
    <row r="424" spans="1:42" s="943" customFormat="1" ht="15" customHeight="1">
      <c r="B424" s="927"/>
      <c r="C424" s="986"/>
      <c r="D424" s="1106"/>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2" t="s">
        <v>1700</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7"/>
      <c r="AE426" s="927"/>
      <c r="AF426" s="3151" t="s">
        <v>1622</v>
      </c>
      <c r="AG426" s="3151"/>
      <c r="AH426" s="3151"/>
      <c r="AI426" s="3151"/>
      <c r="AJ426" s="3151"/>
      <c r="AK426" s="3151"/>
      <c r="AL426" s="3151"/>
      <c r="AN426" s="1000"/>
    </row>
    <row r="427" spans="1:42" s="943" customFormat="1" ht="12.75" customHeight="1">
      <c r="A427" s="1060"/>
      <c r="B427" s="1023"/>
      <c r="C427" s="1639"/>
      <c r="D427" s="927"/>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7"/>
      <c r="AE427" s="3151"/>
      <c r="AF427" s="3151"/>
      <c r="AG427" s="3151"/>
      <c r="AH427" s="3151"/>
      <c r="AI427" s="3151"/>
      <c r="AJ427" s="3151"/>
      <c r="AK427" s="3151"/>
      <c r="AL427" s="1595"/>
      <c r="AM427" s="1026"/>
      <c r="AN427" s="1000"/>
      <c r="AO427" s="943" t="s">
        <v>626</v>
      </c>
      <c r="AP427" s="1120">
        <v>0</v>
      </c>
    </row>
    <row r="428" spans="1:42" s="943" customFormat="1" ht="12.75" customHeight="1">
      <c r="A428" s="1126"/>
      <c r="B428" s="927"/>
      <c r="C428" s="927"/>
      <c r="D428" s="1106"/>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1675</v>
      </c>
      <c r="E430" s="3052" t="s">
        <v>1701</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7"/>
      <c r="AE430" s="927"/>
      <c r="AF430" s="3151" t="s">
        <v>1677</v>
      </c>
      <c r="AG430" s="3151"/>
      <c r="AH430" s="3151"/>
      <c r="AI430" s="3151"/>
      <c r="AJ430" s="3151"/>
      <c r="AK430" s="3151"/>
      <c r="AL430" s="3151"/>
      <c r="AN430" s="1000"/>
    </row>
    <row r="431" spans="1:42" s="943" customFormat="1" ht="12.75" customHeight="1">
      <c r="A431" s="1115"/>
      <c r="B431" s="1023"/>
      <c r="C431" s="1655"/>
      <c r="D431" s="1106"/>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052" t="s">
        <v>1702</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7"/>
      <c r="AE434" s="927"/>
      <c r="AF434" s="3151" t="s">
        <v>1622</v>
      </c>
      <c r="AG434" s="3151"/>
      <c r="AH434" s="3151"/>
      <c r="AI434" s="3151"/>
      <c r="AJ434" s="3151"/>
      <c r="AK434" s="3151"/>
      <c r="AL434" s="3151"/>
      <c r="AM434" s="1065"/>
      <c r="AN434" s="1000"/>
    </row>
    <row r="435" spans="1:42" s="943" customFormat="1" ht="12.75" customHeight="1">
      <c r="A435" s="1060"/>
      <c r="B435" s="1023"/>
      <c r="C435" s="1639"/>
      <c r="D435" s="1106"/>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052" t="s">
        <v>1703</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7"/>
      <c r="AE438" s="927"/>
      <c r="AF438" s="3151" t="s">
        <v>1686</v>
      </c>
      <c r="AG438" s="3151"/>
      <c r="AH438" s="3151"/>
      <c r="AI438" s="3151"/>
      <c r="AJ438" s="3151"/>
      <c r="AK438" s="3151"/>
      <c r="AL438" s="3151"/>
      <c r="AM438" s="1065"/>
      <c r="AN438" s="1000"/>
    </row>
    <row r="439" spans="1:42" s="943" customFormat="1" ht="12.75" customHeight="1">
      <c r="A439" s="1598"/>
      <c r="B439" s="1006"/>
      <c r="C439" s="1636"/>
      <c r="D439" s="1106"/>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1689</v>
      </c>
      <c r="E442" s="3052" t="s">
        <v>1704</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7"/>
      <c r="AE442" s="927"/>
      <c r="AF442" s="3151" t="s">
        <v>1705</v>
      </c>
      <c r="AG442" s="3151"/>
      <c r="AH442" s="3151"/>
      <c r="AI442" s="3151"/>
      <c r="AJ442" s="3151"/>
      <c r="AK442" s="3151"/>
      <c r="AL442" s="3151"/>
      <c r="AM442" s="1065"/>
      <c r="AN442" s="1000"/>
      <c r="AO442" s="1118" t="s">
        <v>725</v>
      </c>
      <c r="AP442" s="943">
        <v>3</v>
      </c>
    </row>
    <row r="443" spans="1:42" s="943" customFormat="1" ht="12.75" customHeight="1">
      <c r="A443" s="1598"/>
      <c r="B443" s="1006"/>
      <c r="C443" s="1636"/>
      <c r="D443" s="1106"/>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051" t="s">
        <v>284</v>
      </c>
      <c r="I446" s="30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34">
        <f>VLOOKUP($H$446,$AO$394:$AP$401,2,FALSE)</f>
        <v>3</v>
      </c>
      <c r="AK448" s="3036"/>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052" t="s">
        <v>2186</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7"/>
      <c r="AD452" s="927"/>
      <c r="AE452" s="930"/>
      <c r="AF452" s="3151" t="s">
        <v>1622</v>
      </c>
      <c r="AG452" s="3151"/>
      <c r="AH452" s="3151"/>
      <c r="AI452" s="3151"/>
      <c r="AJ452" s="3151"/>
      <c r="AK452" s="3151"/>
      <c r="AL452" s="3151"/>
      <c r="AM452" s="1026"/>
      <c r="AN452" s="1001"/>
    </row>
    <row r="453" spans="1:42" s="1002" customFormat="1" ht="12.75" customHeight="1">
      <c r="A453" s="1060"/>
      <c r="B453" s="1023"/>
      <c r="C453" s="1648"/>
      <c r="D453" s="1106"/>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8"/>
      <c r="D454" s="1106"/>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052" t="s">
        <v>2188</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7"/>
      <c r="AD457" s="927"/>
      <c r="AE457" s="927"/>
      <c r="AF457" s="3151" t="s">
        <v>1686</v>
      </c>
      <c r="AG457" s="3151"/>
      <c r="AH457" s="3151"/>
      <c r="AI457" s="3151"/>
      <c r="AJ457" s="3151"/>
      <c r="AK457" s="3151"/>
      <c r="AL457" s="3151"/>
      <c r="AM457" s="1026"/>
      <c r="AN457" s="1000"/>
      <c r="AO457" s="1118" t="s">
        <v>542</v>
      </c>
      <c r="AP457" s="943">
        <v>1</v>
      </c>
    </row>
    <row r="458" spans="1:42" s="943" customFormat="1" ht="12" customHeight="1">
      <c r="A458" s="1026"/>
      <c r="B458" s="927"/>
      <c r="C458" s="1656"/>
      <c r="D458" s="927"/>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52" t="s">
        <v>2187</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051" t="s">
        <v>626</v>
      </c>
      <c r="I466" s="3051"/>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34">
        <f>VLOOKUP($H$466,$AO$413:$AP$415,2,FALSE)</f>
        <v>0</v>
      </c>
      <c r="AK468" s="303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725</v>
      </c>
      <c r="E472" s="3153" t="s">
        <v>2191</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7"/>
      <c r="AD472" s="927"/>
      <c r="AE472" s="927"/>
      <c r="AF472" s="3151" t="s">
        <v>1622</v>
      </c>
      <c r="AG472" s="3151"/>
      <c r="AH472" s="3151"/>
      <c r="AI472" s="3151"/>
      <c r="AJ472" s="3151"/>
      <c r="AK472" s="3151"/>
      <c r="AL472" s="3151"/>
      <c r="AM472" s="1026"/>
      <c r="AN472" s="1133"/>
      <c r="AP472" s="1135" t="s">
        <v>1714</v>
      </c>
    </row>
    <row r="473" spans="1:43" s="1134" customFormat="1" ht="11.85" customHeight="1">
      <c r="A473" s="1060"/>
      <c r="B473" s="1023"/>
      <c r="C473" s="1638"/>
      <c r="D473" s="1106"/>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39"/>
      <c r="D474" s="1106"/>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6"/>
      <c r="D476" s="1106" t="s">
        <v>542</v>
      </c>
      <c r="E476" s="3154" t="s">
        <v>1717</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7"/>
      <c r="AD476" s="927"/>
      <c r="AE476" s="927"/>
      <c r="AF476" s="3151" t="s">
        <v>1686</v>
      </c>
      <c r="AG476" s="3151"/>
      <c r="AH476" s="3151"/>
      <c r="AI476" s="3151"/>
      <c r="AJ476" s="3151"/>
      <c r="AK476" s="3151"/>
      <c r="AL476" s="3151"/>
      <c r="AM476" s="1026"/>
      <c r="AN476" s="1136"/>
    </row>
    <row r="477" spans="1:43" s="1134" customFormat="1" ht="12.75" customHeight="1">
      <c r="A477" s="1060"/>
      <c r="B477" s="1023"/>
      <c r="C477" s="1638"/>
      <c r="D477" s="1023"/>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8"/>
      <c r="D478" s="1023"/>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8"/>
      <c r="D480" s="1023" t="s">
        <v>1678</v>
      </c>
      <c r="E480" s="1642"/>
      <c r="F480" s="1642"/>
      <c r="G480" s="1642"/>
      <c r="H480" s="3051" t="s">
        <v>626</v>
      </c>
      <c r="I480" s="3051"/>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34">
        <f>VLOOKUP($H$480,$AO$413:$AP$415,2,FALSE)</f>
        <v>0</v>
      </c>
      <c r="AK482" s="3036"/>
      <c r="AL482" s="1005"/>
      <c r="AM482" s="1002"/>
      <c r="AN482" s="1138"/>
      <c r="AP482" s="3034"/>
      <c r="AQ482" s="3036"/>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725</v>
      </c>
      <c r="E486" s="3052" t="s">
        <v>2192</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7"/>
      <c r="AD486" s="927"/>
      <c r="AE486" s="927"/>
      <c r="AF486" s="3151" t="s">
        <v>1622</v>
      </c>
      <c r="AG486" s="3151"/>
      <c r="AH486" s="3151"/>
      <c r="AI486" s="3151"/>
      <c r="AJ486" s="3151"/>
      <c r="AK486" s="3151"/>
      <c r="AL486" s="3151"/>
      <c r="AM486" s="1026"/>
      <c r="AN486" s="1133"/>
      <c r="AT486" s="51"/>
      <c r="AU486" s="51"/>
      <c r="AV486" s="51"/>
      <c r="AW486" s="51"/>
      <c r="AX486" s="51"/>
      <c r="AY486" s="51"/>
      <c r="AZ486" s="51"/>
    </row>
    <row r="487" spans="1:81" s="1134" customFormat="1">
      <c r="A487" s="1060"/>
      <c r="B487" s="1023"/>
      <c r="C487" s="1638"/>
      <c r="D487" s="1106"/>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052" t="s">
        <v>1721</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7"/>
      <c r="AD489" s="927"/>
      <c r="AE489" s="927"/>
      <c r="AF489" s="3151" t="s">
        <v>1686</v>
      </c>
      <c r="AG489" s="3151"/>
      <c r="AH489" s="3151"/>
      <c r="AI489" s="3151"/>
      <c r="AJ489" s="3151"/>
      <c r="AK489" s="3151"/>
      <c r="AL489" s="3151"/>
      <c r="AM489" s="1026"/>
      <c r="AN489" s="1133"/>
      <c r="AT489" s="51"/>
      <c r="AU489" s="51"/>
      <c r="AV489" s="51"/>
      <c r="AW489" s="51"/>
      <c r="AX489" s="51"/>
      <c r="AY489" s="51"/>
      <c r="AZ489" s="51"/>
    </row>
    <row r="490" spans="1:81" s="1134" customFormat="1">
      <c r="A490" s="1060"/>
      <c r="B490" s="1023"/>
      <c r="C490" s="1638"/>
      <c r="D490" s="1023"/>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051" t="s">
        <v>626</v>
      </c>
      <c r="I492" s="3051"/>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34">
        <f>VLOOKUP($H$492,$AO$427:$AP$429,2,FALSE)</f>
        <v>0</v>
      </c>
      <c r="AK494" s="303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725</v>
      </c>
      <c r="E498" s="3052" t="s">
        <v>1724</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7"/>
      <c r="AD498" s="927"/>
      <c r="AE498" s="927"/>
      <c r="AF498" s="3151" t="s">
        <v>1622</v>
      </c>
      <c r="AG498" s="3151"/>
      <c r="AH498" s="3151"/>
      <c r="AI498" s="3151"/>
      <c r="AJ498" s="3151"/>
      <c r="AK498" s="3151"/>
      <c r="AL498" s="3151"/>
      <c r="AM498" s="1026"/>
      <c r="AN498" s="1133"/>
      <c r="AT498" s="51"/>
      <c r="AU498" s="51"/>
      <c r="AV498" s="51"/>
      <c r="AW498" s="51"/>
      <c r="AX498" s="51"/>
      <c r="AY498" s="51"/>
      <c r="AZ498" s="51"/>
    </row>
    <row r="499" spans="1:81" s="1134" customFormat="1">
      <c r="A499" s="1060"/>
      <c r="B499" s="927"/>
      <c r="C499" s="1636"/>
      <c r="D499" s="1106"/>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542</v>
      </c>
      <c r="E503" s="3052" t="s">
        <v>1725</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9"/>
      <c r="AC503" s="927"/>
      <c r="AD503" s="927"/>
      <c r="AE503" s="927"/>
      <c r="AF503" s="3151" t="s">
        <v>1686</v>
      </c>
      <c r="AG503" s="3151"/>
      <c r="AH503" s="3151"/>
      <c r="AI503" s="3151"/>
      <c r="AJ503" s="3151"/>
      <c r="AK503" s="3151"/>
      <c r="AL503" s="3151"/>
      <c r="AM503" s="1026"/>
      <c r="AN503" s="1133"/>
      <c r="AO503" s="126"/>
      <c r="AP503" s="51"/>
    </row>
    <row r="504" spans="1:81" s="1134" customFormat="1">
      <c r="A504" s="1060"/>
      <c r="B504" s="1006"/>
      <c r="C504" s="1636"/>
      <c r="D504" s="1106"/>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051" t="s">
        <v>725</v>
      </c>
      <c r="I508" s="30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34">
        <f>VLOOKUP($H$508,$AO$441:$AP$443,2,FALSE)</f>
        <v>3</v>
      </c>
      <c r="AK510" s="303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725</v>
      </c>
      <c r="E514" s="3052" t="s">
        <v>1727</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7"/>
      <c r="AD514" s="927"/>
      <c r="AE514" s="927"/>
      <c r="AF514" s="3151" t="s">
        <v>1686</v>
      </c>
      <c r="AG514" s="3151"/>
      <c r="AH514" s="3151"/>
      <c r="AI514" s="3151"/>
      <c r="AJ514" s="3151"/>
      <c r="AK514" s="3151"/>
      <c r="AL514" s="31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542</v>
      </c>
      <c r="E517" s="3052" t="s">
        <v>1728</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7"/>
      <c r="AD517" s="927"/>
      <c r="AE517" s="927"/>
      <c r="AF517" s="3151" t="s">
        <v>1705</v>
      </c>
      <c r="AG517" s="3151"/>
      <c r="AH517" s="3151"/>
      <c r="AI517" s="3151"/>
      <c r="AJ517" s="3151"/>
      <c r="AK517" s="3151"/>
      <c r="AL517" s="31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051" t="s">
        <v>725</v>
      </c>
      <c r="I520" s="3051"/>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4">
        <f>VLOOKUP($H$520,$AO$455:$AP$457,2,FALSE)</f>
        <v>2</v>
      </c>
      <c r="AK522" s="303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725</v>
      </c>
      <c r="E526" s="3052" t="s">
        <v>2185</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7"/>
      <c r="AF526" s="3151" t="s">
        <v>1686</v>
      </c>
      <c r="AG526" s="3151"/>
      <c r="AH526" s="3151"/>
      <c r="AI526" s="3151"/>
      <c r="AJ526" s="3151"/>
      <c r="AK526" s="3151"/>
      <c r="AL526" s="3151"/>
      <c r="AM526" s="1031"/>
      <c r="AN526" s="1133"/>
    </row>
    <row r="527" spans="1:74" s="1134" customFormat="1" ht="13.7" customHeight="1">
      <c r="A527" s="1060"/>
      <c r="B527" s="1035"/>
      <c r="C527" s="1648"/>
      <c r="D527" s="1106"/>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7"/>
      <c r="AF527" s="1595"/>
      <c r="AG527" s="1595"/>
      <c r="AH527" s="1595"/>
      <c r="AI527" s="1595"/>
      <c r="AJ527" s="1595"/>
      <c r="AK527" s="1595"/>
      <c r="AL527" s="1595"/>
      <c r="AM527" s="1031"/>
      <c r="AN527" s="1133"/>
    </row>
    <row r="528" spans="1:74" s="1134" customFormat="1">
      <c r="A528" s="1060"/>
      <c r="B528" s="1035"/>
      <c r="C528" s="1648"/>
      <c r="D528" s="1106"/>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52" t="s">
        <v>2193</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7"/>
      <c r="AF531" s="3151" t="s">
        <v>1622</v>
      </c>
      <c r="AG531" s="3151"/>
      <c r="AH531" s="3151"/>
      <c r="AI531" s="3151"/>
      <c r="AJ531" s="3151"/>
      <c r="AK531" s="3151"/>
      <c r="AL531" s="3151"/>
      <c r="AM531" s="1031"/>
      <c r="AN531" s="1000"/>
    </row>
    <row r="532" spans="1:81" s="943" customFormat="1" ht="12.75" customHeight="1">
      <c r="A532" s="1060"/>
      <c r="B532" s="1035"/>
      <c r="C532" s="1648"/>
      <c r="D532" s="1106"/>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051" t="s">
        <v>626</v>
      </c>
      <c r="I536" s="3051"/>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4">
        <f>VLOOKUP($H$536,$AP$477:$AQ$479,2,FALSE)</f>
        <v>0</v>
      </c>
      <c r="AK538" s="3036"/>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725</v>
      </c>
      <c r="E542" s="3052" t="s">
        <v>2184</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7"/>
      <c r="AF542" s="3151" t="s">
        <v>1732</v>
      </c>
      <c r="AG542" s="3151"/>
      <c r="AH542" s="3151"/>
      <c r="AI542" s="3151"/>
      <c r="AJ542" s="3151"/>
      <c r="AK542" s="3151"/>
      <c r="AL542" s="315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8"/>
      <c r="D543" s="1106"/>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051" t="s">
        <v>626</v>
      </c>
      <c r="I547" s="30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4">
        <f>VLOOKUP($H$547,$AO$541:$AP$542,2,FALSE)</f>
        <v>0</v>
      </c>
      <c r="AK549" s="303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4">
        <f>IF(($AJ$382+$AJ$401+$AJ$413+$AJ$448+$AJ$468+$AJ$482+$AJ$494+$AJ$510+$AJ$522+$AJ$538+AJ549)&gt;10,10,($AJ$382+$AJ$401+$AJ$413+$AJ$448+$AJ$468+$AJ$482+$AJ$494+$AJ$510+$AJ$522+$AJ$538+AJ549))</f>
        <v>10</v>
      </c>
      <c r="AL551" s="3035"/>
      <c r="AM551" s="303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4">
        <f>IF((AK320+AK551)&gt;20,20,(AK320+AK551))</f>
        <v>19</v>
      </c>
      <c r="AL553" s="3035"/>
      <c r="AM553" s="303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6" t="s">
        <v>1584</v>
      </c>
      <c r="AF556" s="3116"/>
      <c r="AG556" s="3116"/>
      <c r="AH556" s="3116"/>
      <c r="AI556" s="3116"/>
      <c r="AJ556" s="3116"/>
      <c r="AK556" s="311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3" t="s">
        <v>1737</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7"/>
      <c r="AL558" s="1027"/>
      <c r="AM558" s="1027"/>
      <c r="AN558" s="1000"/>
    </row>
    <row r="559" spans="1:81" s="943" customFormat="1" ht="12.75" customHeight="1">
      <c r="A559" s="1027"/>
      <c r="B559" s="1028"/>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7"/>
      <c r="AL559" s="1027"/>
      <c r="AM559" s="1027"/>
      <c r="AN559" s="1000"/>
    </row>
    <row r="560" spans="1:81" s="943" customFormat="1" ht="12.75" customHeight="1">
      <c r="A560" s="1027"/>
      <c r="B560" s="1028"/>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7"/>
      <c r="AL560" s="1027"/>
      <c r="AM560" s="1027"/>
      <c r="AN560" s="1000"/>
      <c r="AQ560" s="1135"/>
      <c r="AR560" s="1002"/>
    </row>
    <row r="561" spans="1:46" s="943" customFormat="1" ht="12.75" customHeight="1">
      <c r="A561" s="1027"/>
      <c r="B561" s="1118"/>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7"/>
      <c r="AL561" s="1027"/>
      <c r="AM561" s="1027"/>
      <c r="AN561" s="1000"/>
      <c r="AQ561" s="1135"/>
      <c r="AR561" s="1002"/>
    </row>
    <row r="562" spans="1:46" s="943" customFormat="1" ht="12.6" customHeight="1">
      <c r="A562" s="1027"/>
      <c r="B562" s="1118"/>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7"/>
      <c r="AL562" s="1027"/>
      <c r="AM562" s="1027"/>
      <c r="AN562" s="1000"/>
      <c r="AQ562" s="1135"/>
      <c r="AR562" s="1135"/>
    </row>
    <row r="563" spans="1:46" s="943" customFormat="1" ht="24.95" customHeight="1">
      <c r="A563" s="1027"/>
      <c r="B563" s="1118"/>
      <c r="C563" s="3043" t="s">
        <v>1738</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3" t="s">
        <v>2390</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7"/>
      <c r="AL565" s="1027"/>
      <c r="AM565" s="1027"/>
      <c r="AN565" s="1000"/>
      <c r="AQ565" s="1135"/>
      <c r="AR565" s="1135"/>
    </row>
    <row r="566" spans="1:46" s="943" customFormat="1" ht="30" customHeight="1">
      <c r="A566" s="1027"/>
      <c r="B566" s="1118"/>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7"/>
      <c r="AL566" s="1027"/>
      <c r="AM566" s="1027"/>
      <c r="AN566" s="1000"/>
      <c r="AQ566" s="1002"/>
      <c r="AR566" s="1135"/>
    </row>
    <row r="567" spans="1:46" s="943" customFormat="1" ht="12.75" customHeight="1">
      <c r="A567" s="1027"/>
      <c r="B567" s="1118"/>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7"/>
      <c r="AL567" s="1027"/>
      <c r="AM567" s="1027"/>
      <c r="AN567" s="1000"/>
      <c r="AQ567" s="1002"/>
      <c r="AR567" s="1135"/>
    </row>
    <row r="568" spans="1:46" s="943" customFormat="1" ht="12.75" customHeight="1">
      <c r="A568" s="1027"/>
      <c r="B568" s="1118"/>
      <c r="C568" s="3043" t="s">
        <v>1739</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7"/>
      <c r="AL568" s="1027"/>
      <c r="AM568" s="1027"/>
      <c r="AN568" s="1000"/>
      <c r="AQ568" s="1135"/>
      <c r="AR568" s="1135"/>
    </row>
    <row r="569" spans="1:46" s="943" customFormat="1" ht="12.75" customHeight="1">
      <c r="A569" s="1027"/>
      <c r="B569" s="1118"/>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7"/>
      <c r="AL569" s="1027"/>
      <c r="AM569" s="1027"/>
      <c r="AN569" s="1000"/>
      <c r="AQ569" s="1135"/>
      <c r="AR569" s="1135"/>
    </row>
    <row r="570" spans="1:46" s="943" customFormat="1" ht="13.35" customHeight="1">
      <c r="A570" s="1027"/>
      <c r="B570" s="1118"/>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7"/>
      <c r="AL570" s="1027"/>
      <c r="AM570" s="1027"/>
      <c r="AN570" s="1000"/>
      <c r="AQ570" s="1135"/>
      <c r="AR570" s="1135"/>
    </row>
    <row r="571" spans="1:46" s="943" customFormat="1" ht="12.75" customHeight="1">
      <c r="A571" s="1027"/>
      <c r="B571" s="1118"/>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7"/>
      <c r="AL571" s="1027"/>
      <c r="AM571" s="1027"/>
      <c r="AN571" s="1000"/>
      <c r="AO571" s="1150"/>
      <c r="AP571" s="1150"/>
      <c r="AQ571" s="1135"/>
      <c r="AR571" s="1002"/>
    </row>
    <row r="572" spans="1:46" s="943" customFormat="1" ht="11.85" customHeight="1">
      <c r="A572" s="1027"/>
      <c r="B572" s="1118"/>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7"/>
      <c r="AL573" s="1027"/>
      <c r="AM573" s="1027"/>
      <c r="AN573" s="1000"/>
      <c r="AO573" s="1151" t="s">
        <v>118</v>
      </c>
      <c r="AP573" s="1152">
        <f>IF(C604="Yes",5,0)</f>
        <v>0</v>
      </c>
      <c r="AQ573" s="1002"/>
      <c r="AR573" s="1002"/>
      <c r="AS573" s="3008">
        <f>IF(Application!D210="Non-Targeted",(SUM(AQ581+AQ590)),AS577)</f>
        <v>10</v>
      </c>
      <c r="AT573" s="3008"/>
    </row>
    <row r="574" spans="1:46" s="943" customFormat="1" ht="12.75" customHeight="1">
      <c r="A574" s="1027"/>
      <c r="B574" s="1118"/>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7"/>
      <c r="AL574" s="1027"/>
      <c r="AM574" s="1027"/>
      <c r="AN574" s="1000"/>
      <c r="AO574" s="1151" t="s">
        <v>124</v>
      </c>
      <c r="AP574" s="1152">
        <f>IF(C612="Yes",7,0)</f>
        <v>0</v>
      </c>
      <c r="AS574" s="932" t="s">
        <v>1741</v>
      </c>
    </row>
    <row r="575" spans="1:46" s="943" customFormat="1" ht="12.75" customHeight="1">
      <c r="A575" s="1027"/>
      <c r="B575" s="1118"/>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7"/>
      <c r="AL575" s="1027"/>
      <c r="AM575" s="1027"/>
      <c r="AN575" s="1000"/>
      <c r="AO575" s="1000"/>
      <c r="AP575" s="1152">
        <f>IF(C614="Yes",5,0)</f>
        <v>5</v>
      </c>
      <c r="AS575" s="3008">
        <f>IF(AND(AQ581&gt;0,AQ590&gt;0),(AQ581+AQ590)/2,0)</f>
        <v>0</v>
      </c>
      <c r="AT575" s="3008"/>
    </row>
    <row r="576" spans="1:46" s="943" customFormat="1" ht="12.75" customHeight="1">
      <c r="A576" s="1027"/>
      <c r="B576" s="1118"/>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7"/>
      <c r="AL576" s="1027"/>
      <c r="AM576" s="1027"/>
      <c r="AN576" s="1000"/>
      <c r="AO576" s="1151" t="s">
        <v>616</v>
      </c>
      <c r="AP576" s="1152">
        <f>IF(C622="Yes",5,0)</f>
        <v>0</v>
      </c>
      <c r="AQ576" s="1002"/>
      <c r="AR576" s="1002"/>
      <c r="AS576" s="932" t="s">
        <v>2413</v>
      </c>
    </row>
    <row r="577" spans="1:81" s="943" customFormat="1" ht="12.75" customHeight="1">
      <c r="A577" s="1027"/>
      <c r="B577" s="1118"/>
      <c r="C577" s="3150" t="s">
        <v>1742</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008">
        <f>IF(AQ581=0,AQ590,AQ581)</f>
        <v>10</v>
      </c>
      <c r="AT577" s="3008"/>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821</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619</v>
      </c>
      <c r="AP579" s="1152">
        <f>IF(C636="Yes",5,0)</f>
        <v>0</v>
      </c>
    </row>
    <row r="580" spans="1:81" s="943" customFormat="1" ht="11.85"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6"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233</v>
      </c>
      <c r="AP581" s="1156">
        <f>SUM(AP572:AP580)</f>
        <v>10</v>
      </c>
      <c r="AQ581" s="3046">
        <f>IF(AP581&gt;0,AP581,0)</f>
        <v>10</v>
      </c>
      <c r="AR581" s="3046"/>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3" t="s">
        <v>1743</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7"/>
      <c r="AL584" s="1027"/>
      <c r="AM584" s="1027"/>
      <c r="AN584" s="1000"/>
      <c r="AO584" s="1151" t="s">
        <v>488</v>
      </c>
      <c r="AP584" s="1152">
        <f>IF(C657="Yes",5,0)</f>
        <v>0</v>
      </c>
    </row>
    <row r="585" spans="1:81" s="943" customFormat="1" ht="12.75" customHeight="1">
      <c r="A585" s="1027"/>
      <c r="B585" s="1118"/>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7"/>
      <c r="AL585" s="1027"/>
      <c r="AM585" s="1027"/>
      <c r="AN585" s="1000"/>
      <c r="AO585" s="1151" t="s">
        <v>494</v>
      </c>
      <c r="AP585" s="1152">
        <f>IF(C664="Yes",5,0)</f>
        <v>0</v>
      </c>
    </row>
    <row r="586" spans="1:81" s="943" customFormat="1" ht="68.099999999999994" customHeight="1">
      <c r="A586" s="1027"/>
      <c r="B586" s="1118"/>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7"/>
      <c r="AL586" s="1027"/>
      <c r="AM586" s="1027"/>
      <c r="AN586" s="1000"/>
      <c r="AO586" s="1151" t="s">
        <v>681</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4">
        <f>'Service Amenities Budget'!J10</f>
        <v>163</v>
      </c>
      <c r="V588" s="3044"/>
      <c r="W588" s="304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5">
        <f>'Service Amenities Budget'!J9</f>
        <v>0</v>
      </c>
      <c r="V589" s="3045"/>
      <c r="W589" s="30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046">
        <f>IF(AP590&gt;0,AP590,0)</f>
        <v>0</v>
      </c>
      <c r="AR590" s="304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8" t="s">
        <v>1748</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7" t="s">
        <v>578</v>
      </c>
      <c r="D596" s="304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9" t="s">
        <v>1750</v>
      </c>
      <c r="AG596" s="3049"/>
      <c r="AH596" s="3049"/>
      <c r="AI596" s="3049"/>
      <c r="AJ596" s="3049"/>
      <c r="AK596" s="3049"/>
      <c r="AL596" s="30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8" t="s">
        <v>1751</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7" t="s">
        <v>626</v>
      </c>
      <c r="D604" s="304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9" t="s">
        <v>1750</v>
      </c>
      <c r="AG604" s="3049"/>
      <c r="AH604" s="3049"/>
      <c r="AI604" s="3049"/>
      <c r="AJ604" s="3049"/>
      <c r="AK604" s="3049"/>
      <c r="AL604" s="30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8" t="s">
        <v>1753</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7" t="s">
        <v>626</v>
      </c>
      <c r="D612" s="304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9" t="s">
        <v>1755</v>
      </c>
      <c r="AG612" s="3049"/>
      <c r="AH612" s="3049"/>
      <c r="AI612" s="3049"/>
      <c r="AJ612" s="3049"/>
      <c r="AK612" s="3049"/>
      <c r="AL612" s="30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7" t="s">
        <v>578</v>
      </c>
      <c r="D614" s="304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9" t="s">
        <v>1750</v>
      </c>
      <c r="AG614" s="3049"/>
      <c r="AH614" s="3049"/>
      <c r="AI614" s="3049"/>
      <c r="AJ614" s="3049"/>
      <c r="AK614" s="3049"/>
      <c r="AL614" s="30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8" t="s">
        <v>1759</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7" t="s">
        <v>626</v>
      </c>
      <c r="D622" s="304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9" t="s">
        <v>1750</v>
      </c>
      <c r="AG622" s="3049"/>
      <c r="AH622" s="3049"/>
      <c r="AI622" s="3049"/>
      <c r="AJ622" s="3049"/>
      <c r="AK622" s="3049"/>
      <c r="AL622" s="30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7" t="s">
        <v>626</v>
      </c>
      <c r="D624" s="304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9" t="s">
        <v>1762</v>
      </c>
      <c r="AG624" s="3049"/>
      <c r="AH624" s="3049"/>
      <c r="AI624" s="3049"/>
      <c r="AJ624" s="3049"/>
      <c r="AK624" s="3049"/>
      <c r="AL624" s="30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7" t="s">
        <v>626</v>
      </c>
      <c r="D627" s="3048"/>
      <c r="E627" s="1174" t="s">
        <v>1763</v>
      </c>
      <c r="F627" s="3038" t="s">
        <v>1764</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1750</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4" t="s">
        <v>1766</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047" t="s">
        <v>626</v>
      </c>
      <c r="D636" s="304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1750</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7" t="s">
        <v>626</v>
      </c>
      <c r="D638" s="304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1762</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8" t="s">
        <v>1771</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5"/>
      <c r="AG644" s="1025"/>
      <c r="AH644" s="1025"/>
      <c r="AI644" s="1025"/>
      <c r="AJ644" s="1025"/>
      <c r="AK644" s="1025"/>
      <c r="AL644" s="1193"/>
      <c r="AM644" s="1134"/>
      <c r="AN644" s="1000"/>
      <c r="AO644" s="1025"/>
      <c r="AP644" s="1025"/>
    </row>
    <row r="645" spans="1:60" s="943" customFormat="1" ht="12.75" customHeight="1">
      <c r="A645" s="927"/>
      <c r="B645" s="51"/>
      <c r="C645" s="3047" t="s">
        <v>626</v>
      </c>
      <c r="D645" s="304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1750</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38" t="s">
        <v>1774</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4"/>
      <c r="AG653" s="1224"/>
      <c r="AH653" s="1224"/>
      <c r="AI653" s="1224"/>
      <c r="AJ653" s="1224"/>
      <c r="AK653" s="1224"/>
      <c r="AL653" s="1225"/>
      <c r="AM653" s="1134"/>
      <c r="AN653" s="1000"/>
    </row>
    <row r="654" spans="1:60" s="943" customFormat="1" ht="12.75" customHeight="1">
      <c r="A654" s="927"/>
      <c r="B654" s="51"/>
      <c r="C654" s="1226"/>
      <c r="D654" s="1191"/>
      <c r="E654" s="1178"/>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4"/>
      <c r="AG654" s="1224"/>
      <c r="AH654" s="1224"/>
      <c r="AI654" s="1224"/>
      <c r="AJ654" s="1224"/>
      <c r="AK654" s="1224"/>
      <c r="AL654" s="1225"/>
      <c r="AM654" s="1134"/>
      <c r="AN654" s="1000"/>
    </row>
    <row r="655" spans="1:60" s="943" customFormat="1" ht="12.75" customHeight="1">
      <c r="A655" s="927"/>
      <c r="B655" s="51"/>
      <c r="C655" s="1226"/>
      <c r="D655" s="1191"/>
      <c r="E655" s="1178"/>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4"/>
      <c r="AG655" s="1224"/>
      <c r="AH655" s="1224"/>
      <c r="AI655" s="1224"/>
      <c r="AJ655" s="1224"/>
      <c r="AK655" s="1224"/>
      <c r="AL655" s="1225"/>
      <c r="AM655" s="1134"/>
      <c r="AN655" s="1000"/>
    </row>
    <row r="656" spans="1:60" s="943" customFormat="1" ht="17.25" customHeight="1">
      <c r="A656" s="927"/>
      <c r="B656" s="51"/>
      <c r="C656" s="1226"/>
      <c r="D656" s="1191"/>
      <c r="E656" s="1178"/>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5"/>
      <c r="AG656" s="1025"/>
      <c r="AH656" s="1025"/>
      <c r="AI656" s="1025"/>
      <c r="AJ656" s="1025"/>
      <c r="AK656" s="1025"/>
      <c r="AL656" s="1193"/>
      <c r="AM656" s="1134"/>
      <c r="AN656" s="1000"/>
    </row>
    <row r="657" spans="1:54" s="943" customFormat="1" ht="12.75" customHeight="1">
      <c r="A657" s="927"/>
      <c r="B657" s="51"/>
      <c r="C657" s="3047" t="s">
        <v>626</v>
      </c>
      <c r="D657" s="304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1750</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8" t="s">
        <v>1777</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7" t="s">
        <v>626</v>
      </c>
      <c r="D664" s="304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1750</v>
      </c>
      <c r="AG664" s="3146"/>
      <c r="AH664" s="3146"/>
      <c r="AI664" s="3146"/>
      <c r="AJ664" s="3146"/>
      <c r="AK664" s="3146"/>
      <c r="AL664" s="314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8" t="s">
        <v>626</v>
      </c>
      <c r="D668" s="3149"/>
      <c r="E668" s="1174" t="s">
        <v>1786</v>
      </c>
      <c r="F668" s="3038" t="s">
        <v>1787</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1750</v>
      </c>
      <c r="AG668" s="3142"/>
      <c r="AH668" s="3142"/>
      <c r="AI668" s="3142"/>
      <c r="AJ668" s="3142"/>
      <c r="AK668" s="3142"/>
      <c r="AL668" s="314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7" t="s">
        <v>626</v>
      </c>
      <c r="D672" s="3048"/>
      <c r="E672" s="1174" t="s">
        <v>1792</v>
      </c>
      <c r="F672" s="3038" t="s">
        <v>1793</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1750</v>
      </c>
      <c r="AG672" s="3142"/>
      <c r="AH672" s="3142"/>
      <c r="AI672" s="3142"/>
      <c r="AJ672" s="3142"/>
      <c r="AK672" s="3142"/>
      <c r="AL672" s="314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4" t="s">
        <v>1796</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047" t="s">
        <v>626</v>
      </c>
      <c r="D681" s="304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9" t="s">
        <v>1750</v>
      </c>
      <c r="AG681" s="3049"/>
      <c r="AH681" s="3049"/>
      <c r="AI681" s="3049"/>
      <c r="AJ681" s="3049"/>
      <c r="AK681" s="3049"/>
      <c r="AL681" s="30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4">
        <f>IF(Application!D213="N/A",AS573,AS575)</f>
        <v>10</v>
      </c>
      <c r="AL684" s="3035"/>
      <c r="AM684" s="303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7" t="s">
        <v>1800</v>
      </c>
      <c r="AF687" s="3037"/>
      <c r="AG687" s="3037"/>
      <c r="AH687" s="3037"/>
      <c r="AI687" s="3037"/>
      <c r="AJ687" s="3037"/>
      <c r="AK687" s="3037"/>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23" t="s">
        <v>626</v>
      </c>
      <c r="D693" s="3124"/>
      <c r="E693" s="1248" t="s">
        <v>540</v>
      </c>
      <c r="F693" s="3132" t="s">
        <v>1806</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8" t="s">
        <v>626</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9" t="s">
        <v>578</v>
      </c>
      <c r="D697" s="3140"/>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2" t="s">
        <v>626</v>
      </c>
      <c r="W700" s="3042"/>
      <c r="X700" s="3042"/>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2" t="s">
        <v>626</v>
      </c>
      <c r="W702" s="3042"/>
      <c r="X702" s="3042"/>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2" t="s">
        <v>626</v>
      </c>
      <c r="W707" s="3042"/>
      <c r="X707" s="3042"/>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6"/>
      <c r="E710" s="312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2" t="s">
        <v>626</v>
      </c>
      <c r="W711" s="3042"/>
      <c r="X711" s="3042"/>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2" t="s">
        <v>626</v>
      </c>
      <c r="W713" s="3042"/>
      <c r="X713" s="304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23" t="s">
        <v>626</v>
      </c>
      <c r="D716" s="3124"/>
      <c r="E716" s="1248" t="s">
        <v>540</v>
      </c>
      <c r="F716" s="3132" t="s">
        <v>1806</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34" t="s">
        <v>626</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3" t="s">
        <v>626</v>
      </c>
      <c r="D720" s="3124"/>
      <c r="E720" s="1248" t="s">
        <v>798</v>
      </c>
      <c r="F720" s="3135" t="s">
        <v>1828</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7" t="s">
        <v>626</v>
      </c>
      <c r="G723" s="3137"/>
      <c r="H723" s="313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3" t="s">
        <v>626</v>
      </c>
      <c r="D725" s="312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5"/>
      <c r="D727" s="312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7" t="s">
        <v>626</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8" t="s">
        <v>626</v>
      </c>
      <c r="D730" s="312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8" t="s">
        <v>626</v>
      </c>
      <c r="D734" s="3129"/>
      <c r="E734" s="1025"/>
      <c r="F734" s="1290" t="s">
        <v>1836</v>
      </c>
      <c r="G734" s="3130" t="s">
        <v>1837</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2" t="s">
        <v>626</v>
      </c>
      <c r="D738" s="3113"/>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4" t="s">
        <v>626</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4">
        <f>SUM(AG694:AG739)</f>
        <v>0</v>
      </c>
      <c r="AL750" s="3035"/>
      <c r="AM750" s="303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6" t="s">
        <v>1851</v>
      </c>
      <c r="AF753" s="3116"/>
      <c r="AG753" s="3116"/>
      <c r="AH753" s="3116"/>
      <c r="AI753" s="3116"/>
      <c r="AJ753" s="3116"/>
      <c r="AK753" s="311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8" t="s">
        <v>578</v>
      </c>
      <c r="D756" s="3048"/>
      <c r="E756" s="944"/>
      <c r="F756" s="3117" t="s">
        <v>1852</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5"/>
      <c r="AN756" s="1000"/>
    </row>
    <row r="757" spans="1:49" s="943" customFormat="1" ht="12.75" customHeight="1">
      <c r="A757" s="1012"/>
      <c r="B757" s="1012"/>
      <c r="C757" s="944"/>
      <c r="D757" s="944"/>
      <c r="E757" s="944"/>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8" t="s">
        <v>626</v>
      </c>
      <c r="D759" s="304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6" t="s">
        <v>1854</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5"/>
      <c r="AN760" s="1000"/>
      <c r="AS760" s="1482"/>
      <c r="AT760" s="1482"/>
      <c r="AU760" s="1482"/>
      <c r="AV760" s="1482"/>
      <c r="AW760" s="1482"/>
    </row>
    <row r="761" spans="1:49" s="943" customFormat="1" ht="12.75" customHeight="1">
      <c r="A761" s="1026"/>
      <c r="B761" s="1305"/>
      <c r="C761" s="1305"/>
      <c r="D761" s="1305"/>
      <c r="E761" s="1305"/>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6" t="s">
        <v>1856</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4"/>
      <c r="AM763" s="1005"/>
      <c r="AN763" s="1000"/>
      <c r="AT763" s="1089"/>
      <c r="AU763" s="1089"/>
      <c r="AV763" s="1089"/>
    </row>
    <row r="764" spans="1:49" s="943" customFormat="1" ht="12.75" customHeight="1">
      <c r="A764" s="1026"/>
      <c r="B764" s="1305"/>
      <c r="C764" s="1305"/>
      <c r="D764" s="1305"/>
      <c r="E764" s="1305"/>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0">
        <f>Application!AJ975</f>
        <v>49141515</v>
      </c>
      <c r="AQ765" s="3020"/>
      <c r="AR765" s="302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1">
        <f>'Sources and Uses Budget'!S107+'Sources and Uses Budget'!T107</f>
        <v>46530977</v>
      </c>
      <c r="AG766" s="3031"/>
      <c r="AH766" s="3031"/>
      <c r="AI766" s="3031"/>
      <c r="AJ766" s="303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2">
        <f>AP774</f>
        <v>93346263.849999994</v>
      </c>
      <c r="AG767" s="3032"/>
      <c r="AH767" s="3032"/>
      <c r="AI767" s="3032"/>
      <c r="AJ767" s="3032"/>
      <c r="AK767" s="1005"/>
      <c r="AL767" s="1005"/>
      <c r="AM767" s="1005"/>
      <c r="AN767" s="1000"/>
      <c r="AP767" s="3020">
        <f>Application!AJ1024</f>
        <v>38821796.850000001</v>
      </c>
      <c r="AQ767" s="3020"/>
      <c r="AR767" s="30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3">
        <f>ROUNDDOWN(IF(C759="YES",((1-(AF766/AF767))*2),(1-(AF766/AF767))),2)</f>
        <v>0.5</v>
      </c>
      <c r="AG768" s="3033"/>
      <c r="AH768" s="3033"/>
      <c r="AI768" s="3033"/>
      <c r="AJ768" s="3033"/>
      <c r="AK768" s="1005"/>
      <c r="AL768" s="1005"/>
      <c r="AM768" s="1005"/>
      <c r="AN768" s="1000"/>
      <c r="AP768" s="3021">
        <f>Application!AJ1028</f>
        <v>0</v>
      </c>
      <c r="AQ768" s="3021"/>
      <c r="AR768" s="302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0">
        <f>IF(((AP767+AP768)/AP765)&gt;0.8,0.8,((AP767+AP768)/AP765))</f>
        <v>0.79</v>
      </c>
      <c r="AQ769" s="3040"/>
      <c r="AR769" s="3040"/>
    </row>
    <row r="770" spans="1:44" s="943" customFormat="1" ht="12.75" customHeight="1">
      <c r="A770" s="1048"/>
      <c r="B770" s="3092" t="s">
        <v>1859</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5"/>
      <c r="AL770" s="1005"/>
      <c r="AM770" s="1005"/>
      <c r="AN770" s="1000"/>
    </row>
    <row r="771" spans="1:44" s="943" customFormat="1" ht="12.75" customHeight="1">
      <c r="A771" s="1048"/>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5"/>
      <c r="AL771" s="1005"/>
      <c r="AM771" s="1005"/>
      <c r="AN771" s="1000"/>
      <c r="AP771" s="3020">
        <f>AP772-AP767-AP768</f>
        <v>54524466.999999993</v>
      </c>
      <c r="AQ771" s="3041"/>
      <c r="AR771" s="3041"/>
    </row>
    <row r="772" spans="1:44" s="943" customFormat="1" ht="12.75" customHeight="1">
      <c r="A772" s="1048"/>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5"/>
      <c r="AL772" s="1005"/>
      <c r="AM772" s="1005"/>
      <c r="AN772" s="1000"/>
      <c r="AP772" s="3020">
        <f>Application!AJ1032</f>
        <v>93346263.849999994</v>
      </c>
      <c r="AQ772" s="3020"/>
      <c r="AR772" s="30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1">
        <f>IF(AF768=0,0,IF((AF768*100)&gt;12,12,(AF768*100)))</f>
        <v>12</v>
      </c>
      <c r="AL774" s="3101"/>
      <c r="AM774" s="3102"/>
      <c r="AN774" s="1000"/>
      <c r="AP774" s="3009">
        <f>AP771+(AP765*AP769)</f>
        <v>93346263.849999994</v>
      </c>
      <c r="AQ774" s="3010"/>
      <c r="AR774" s="301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3" t="s">
        <v>1861</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7"/>
      <c r="AP780" s="1320"/>
      <c r="AQ780" s="1319"/>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6" t="s">
        <v>1862</v>
      </c>
      <c r="U782" s="3107"/>
      <c r="V782" s="3107"/>
      <c r="W782" s="3107"/>
      <c r="X782" s="3107"/>
      <c r="Y782" s="3108"/>
      <c r="Z782" s="3106" t="s">
        <v>1863</v>
      </c>
      <c r="AA782" s="3107"/>
      <c r="AB782" s="3107"/>
      <c r="AC782" s="3107"/>
      <c r="AD782" s="3107"/>
      <c r="AE782" s="3108"/>
      <c r="AF782" s="3106" t="s">
        <v>1864</v>
      </c>
      <c r="AG782" s="3107"/>
      <c r="AH782" s="3107"/>
      <c r="AI782" s="3107"/>
      <c r="AJ782" s="3107"/>
      <c r="AK782" s="31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9"/>
      <c r="U783" s="3110"/>
      <c r="V783" s="3110"/>
      <c r="W783" s="3110"/>
      <c r="X783" s="3110"/>
      <c r="Y783" s="3111"/>
      <c r="Z783" s="3109"/>
      <c r="AA783" s="3110"/>
      <c r="AB783" s="3110"/>
      <c r="AC783" s="3110"/>
      <c r="AD783" s="3110"/>
      <c r="AE783" s="3111"/>
      <c r="AF783" s="3109"/>
      <c r="AG783" s="3110"/>
      <c r="AH783" s="3110"/>
      <c r="AI783" s="3110"/>
      <c r="AJ783" s="3110"/>
      <c r="AK783" s="3111"/>
      <c r="AL783" s="1322"/>
      <c r="AM783" s="1216"/>
      <c r="AO783" s="1320"/>
      <c r="AP783" s="1319"/>
      <c r="AQ783" s="1319"/>
    </row>
    <row r="784" spans="1:44">
      <c r="A784" s="1323" t="s">
        <v>798</v>
      </c>
      <c r="B784" s="3060" t="s">
        <v>1562</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22"/>
      <c r="AM784" s="1216"/>
      <c r="AO784" s="1319"/>
      <c r="AP784" s="1319"/>
      <c r="AQ784" s="1319"/>
    </row>
    <row r="785" spans="1:81">
      <c r="A785" s="1323" t="s">
        <v>1830</v>
      </c>
      <c r="B785" s="3060" t="s">
        <v>1583</v>
      </c>
      <c r="C785" s="3060"/>
      <c r="D785" s="3060"/>
      <c r="E785" s="3060"/>
      <c r="F785" s="3060"/>
      <c r="G785" s="3060"/>
      <c r="H785" s="3060"/>
      <c r="I785" s="3060"/>
      <c r="J785" s="3060"/>
      <c r="K785" s="3060"/>
      <c r="L785" s="3060"/>
      <c r="M785" s="3060"/>
      <c r="N785" s="3060"/>
      <c r="O785" s="3060"/>
      <c r="P785" s="3060"/>
      <c r="Q785" s="3060"/>
      <c r="R785" s="3060"/>
      <c r="S785" s="3061"/>
      <c r="T785" s="3091">
        <f>AK72</f>
        <v>10</v>
      </c>
      <c r="U785" s="3064"/>
      <c r="V785" s="3064"/>
      <c r="W785" s="3064"/>
      <c r="X785" s="3064"/>
      <c r="Y785" s="3065"/>
      <c r="Z785" s="3063">
        <v>10</v>
      </c>
      <c r="AA785" s="3064"/>
      <c r="AB785" s="3064"/>
      <c r="AC785" s="3064"/>
      <c r="AD785" s="3064"/>
      <c r="AE785" s="3065"/>
      <c r="AF785" s="3066">
        <f>IF(T785&gt;Z785,Z785,T785)</f>
        <v>10</v>
      </c>
      <c r="AG785" s="3066"/>
      <c r="AH785" s="3066"/>
      <c r="AI785" s="3066"/>
      <c r="AJ785" s="3066"/>
      <c r="AK785" s="3066"/>
      <c r="AL785" s="1322"/>
      <c r="AM785" s="1216"/>
      <c r="AO785" s="1319"/>
      <c r="AP785" s="1319"/>
      <c r="AQ785" s="1319"/>
    </row>
    <row r="786" spans="1:81">
      <c r="A786" s="1323" t="s">
        <v>1839</v>
      </c>
      <c r="B786" s="3060" t="s">
        <v>1593</v>
      </c>
      <c r="C786" s="3060"/>
      <c r="D786" s="3060"/>
      <c r="E786" s="3060"/>
      <c r="F786" s="3060"/>
      <c r="G786" s="3060"/>
      <c r="H786" s="3060"/>
      <c r="I786" s="3060"/>
      <c r="J786" s="3060"/>
      <c r="K786" s="3060"/>
      <c r="L786" s="3060"/>
      <c r="M786" s="3060"/>
      <c r="N786" s="3060"/>
      <c r="O786" s="3060"/>
      <c r="P786" s="3060"/>
      <c r="Q786" s="3060"/>
      <c r="R786" s="3060"/>
      <c r="S786" s="3061"/>
      <c r="T786" s="3091">
        <f>AK97</f>
        <v>19.999999999999996</v>
      </c>
      <c r="U786" s="3064"/>
      <c r="V786" s="3064"/>
      <c r="W786" s="3064"/>
      <c r="X786" s="3064"/>
      <c r="Y786" s="3065"/>
      <c r="Z786" s="3063">
        <v>20</v>
      </c>
      <c r="AA786" s="3064"/>
      <c r="AB786" s="3064"/>
      <c r="AC786" s="3064"/>
      <c r="AD786" s="3064"/>
      <c r="AE786" s="3065"/>
      <c r="AF786" s="3066">
        <f>IF(T786&gt;Z786,Z786,T786)</f>
        <v>19.999999999999996</v>
      </c>
      <c r="AG786" s="3066"/>
      <c r="AH786" s="3066"/>
      <c r="AI786" s="3066"/>
      <c r="AJ786" s="3066"/>
      <c r="AK786" s="3066"/>
      <c r="AL786" s="1322"/>
      <c r="AM786" s="1216"/>
      <c r="AO786" s="1319"/>
      <c r="AP786" s="1319"/>
      <c r="AQ786" s="1319"/>
    </row>
    <row r="787" spans="1:81">
      <c r="A787" s="1323" t="s">
        <v>1865</v>
      </c>
      <c r="B787" s="3060" t="s">
        <v>1603</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22"/>
      <c r="AM787" s="1216"/>
      <c r="AO787" s="1319"/>
      <c r="AP787" s="1319"/>
      <c r="AQ787" s="1319"/>
    </row>
    <row r="788" spans="1:81">
      <c r="A788" s="1325" t="s">
        <v>1866</v>
      </c>
      <c r="B788" s="3060" t="s">
        <v>1867</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22"/>
      <c r="AM788" s="1216"/>
    </row>
    <row r="789" spans="1:81">
      <c r="A789" s="926"/>
      <c r="B789" s="1009"/>
      <c r="C789" s="3067" t="s">
        <v>1868</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22"/>
      <c r="AM789" s="1216"/>
    </row>
    <row r="790" spans="1:81">
      <c r="A790" s="1326"/>
      <c r="B790" s="1009"/>
      <c r="C790" s="3067" t="s">
        <v>1869</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22"/>
      <c r="AM790" s="1216"/>
      <c r="AO790" s="943"/>
    </row>
    <row r="791" spans="1:81">
      <c r="A791" s="1325" t="s">
        <v>1631</v>
      </c>
      <c r="B791" s="3060" t="s">
        <v>1870</v>
      </c>
      <c r="C791" s="3060"/>
      <c r="D791" s="3060"/>
      <c r="E791" s="3060"/>
      <c r="F791" s="3060"/>
      <c r="G791" s="3060"/>
      <c r="H791" s="3060"/>
      <c r="I791" s="3060"/>
      <c r="J791" s="3060"/>
      <c r="K791" s="3060"/>
      <c r="L791" s="3060"/>
      <c r="M791" s="3060"/>
      <c r="N791" s="3060"/>
      <c r="O791" s="3060"/>
      <c r="P791" s="3060"/>
      <c r="Q791" s="3060"/>
      <c r="R791" s="3060"/>
      <c r="S791" s="3061"/>
      <c r="T791" s="3062">
        <f>AK174</f>
        <v>10</v>
      </c>
      <c r="U791" s="3062"/>
      <c r="V791" s="3062"/>
      <c r="W791" s="3062"/>
      <c r="X791" s="3062"/>
      <c r="Y791" s="3062"/>
      <c r="Z791" s="3066">
        <v>10</v>
      </c>
      <c r="AA791" s="3066"/>
      <c r="AB791" s="3066"/>
      <c r="AC791" s="3066"/>
      <c r="AD791" s="3066"/>
      <c r="AE791" s="3066"/>
      <c r="AF791" s="3066">
        <f>IF(T791&gt;Z791,Z791,T791)</f>
        <v>10</v>
      </c>
      <c r="AG791" s="3066"/>
      <c r="AH791" s="3066"/>
      <c r="AI791" s="3066"/>
      <c r="AJ791" s="3066"/>
      <c r="AK791" s="3066"/>
      <c r="AL791" s="1322"/>
      <c r="AM791" s="1216"/>
    </row>
    <row r="792" spans="1:81">
      <c r="A792" s="1323" t="s">
        <v>1640</v>
      </c>
      <c r="B792" s="3060" t="s">
        <v>1641</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22"/>
      <c r="AM792" s="1216"/>
    </row>
    <row r="793" spans="1:81" s="925" customFormat="1" hidden="1">
      <c r="A793" s="1325" t="s">
        <v>624</v>
      </c>
      <c r="B793" s="3060" t="s">
        <v>1871</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0" t="s">
        <v>1872</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0" t="s">
        <v>1651</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0" t="s">
        <v>908</v>
      </c>
      <c r="C798" s="3060"/>
      <c r="D798" s="3060"/>
      <c r="E798" s="3060"/>
      <c r="F798" s="3060"/>
      <c r="G798" s="3060"/>
      <c r="H798" s="3060"/>
      <c r="I798" s="3060"/>
      <c r="J798" s="3060"/>
      <c r="K798" s="3060"/>
      <c r="L798" s="3060"/>
      <c r="M798" s="3060"/>
      <c r="N798" s="3060"/>
      <c r="O798" s="3060"/>
      <c r="P798" s="3060"/>
      <c r="Q798" s="3060"/>
      <c r="R798" s="3060"/>
      <c r="S798" s="3061"/>
      <c r="T798" s="3062">
        <f>AK684</f>
        <v>10</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0" t="s">
        <v>1850</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7" t="s">
        <v>1875</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1876</v>
      </c>
      <c r="AA800" s="3070"/>
      <c r="AB800" s="3070"/>
      <c r="AC800" s="3070"/>
      <c r="AD800" s="3070"/>
      <c r="AE800" s="3070"/>
      <c r="AF800" s="3072">
        <f>IF(T800&gt;0,T800,0)</f>
        <v>0</v>
      </c>
      <c r="AG800" s="3073"/>
      <c r="AH800" s="3073"/>
      <c r="AI800" s="3073"/>
      <c r="AJ800" s="3073"/>
      <c r="AK800" s="307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9" t="s">
        <v>1877</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SUM(AF784:AK799)-AF800</f>
        <v>119</v>
      </c>
      <c r="AG801" s="3086"/>
      <c r="AH801" s="3086"/>
      <c r="AI801" s="3086"/>
      <c r="AJ801" s="3086"/>
      <c r="AK801" s="308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Kolosta</cp:lastModifiedBy>
  <cp:lastPrinted>2021-04-23T23:58:28Z</cp:lastPrinted>
  <dcterms:created xsi:type="dcterms:W3CDTF">2007-12-27T18:26:28Z</dcterms:created>
  <dcterms:modified xsi:type="dcterms:W3CDTF">2021-09-08T05:06:15Z</dcterms:modified>
</cp:coreProperties>
</file>